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9_low_perm/"/>
    </mc:Choice>
  </mc:AlternateContent>
  <xr:revisionPtr revIDLastSave="0" documentId="8_{7DA8FC82-490C-421A-8F37-3672B31812DF}" xr6:coauthVersionLast="47" xr6:coauthVersionMax="47" xr10:uidLastSave="{00000000-0000-0000-0000-000000000000}"/>
  <bookViews>
    <workbookView xWindow="-120" yWindow="-120" windowWidth="29040" windowHeight="15840" xr2:uid="{F1EF0A68-19C9-40D8-BFBA-0F8566D6B670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4" i="1" l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<sst xmlns="http://schemas.openxmlformats.org/spreadsheetml/2006/main" count="15" uniqueCount="15">
  <si>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MODEL\SCENARIOS\2022\S9_low_perm\S9_low_perm.sr3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</si>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</sst>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12CC7-864D-4AC2-889B-5F0837B60B42}" name="Table1" displayName="Table1" ref="A3:N1344" totalsRowShown="0">
  <autoFilter ref="A3:N1344" xr:uid="{A4712CC7-864D-4AC2-889B-5F0837B60B42}"/>
  <tableColumns count="14">
    <tableColumn id="1" xr3:uid="{29D0A2C8-B53C-4525-9601-9384D20AE159}" name="Time (day)"/>
    <tableColumn id="2" xr3:uid="{257CAC82-8C08-453B-B627-C3184959BACA}" name="Date" dataDxfId="0"/>
    <tableColumn id="3" xr3:uid="{B307B693-7B82-492E-BDE3-FD8DB25D9281}" name="Hot well INJ-Well Bottom-hole Pressure (kPa)"/>
    <tableColumn id="4" xr3:uid="{839DC741-BB17-42ED-9B1A-90816D25AB60}" name="Hot well PROD-Well Bottom-hole Pressure (kPa)"/>
    <tableColumn id="5" xr3:uid="{0219CC51-58CD-4A79-8A4E-3DB3CAD2C4CA}" name="Warm well INJ-Well Bottom-hole Pressure (kPa)"/>
    <tableColumn id="6" xr3:uid="{AA16A29D-DF8D-457C-AF52-EE223D401BBF}" name="Warm well PROD-Well Bottom-hole Pressure (kPa)"/>
    <tableColumn id="7" xr3:uid="{E12C3E3D-85F6-4CD8-A297-8B060EFE1BF2}" name="Hot well INJ-Well bottom hole temperature (C)"/>
    <tableColumn id="8" xr3:uid="{6A23D674-59EC-41DF-A74C-40F901EA5DBF}" name="Hot well PROD-Well bottom hole temperature (C)"/>
    <tableColumn id="9" xr3:uid="{DA9C1E44-784E-457B-9A26-87FA85C1828C}" name="Warm well INJ-Well bottom hole temperature (C)"/>
    <tableColumn id="10" xr3:uid="{381358A8-1984-4CF8-805E-03A8EC341D17}" name="Warm well PROD-Well bottom hole temperature (C)"/>
    <tableColumn id="11" xr3:uid="{D0123F0A-DD76-4DFA-99F8-DC36341B907D}" name="Hot well INJ-Fluid Rate SC (m³/day)"/>
    <tableColumn id="12" xr3:uid="{495BB8B1-9680-485F-8724-BAA1A8066284}" name="Hot well PROD-Fluid Rate SC (m³/day)"/>
    <tableColumn id="13" xr3:uid="{5A8A6B8A-F464-4132-8F3C-9ED8D73BE7C2}" name="Warm well INJ-Fluid Rate SC (m³/day)"/>
    <tableColumn id="14" xr3:uid="{F3571B90-EC85-43CF-8B4F-82EFC250B620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6C3C-6766-453A-8F6B-9C8DC14773B5}">
  <dimension ref="A1:N134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44.85546875" customWidth="1"/>
    <col min="8" max="9" width="47.140625" customWidth="1"/>
    <col min="10" max="10" width="49.425781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5272.3100586</v>
      </c>
      <c r="D4">
        <v>1329.8579102000001</v>
      </c>
      <c r="E4">
        <v>1329.2706298999999</v>
      </c>
      <c r="F4">
        <v>101.32499695</v>
      </c>
      <c r="G4">
        <v>80</v>
      </c>
      <c r="H4">
        <v>15.000119208999999</v>
      </c>
      <c r="I4">
        <v>50</v>
      </c>
      <c r="J4">
        <v>14.999985694999999</v>
      </c>
      <c r="K4">
        <v>2400</v>
      </c>
      <c r="L4">
        <v>0</v>
      </c>
      <c r="M4">
        <v>0</v>
      </c>
      <c r="N4">
        <v>881.70617675999995</v>
      </c>
    </row>
    <row r="5" spans="1:14" x14ac:dyDescent="0.25">
      <c r="A5">
        <v>3.9999999999999998E-6</v>
      </c>
      <c r="B5" s="1">
        <f>DATE(2010,5,1) + TIME(0,0,0)</f>
        <v>40299</v>
      </c>
      <c r="C5">
        <v>5273.6147461</v>
      </c>
      <c r="D5">
        <v>1331.2017822</v>
      </c>
      <c r="E5">
        <v>1328.8540039</v>
      </c>
      <c r="F5">
        <v>101.32499695</v>
      </c>
      <c r="G5">
        <v>80</v>
      </c>
      <c r="H5">
        <v>15.000477791</v>
      </c>
      <c r="I5">
        <v>50</v>
      </c>
      <c r="J5">
        <v>14.99994278</v>
      </c>
      <c r="K5">
        <v>2400</v>
      </c>
      <c r="L5">
        <v>0</v>
      </c>
      <c r="M5">
        <v>0</v>
      </c>
      <c r="N5">
        <v>881.40570068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5277.5205077999999</v>
      </c>
      <c r="D6">
        <v>1335.2258300999999</v>
      </c>
      <c r="E6">
        <v>1327.6079102000001</v>
      </c>
      <c r="F6">
        <v>101.32499695</v>
      </c>
      <c r="G6">
        <v>80</v>
      </c>
      <c r="H6">
        <v>15.001551628</v>
      </c>
      <c r="I6">
        <v>50</v>
      </c>
      <c r="J6">
        <v>14.999814987000001</v>
      </c>
      <c r="K6">
        <v>2400</v>
      </c>
      <c r="L6">
        <v>0</v>
      </c>
      <c r="M6">
        <v>0</v>
      </c>
      <c r="N6">
        <v>880.50683593999997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5289.1708983999997</v>
      </c>
      <c r="D7">
        <v>1347.2303466999999</v>
      </c>
      <c r="E7">
        <v>1323.9014893000001</v>
      </c>
      <c r="F7">
        <v>101.32499695</v>
      </c>
      <c r="G7">
        <v>80</v>
      </c>
      <c r="H7">
        <v>15.004766463999999</v>
      </c>
      <c r="I7">
        <v>50</v>
      </c>
      <c r="J7">
        <v>14.999433517</v>
      </c>
      <c r="K7">
        <v>2400</v>
      </c>
      <c r="L7">
        <v>0</v>
      </c>
      <c r="M7">
        <v>0</v>
      </c>
      <c r="N7">
        <v>877.83349609000004</v>
      </c>
    </row>
    <row r="8" spans="1:14" x14ac:dyDescent="0.25">
      <c r="A8">
        <v>1.21E-4</v>
      </c>
      <c r="B8" s="1">
        <f>DATE(2010,5,1) + TIME(0,0,10)</f>
        <v>40299.000115740739</v>
      </c>
      <c r="C8">
        <v>5323.5366211</v>
      </c>
      <c r="D8">
        <v>1382.6496582</v>
      </c>
      <c r="E8">
        <v>1313.0632324000001</v>
      </c>
      <c r="F8">
        <v>101.32499695</v>
      </c>
      <c r="G8">
        <v>80</v>
      </c>
      <c r="H8">
        <v>15.014348984</v>
      </c>
      <c r="I8">
        <v>50</v>
      </c>
      <c r="J8">
        <v>14.998318672</v>
      </c>
      <c r="K8">
        <v>2400</v>
      </c>
      <c r="L8">
        <v>0</v>
      </c>
      <c r="M8">
        <v>0</v>
      </c>
      <c r="N8">
        <v>870.01696776999995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5421.6816405999998</v>
      </c>
      <c r="D9">
        <v>1483.8952637</v>
      </c>
      <c r="E9">
        <v>1282.8703613</v>
      </c>
      <c r="F9">
        <v>101.32499695</v>
      </c>
      <c r="G9">
        <v>80</v>
      </c>
      <c r="H9">
        <v>15.042586327</v>
      </c>
      <c r="I9">
        <v>50</v>
      </c>
      <c r="J9">
        <v>14.995214462</v>
      </c>
      <c r="K9">
        <v>2400</v>
      </c>
      <c r="L9">
        <v>0</v>
      </c>
      <c r="M9">
        <v>0</v>
      </c>
      <c r="N9">
        <v>848.24951171999999</v>
      </c>
    </row>
    <row r="10" spans="1:14" x14ac:dyDescent="0.25">
      <c r="A10">
        <v>1.093E-3</v>
      </c>
      <c r="B10" s="1">
        <f>DATE(2010,5,1) + TIME(0,1,34)</f>
        <v>40299.001087962963</v>
      </c>
      <c r="C10">
        <v>5678.7749022999997</v>
      </c>
      <c r="D10">
        <v>1749.7932129000001</v>
      </c>
      <c r="E10">
        <v>1208.8614502</v>
      </c>
      <c r="F10">
        <v>101.32499695</v>
      </c>
      <c r="G10">
        <v>80</v>
      </c>
      <c r="H10">
        <v>15.123389244</v>
      </c>
      <c r="I10">
        <v>50</v>
      </c>
      <c r="J10">
        <v>14.987609862999999</v>
      </c>
      <c r="K10">
        <v>2400</v>
      </c>
      <c r="L10">
        <v>0</v>
      </c>
      <c r="M10">
        <v>0</v>
      </c>
      <c r="N10">
        <v>794.93731689000003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6231.7275391000003</v>
      </c>
      <c r="D11">
        <v>2326.2670898000001</v>
      </c>
      <c r="E11">
        <v>1071.7213135</v>
      </c>
      <c r="F11">
        <v>101.32499695</v>
      </c>
      <c r="G11">
        <v>80</v>
      </c>
      <c r="H11">
        <v>15.342758179</v>
      </c>
      <c r="I11">
        <v>50</v>
      </c>
      <c r="J11">
        <v>14.973543167000001</v>
      </c>
      <c r="K11">
        <v>2400</v>
      </c>
      <c r="L11">
        <v>0</v>
      </c>
      <c r="M11">
        <v>0</v>
      </c>
      <c r="N11">
        <v>696.32775878999996</v>
      </c>
    </row>
    <row r="12" spans="1:14" x14ac:dyDescent="0.25">
      <c r="A12">
        <v>7.0730000000000003E-3</v>
      </c>
      <c r="B12" s="1">
        <f>DATE(2010,5,1) + TIME(0,10,11)</f>
        <v>40299.007071759261</v>
      </c>
      <c r="C12">
        <v>6837.5175780999998</v>
      </c>
      <c r="D12">
        <v>2967.8898926000002</v>
      </c>
      <c r="E12">
        <v>948.23651123000002</v>
      </c>
      <c r="F12">
        <v>101.32499695</v>
      </c>
      <c r="G12">
        <v>80</v>
      </c>
      <c r="H12">
        <v>15.684968948</v>
      </c>
      <c r="I12">
        <v>50</v>
      </c>
      <c r="J12">
        <v>14.960912704</v>
      </c>
      <c r="K12">
        <v>2400</v>
      </c>
      <c r="L12">
        <v>0</v>
      </c>
      <c r="M12">
        <v>0</v>
      </c>
      <c r="N12">
        <v>607.75799560999997</v>
      </c>
    </row>
    <row r="13" spans="1:14" x14ac:dyDescent="0.25">
      <c r="A13">
        <v>1.2984000000000001E-2</v>
      </c>
      <c r="B13" s="1">
        <f>DATE(2010,5,1) + TIME(0,18,41)</f>
        <v>40299.012974537036</v>
      </c>
      <c r="C13">
        <v>7385.0883789</v>
      </c>
      <c r="D13">
        <v>3565.1528320000002</v>
      </c>
      <c r="E13">
        <v>857.54760741999996</v>
      </c>
      <c r="F13">
        <v>101.32499695</v>
      </c>
      <c r="G13">
        <v>80</v>
      </c>
      <c r="H13">
        <v>16.173219680999999</v>
      </c>
      <c r="I13">
        <v>50</v>
      </c>
      <c r="J13">
        <v>14.951674461</v>
      </c>
      <c r="K13">
        <v>2400</v>
      </c>
      <c r="L13">
        <v>0</v>
      </c>
      <c r="M13">
        <v>0</v>
      </c>
      <c r="N13">
        <v>542.91009521000001</v>
      </c>
    </row>
    <row r="14" spans="1:14" x14ac:dyDescent="0.25">
      <c r="A14">
        <v>2.2877999999999999E-2</v>
      </c>
      <c r="B14" s="1">
        <f>DATE(2010,5,1) + TIME(0,32,56)</f>
        <v>40299.022870370369</v>
      </c>
      <c r="C14">
        <v>7870.0644530999998</v>
      </c>
      <c r="D14">
        <v>4125.1401366999999</v>
      </c>
      <c r="E14">
        <v>789.73461913999995</v>
      </c>
      <c r="F14">
        <v>101.32499695</v>
      </c>
      <c r="G14">
        <v>80</v>
      </c>
      <c r="H14">
        <v>16.936254501000001</v>
      </c>
      <c r="I14">
        <v>50</v>
      </c>
      <c r="J14">
        <v>14.944815636</v>
      </c>
      <c r="K14">
        <v>2400</v>
      </c>
      <c r="L14">
        <v>0</v>
      </c>
      <c r="M14">
        <v>0</v>
      </c>
      <c r="N14">
        <v>494.62841796999999</v>
      </c>
    </row>
    <row r="15" spans="1:14" x14ac:dyDescent="0.25">
      <c r="A15">
        <v>3.5845000000000002E-2</v>
      </c>
      <c r="B15" s="1">
        <f>DATE(2010,5,1) + TIME(0,51,37)</f>
        <v>40299.035844907405</v>
      </c>
      <c r="C15">
        <v>8214.5654297000001</v>
      </c>
      <c r="D15">
        <v>4559.7963866999999</v>
      </c>
      <c r="E15">
        <v>744.48828125</v>
      </c>
      <c r="F15">
        <v>101.32499695</v>
      </c>
      <c r="G15">
        <v>80</v>
      </c>
      <c r="H15">
        <v>17.891426085999999</v>
      </c>
      <c r="I15">
        <v>50</v>
      </c>
      <c r="J15">
        <v>14.940283774999999</v>
      </c>
      <c r="K15">
        <v>2400</v>
      </c>
      <c r="L15">
        <v>0</v>
      </c>
      <c r="M15">
        <v>0</v>
      </c>
      <c r="N15">
        <v>462.58840942</v>
      </c>
    </row>
    <row r="16" spans="1:14" x14ac:dyDescent="0.25">
      <c r="A16">
        <v>4.9419999999999999E-2</v>
      </c>
      <c r="B16" s="1">
        <f>DATE(2010,5,1) + TIME(1,11,9)</f>
        <v>40299.049409722225</v>
      </c>
      <c r="C16">
        <v>8429.25</v>
      </c>
      <c r="D16">
        <v>4862.2421875</v>
      </c>
      <c r="E16">
        <v>715.33764647999999</v>
      </c>
      <c r="F16">
        <v>101.32499695</v>
      </c>
      <c r="G16">
        <v>80</v>
      </c>
      <c r="H16">
        <v>18.861431121999999</v>
      </c>
      <c r="I16">
        <v>50</v>
      </c>
      <c r="J16">
        <v>14.937394142</v>
      </c>
      <c r="K16">
        <v>2400</v>
      </c>
      <c r="L16">
        <v>0</v>
      </c>
      <c r="M16">
        <v>0</v>
      </c>
      <c r="N16">
        <v>442.06002808</v>
      </c>
    </row>
    <row r="17" spans="1:14" x14ac:dyDescent="0.25">
      <c r="A17">
        <v>6.3412999999999997E-2</v>
      </c>
      <c r="B17" s="1">
        <f>DATE(2010,5,1) + TIME(1,31,18)</f>
        <v>40299.063402777778</v>
      </c>
      <c r="C17">
        <v>8569.1357422000001</v>
      </c>
      <c r="D17">
        <v>5086.9179688000004</v>
      </c>
      <c r="E17">
        <v>694.46020508000004</v>
      </c>
      <c r="F17">
        <v>101.32499695</v>
      </c>
      <c r="G17">
        <v>80</v>
      </c>
      <c r="H17">
        <v>19.837957381999999</v>
      </c>
      <c r="I17">
        <v>50</v>
      </c>
      <c r="J17">
        <v>14.935346602999999</v>
      </c>
      <c r="K17">
        <v>2400</v>
      </c>
      <c r="L17">
        <v>0</v>
      </c>
      <c r="M17">
        <v>0</v>
      </c>
      <c r="N17">
        <v>427.43548584000001</v>
      </c>
    </row>
    <row r="18" spans="1:14" x14ac:dyDescent="0.25">
      <c r="A18">
        <v>7.7742000000000006E-2</v>
      </c>
      <c r="B18" s="1">
        <f>DATE(2010,5,1) + TIME(1,51,56)</f>
        <v>40299.077731481484</v>
      </c>
      <c r="C18">
        <v>8662.5878905999998</v>
      </c>
      <c r="D18">
        <v>5262.1328125</v>
      </c>
      <c r="E18">
        <v>678.43511963000003</v>
      </c>
      <c r="F18">
        <v>101.32499695</v>
      </c>
      <c r="G18">
        <v>80</v>
      </c>
      <c r="H18">
        <v>20.818288803000002</v>
      </c>
      <c r="I18">
        <v>50</v>
      </c>
      <c r="J18">
        <v>14.933792113999999</v>
      </c>
      <c r="K18">
        <v>2400</v>
      </c>
      <c r="L18">
        <v>0</v>
      </c>
      <c r="M18">
        <v>0</v>
      </c>
      <c r="N18">
        <v>416.26586914000001</v>
      </c>
    </row>
    <row r="19" spans="1:14" x14ac:dyDescent="0.25">
      <c r="A19">
        <v>9.2356999999999995E-2</v>
      </c>
      <c r="B19" s="1">
        <f>DATE(2010,5,1) + TIME(2,12,59)</f>
        <v>40299.092349537037</v>
      </c>
      <c r="C19">
        <v>8725.4707030999998</v>
      </c>
      <c r="D19">
        <v>5403.6894530999998</v>
      </c>
      <c r="E19">
        <v>665.54791260000002</v>
      </c>
      <c r="F19">
        <v>101.32499695</v>
      </c>
      <c r="G19">
        <v>80</v>
      </c>
      <c r="H19">
        <v>21.799583434999999</v>
      </c>
      <c r="I19">
        <v>50</v>
      </c>
      <c r="J19">
        <v>14.932555198999999</v>
      </c>
      <c r="K19">
        <v>2400</v>
      </c>
      <c r="L19">
        <v>0</v>
      </c>
      <c r="M19">
        <v>0</v>
      </c>
      <c r="N19">
        <v>407.32537841999999</v>
      </c>
    </row>
    <row r="20" spans="1:14" x14ac:dyDescent="0.25">
      <c r="A20">
        <v>0.107247</v>
      </c>
      <c r="B20" s="1">
        <f>DATE(2010,5,1) + TIME(2,34,26)</f>
        <v>40299.107245370367</v>
      </c>
      <c r="C20">
        <v>8767.3476561999996</v>
      </c>
      <c r="D20">
        <v>5521.2919922000001</v>
      </c>
      <c r="E20">
        <v>654.82019043000003</v>
      </c>
      <c r="F20">
        <v>101.32499695</v>
      </c>
      <c r="G20">
        <v>80</v>
      </c>
      <c r="H20">
        <v>22.781507491999999</v>
      </c>
      <c r="I20">
        <v>50</v>
      </c>
      <c r="J20">
        <v>14.931537627999999</v>
      </c>
      <c r="K20">
        <v>2400</v>
      </c>
      <c r="L20">
        <v>0</v>
      </c>
      <c r="M20">
        <v>0</v>
      </c>
      <c r="N20">
        <v>399.91583251999998</v>
      </c>
    </row>
    <row r="21" spans="1:14" x14ac:dyDescent="0.25">
      <c r="A21">
        <v>0.12241</v>
      </c>
      <c r="B21" s="1">
        <f>DATE(2010,5,1) + TIME(2,56,16)</f>
        <v>40299.122407407405</v>
      </c>
      <c r="C21">
        <v>8794.2666016000003</v>
      </c>
      <c r="D21">
        <v>5621.1230469000002</v>
      </c>
      <c r="E21">
        <v>645.65814208999996</v>
      </c>
      <c r="F21">
        <v>101.32499695</v>
      </c>
      <c r="G21">
        <v>80</v>
      </c>
      <c r="H21">
        <v>23.763790131</v>
      </c>
      <c r="I21">
        <v>50</v>
      </c>
      <c r="J21">
        <v>14.930678368000001</v>
      </c>
      <c r="K21">
        <v>2400</v>
      </c>
      <c r="L21">
        <v>0</v>
      </c>
      <c r="M21">
        <v>0</v>
      </c>
      <c r="N21">
        <v>393.61416625999999</v>
      </c>
    </row>
    <row r="22" spans="1:14" x14ac:dyDescent="0.25">
      <c r="A22">
        <v>0.13784199999999999</v>
      </c>
      <c r="B22" s="1">
        <f>DATE(2010,5,1) + TIME(3,18,29)</f>
        <v>40299.137835648151</v>
      </c>
      <c r="C22">
        <v>8810.2636719000002</v>
      </c>
      <c r="D22">
        <v>5707.3466797000001</v>
      </c>
      <c r="E22">
        <v>637.67675781000003</v>
      </c>
      <c r="F22">
        <v>101.32499695</v>
      </c>
      <c r="G22">
        <v>80</v>
      </c>
      <c r="H22">
        <v>24.746187209999999</v>
      </c>
      <c r="I22">
        <v>50</v>
      </c>
      <c r="J22">
        <v>14.929938315999999</v>
      </c>
      <c r="K22">
        <v>2400</v>
      </c>
      <c r="L22">
        <v>0</v>
      </c>
      <c r="M22">
        <v>0</v>
      </c>
      <c r="N22">
        <v>388.14654540999999</v>
      </c>
    </row>
    <row r="23" spans="1:14" x14ac:dyDescent="0.25">
      <c r="A23">
        <v>0.15354799999999999</v>
      </c>
      <c r="B23" s="1">
        <f>DATE(2010,5,1) + TIME(3,41,6)</f>
        <v>40299.153541666667</v>
      </c>
      <c r="C23">
        <v>8818.1035155999998</v>
      </c>
      <c r="D23">
        <v>5782.8847655999998</v>
      </c>
      <c r="E23">
        <v>630.61328125</v>
      </c>
      <c r="F23">
        <v>101.32499695</v>
      </c>
      <c r="G23">
        <v>80</v>
      </c>
      <c r="H23">
        <v>25.729045868</v>
      </c>
      <c r="I23">
        <v>50</v>
      </c>
      <c r="J23">
        <v>14.929290771</v>
      </c>
      <c r="K23">
        <v>2400</v>
      </c>
      <c r="L23">
        <v>0</v>
      </c>
      <c r="M23">
        <v>0</v>
      </c>
      <c r="N23">
        <v>383.32617188</v>
      </c>
    </row>
    <row r="24" spans="1:14" x14ac:dyDescent="0.25">
      <c r="A24">
        <v>0.16952300000000001</v>
      </c>
      <c r="B24" s="1">
        <f>DATE(2010,5,1) + TIME(4,4,6)</f>
        <v>40299.16951388889</v>
      </c>
      <c r="C24">
        <v>8819.8173827999999</v>
      </c>
      <c r="D24">
        <v>5849.8334961</v>
      </c>
      <c r="E24">
        <v>624.28405762</v>
      </c>
      <c r="F24">
        <v>101.32499695</v>
      </c>
      <c r="G24">
        <v>80</v>
      </c>
      <c r="H24">
        <v>26.711456299000002</v>
      </c>
      <c r="I24">
        <v>50</v>
      </c>
      <c r="J24">
        <v>14.928718567000001</v>
      </c>
      <c r="K24">
        <v>2400</v>
      </c>
      <c r="L24">
        <v>0</v>
      </c>
      <c r="M24">
        <v>0</v>
      </c>
      <c r="N24">
        <v>379.02270507999998</v>
      </c>
    </row>
    <row r="25" spans="1:14" x14ac:dyDescent="0.25">
      <c r="A25">
        <v>0.185779</v>
      </c>
      <c r="B25" s="1">
        <f>DATE(2010,5,1) + TIME(4,27,31)</f>
        <v>40299.18577546296</v>
      </c>
      <c r="C25">
        <v>8816.8994141000003</v>
      </c>
      <c r="D25">
        <v>5909.8134766000003</v>
      </c>
      <c r="E25">
        <v>618.55004883000004</v>
      </c>
      <c r="F25">
        <v>101.32499695</v>
      </c>
      <c r="G25">
        <v>80</v>
      </c>
      <c r="H25">
        <v>27.693487167000001</v>
      </c>
      <c r="I25">
        <v>50</v>
      </c>
      <c r="J25">
        <v>14.928206444000001</v>
      </c>
      <c r="K25">
        <v>2400</v>
      </c>
      <c r="L25">
        <v>0</v>
      </c>
      <c r="M25">
        <v>0</v>
      </c>
      <c r="N25">
        <v>375.13778687000001</v>
      </c>
    </row>
    <row r="26" spans="1:14" x14ac:dyDescent="0.25">
      <c r="A26">
        <v>0.20232600000000001</v>
      </c>
      <c r="B26" s="1">
        <f>DATE(2010,5,1) + TIME(4,51,21)</f>
        <v>40299.202326388891</v>
      </c>
      <c r="C26">
        <v>8810.4550780999998</v>
      </c>
      <c r="D26">
        <v>5964.0502930000002</v>
      </c>
      <c r="E26">
        <v>613.30773925999995</v>
      </c>
      <c r="F26">
        <v>101.32499695</v>
      </c>
      <c r="G26">
        <v>80</v>
      </c>
      <c r="H26">
        <v>28.675247192</v>
      </c>
      <c r="I26">
        <v>50</v>
      </c>
      <c r="J26">
        <v>14.927742958</v>
      </c>
      <c r="K26">
        <v>2400</v>
      </c>
      <c r="L26">
        <v>0</v>
      </c>
      <c r="M26">
        <v>0</v>
      </c>
      <c r="N26">
        <v>371.59811401000002</v>
      </c>
    </row>
    <row r="27" spans="1:14" x14ac:dyDescent="0.25">
      <c r="A27">
        <v>0.21917500000000001</v>
      </c>
      <c r="B27" s="1">
        <f>DATE(2010,5,1) + TIME(5,15,36)</f>
        <v>40299.219166666669</v>
      </c>
      <c r="C27">
        <v>8801.3261719000002</v>
      </c>
      <c r="D27">
        <v>6013.4877930000002</v>
      </c>
      <c r="E27">
        <v>608.47833251999998</v>
      </c>
      <c r="F27">
        <v>101.32499695</v>
      </c>
      <c r="G27">
        <v>80</v>
      </c>
      <c r="H27">
        <v>29.656692504999999</v>
      </c>
      <c r="I27">
        <v>50</v>
      </c>
      <c r="J27">
        <v>14.927322388</v>
      </c>
      <c r="K27">
        <v>2400</v>
      </c>
      <c r="L27">
        <v>0</v>
      </c>
      <c r="M27">
        <v>0</v>
      </c>
      <c r="N27">
        <v>368.34802245999998</v>
      </c>
    </row>
    <row r="28" spans="1:14" x14ac:dyDescent="0.25">
      <c r="A28">
        <v>0.23633499999999999</v>
      </c>
      <c r="B28" s="1">
        <f>DATE(2010,5,1) + TIME(5,40,19)</f>
        <v>40299.236331018517</v>
      </c>
      <c r="C28">
        <v>8790.1523438000004</v>
      </c>
      <c r="D28">
        <v>6058.8720702999999</v>
      </c>
      <c r="E28">
        <v>604.00024413999995</v>
      </c>
      <c r="F28">
        <v>101.32499695</v>
      </c>
      <c r="G28">
        <v>80</v>
      </c>
      <c r="H28">
        <v>30.637933731</v>
      </c>
      <c r="I28">
        <v>50</v>
      </c>
      <c r="J28">
        <v>14.926938056999999</v>
      </c>
      <c r="K28">
        <v>2400</v>
      </c>
      <c r="L28">
        <v>0</v>
      </c>
      <c r="M28">
        <v>0</v>
      </c>
      <c r="N28">
        <v>365.34402466</v>
      </c>
    </row>
    <row r="29" spans="1:14" x14ac:dyDescent="0.25">
      <c r="A29">
        <v>0.25381500000000001</v>
      </c>
      <c r="B29" s="1">
        <f>DATE(2010,5,1) + TIME(6,5,29)</f>
        <v>40299.253807870373</v>
      </c>
      <c r="C29">
        <v>8777.4453125</v>
      </c>
      <c r="D29">
        <v>6100.7949219000002</v>
      </c>
      <c r="E29">
        <v>599.82519531000003</v>
      </c>
      <c r="F29">
        <v>101.32499695</v>
      </c>
      <c r="G29">
        <v>80</v>
      </c>
      <c r="H29">
        <v>31.618730544999998</v>
      </c>
      <c r="I29">
        <v>50</v>
      </c>
      <c r="J29">
        <v>14.92658329</v>
      </c>
      <c r="K29">
        <v>2400</v>
      </c>
      <c r="L29">
        <v>0</v>
      </c>
      <c r="M29">
        <v>0</v>
      </c>
      <c r="N29">
        <v>362.55197143999999</v>
      </c>
    </row>
    <row r="30" spans="1:14" x14ac:dyDescent="0.25">
      <c r="A30">
        <v>0.27162799999999998</v>
      </c>
      <c r="B30" s="1">
        <f>DATE(2010,5,1) + TIME(6,31,8)</f>
        <v>40299.271620370368</v>
      </c>
      <c r="C30">
        <v>8763.6103516000003</v>
      </c>
      <c r="D30">
        <v>6139.7485352000003</v>
      </c>
      <c r="E30">
        <v>595.91357421999999</v>
      </c>
      <c r="F30">
        <v>101.32499695</v>
      </c>
      <c r="G30">
        <v>80</v>
      </c>
      <c r="H30">
        <v>32.599040985000002</v>
      </c>
      <c r="I30">
        <v>50</v>
      </c>
      <c r="J30">
        <v>14.926257133</v>
      </c>
      <c r="K30">
        <v>2400</v>
      </c>
      <c r="L30">
        <v>0</v>
      </c>
      <c r="M30">
        <v>0</v>
      </c>
      <c r="N30">
        <v>359.94393921</v>
      </c>
    </row>
    <row r="31" spans="1:14" x14ac:dyDescent="0.25">
      <c r="A31">
        <v>0.28978999999999999</v>
      </c>
      <c r="B31" s="1">
        <f>DATE(2010,5,1) + TIME(6,57,17)</f>
        <v>40299.289780092593</v>
      </c>
      <c r="C31">
        <v>8748.9658202999999</v>
      </c>
      <c r="D31">
        <v>6176.1372069999998</v>
      </c>
      <c r="E31">
        <v>592.23315430000002</v>
      </c>
      <c r="F31">
        <v>101.32499695</v>
      </c>
      <c r="G31">
        <v>80</v>
      </c>
      <c r="H31">
        <v>33.578918457</v>
      </c>
      <c r="I31">
        <v>50</v>
      </c>
      <c r="J31">
        <v>14.925953865</v>
      </c>
      <c r="K31">
        <v>2400</v>
      </c>
      <c r="L31">
        <v>0</v>
      </c>
      <c r="M31">
        <v>0</v>
      </c>
      <c r="N31">
        <v>357.49716187000001</v>
      </c>
    </row>
    <row r="32" spans="1:14" x14ac:dyDescent="0.25">
      <c r="A32">
        <v>0.308313</v>
      </c>
      <c r="B32" s="1">
        <f>DATE(2010,5,1) + TIME(7,23,58)</f>
        <v>40299.308310185188</v>
      </c>
      <c r="C32">
        <v>8733.7646483999997</v>
      </c>
      <c r="D32">
        <v>6210.2929688000004</v>
      </c>
      <c r="E32">
        <v>588.75799560999997</v>
      </c>
      <c r="F32">
        <v>101.32499695</v>
      </c>
      <c r="G32">
        <v>80</v>
      </c>
      <c r="H32">
        <v>34.558330536</v>
      </c>
      <c r="I32">
        <v>50</v>
      </c>
      <c r="J32">
        <v>14.925671576999999</v>
      </c>
      <c r="K32">
        <v>2400</v>
      </c>
      <c r="L32">
        <v>0</v>
      </c>
      <c r="M32">
        <v>0</v>
      </c>
      <c r="N32">
        <v>355.19329834000001</v>
      </c>
    </row>
    <row r="33" spans="1:14" x14ac:dyDescent="0.25">
      <c r="A33">
        <v>0.327214</v>
      </c>
      <c r="B33" s="1">
        <f>DATE(2010,5,1) + TIME(7,51,11)</f>
        <v>40299.327210648145</v>
      </c>
      <c r="C33">
        <v>8718.2128905999998</v>
      </c>
      <c r="D33">
        <v>6242.4931641000003</v>
      </c>
      <c r="E33">
        <v>585.46667479999996</v>
      </c>
      <c r="F33">
        <v>101.32499695</v>
      </c>
      <c r="G33">
        <v>80</v>
      </c>
      <c r="H33">
        <v>35.537258147999999</v>
      </c>
      <c r="I33">
        <v>50</v>
      </c>
      <c r="J33">
        <v>14.925408363000001</v>
      </c>
      <c r="K33">
        <v>2400</v>
      </c>
      <c r="L33">
        <v>0</v>
      </c>
      <c r="M33">
        <v>0</v>
      </c>
      <c r="N33">
        <v>353.01721191000001</v>
      </c>
    </row>
    <row r="34" spans="1:14" x14ac:dyDescent="0.25">
      <c r="A34">
        <v>0.34650900000000001</v>
      </c>
      <c r="B34" s="1">
        <f>DATE(2010,5,1) + TIME(8,18,58)</f>
        <v>40299.346504629626</v>
      </c>
      <c r="C34">
        <v>8702.4746094000002</v>
      </c>
      <c r="D34">
        <v>6272.9721680000002</v>
      </c>
      <c r="E34">
        <v>582.34155272999999</v>
      </c>
      <c r="F34">
        <v>101.32499695</v>
      </c>
      <c r="G34">
        <v>80</v>
      </c>
      <c r="H34">
        <v>36.515674591</v>
      </c>
      <c r="I34">
        <v>50</v>
      </c>
      <c r="J34">
        <v>14.925162315</v>
      </c>
      <c r="K34">
        <v>2400</v>
      </c>
      <c r="L34">
        <v>0</v>
      </c>
      <c r="M34">
        <v>0</v>
      </c>
      <c r="N34">
        <v>350.95629882999998</v>
      </c>
    </row>
    <row r="35" spans="1:14" x14ac:dyDescent="0.25">
      <c r="A35">
        <v>0.36621599999999999</v>
      </c>
      <c r="B35" s="1">
        <f>DATE(2010,5,1) + TIME(8,47,21)</f>
        <v>40299.366215277776</v>
      </c>
      <c r="C35">
        <v>8686.6826172000001</v>
      </c>
      <c r="D35">
        <v>6301.9296875</v>
      </c>
      <c r="E35">
        <v>579.36810303000004</v>
      </c>
      <c r="F35">
        <v>101.32499695</v>
      </c>
      <c r="G35">
        <v>80</v>
      </c>
      <c r="H35">
        <v>37.493553161999998</v>
      </c>
      <c r="I35">
        <v>50</v>
      </c>
      <c r="J35">
        <v>14.924933434</v>
      </c>
      <c r="K35">
        <v>2400</v>
      </c>
      <c r="L35">
        <v>0</v>
      </c>
      <c r="M35">
        <v>0</v>
      </c>
      <c r="N35">
        <v>349.00030518</v>
      </c>
    </row>
    <row r="36" spans="1:14" x14ac:dyDescent="0.25">
      <c r="A36">
        <v>0.386353</v>
      </c>
      <c r="B36" s="1">
        <f>DATE(2010,5,1) + TIME(9,16,20)</f>
        <v>40299.386342592596</v>
      </c>
      <c r="C36">
        <v>8670.9462891000003</v>
      </c>
      <c r="D36">
        <v>6329.5356444999998</v>
      </c>
      <c r="E36">
        <v>576.53436279000005</v>
      </c>
      <c r="F36">
        <v>101.32499695</v>
      </c>
      <c r="G36">
        <v>80</v>
      </c>
      <c r="H36">
        <v>38.470874786000003</v>
      </c>
      <c r="I36">
        <v>50</v>
      </c>
      <c r="J36">
        <v>14.924717902999999</v>
      </c>
      <c r="K36">
        <v>2400</v>
      </c>
      <c r="L36">
        <v>0</v>
      </c>
      <c r="M36">
        <v>0</v>
      </c>
      <c r="N36">
        <v>347.14053345000002</v>
      </c>
    </row>
    <row r="37" spans="1:14" x14ac:dyDescent="0.25">
      <c r="A37">
        <v>0.406941</v>
      </c>
      <c r="B37" s="1">
        <f>DATE(2010,5,1) + TIME(9,45,59)</f>
        <v>40299.40693287037</v>
      </c>
      <c r="C37">
        <v>8655.3535155999998</v>
      </c>
      <c r="D37">
        <v>6355.9370116999999</v>
      </c>
      <c r="E37">
        <v>573.83044433999999</v>
      </c>
      <c r="F37">
        <v>101.32499695</v>
      </c>
      <c r="G37">
        <v>80</v>
      </c>
      <c r="H37">
        <v>39.447608948000003</v>
      </c>
      <c r="I37">
        <v>50</v>
      </c>
      <c r="J37">
        <v>14.924516678</v>
      </c>
      <c r="K37">
        <v>2400</v>
      </c>
      <c r="L37">
        <v>0</v>
      </c>
      <c r="M37">
        <v>0</v>
      </c>
      <c r="N37">
        <v>345.36993408000001</v>
      </c>
    </row>
    <row r="38" spans="1:14" x14ac:dyDescent="0.25">
      <c r="A38">
        <v>0.42800100000000002</v>
      </c>
      <c r="B38" s="1">
        <f>DATE(2010,5,1) + TIME(10,16,19)</f>
        <v>40299.427997685183</v>
      </c>
      <c r="C38">
        <v>8639.9697266000003</v>
      </c>
      <c r="D38">
        <v>6381.2602539</v>
      </c>
      <c r="E38">
        <v>571.24835204999999</v>
      </c>
      <c r="F38">
        <v>101.32499695</v>
      </c>
      <c r="G38">
        <v>80</v>
      </c>
      <c r="H38">
        <v>40.423828125</v>
      </c>
      <c r="I38">
        <v>50</v>
      </c>
      <c r="J38">
        <v>14.924329758000001</v>
      </c>
      <c r="K38">
        <v>2400</v>
      </c>
      <c r="L38">
        <v>0</v>
      </c>
      <c r="M38">
        <v>0</v>
      </c>
      <c r="N38">
        <v>343.68264771000003</v>
      </c>
    </row>
    <row r="39" spans="1:14" x14ac:dyDescent="0.25">
      <c r="A39">
        <v>0.44955499999999998</v>
      </c>
      <c r="B39" s="1">
        <f>DATE(2010,5,1) + TIME(10,47,21)</f>
        <v>40299.449548611112</v>
      </c>
      <c r="C39">
        <v>8624.8535155999998</v>
      </c>
      <c r="D39">
        <v>6405.6123047000001</v>
      </c>
      <c r="E39">
        <v>568.78173828000001</v>
      </c>
      <c r="F39">
        <v>101.32499695</v>
      </c>
      <c r="G39">
        <v>80</v>
      </c>
      <c r="H39">
        <v>41.399440765000001</v>
      </c>
      <c r="I39">
        <v>50</v>
      </c>
      <c r="J39">
        <v>14.924154282</v>
      </c>
      <c r="K39">
        <v>2400</v>
      </c>
      <c r="L39">
        <v>0</v>
      </c>
      <c r="M39">
        <v>0</v>
      </c>
      <c r="N39">
        <v>342.07400512999999</v>
      </c>
    </row>
    <row r="40" spans="1:14" x14ac:dyDescent="0.25">
      <c r="A40">
        <v>0.47162599999999999</v>
      </c>
      <c r="B40" s="1">
        <f>DATE(2010,5,1) + TIME(11,19,8)</f>
        <v>40299.471620370372</v>
      </c>
      <c r="C40">
        <v>8610.0556641000003</v>
      </c>
      <c r="D40">
        <v>6429.0898438000004</v>
      </c>
      <c r="E40">
        <v>566.42553711000005</v>
      </c>
      <c r="F40">
        <v>101.32499695</v>
      </c>
      <c r="G40">
        <v>80</v>
      </c>
      <c r="H40">
        <v>42.374256133999999</v>
      </c>
      <c r="I40">
        <v>50</v>
      </c>
      <c r="J40">
        <v>14.923991203</v>
      </c>
      <c r="K40">
        <v>2400</v>
      </c>
      <c r="L40">
        <v>0</v>
      </c>
      <c r="M40">
        <v>0</v>
      </c>
      <c r="N40">
        <v>340.54013062000001</v>
      </c>
    </row>
    <row r="41" spans="1:14" x14ac:dyDescent="0.25">
      <c r="A41">
        <v>0.49424499999999999</v>
      </c>
      <c r="B41" s="1">
        <f>DATE(2010,5,1) + TIME(11,51,42)</f>
        <v>40299.49423611111</v>
      </c>
      <c r="C41">
        <v>8595.6152344000002</v>
      </c>
      <c r="D41">
        <v>6451.7827147999997</v>
      </c>
      <c r="E41">
        <v>564.17529296999999</v>
      </c>
      <c r="F41">
        <v>101.32499695</v>
      </c>
      <c r="G41">
        <v>80</v>
      </c>
      <c r="H41">
        <v>43.348369597999998</v>
      </c>
      <c r="I41">
        <v>50</v>
      </c>
      <c r="J41">
        <v>14.923839569</v>
      </c>
      <c r="K41">
        <v>2400</v>
      </c>
      <c r="L41">
        <v>0</v>
      </c>
      <c r="M41">
        <v>0</v>
      </c>
      <c r="N41">
        <v>339.07772827000002</v>
      </c>
    </row>
    <row r="42" spans="1:14" x14ac:dyDescent="0.25">
      <c r="A42">
        <v>0.51744000000000001</v>
      </c>
      <c r="B42" s="1">
        <f>DATE(2010,5,1) + TIME(12,25,6)</f>
        <v>40299.517430555556</v>
      </c>
      <c r="C42">
        <v>8581.5634766000003</v>
      </c>
      <c r="D42">
        <v>6473.7670897999997</v>
      </c>
      <c r="E42">
        <v>562.02801513999998</v>
      </c>
      <c r="F42">
        <v>101.32499695</v>
      </c>
      <c r="G42">
        <v>80</v>
      </c>
      <c r="H42">
        <v>44.321743011000002</v>
      </c>
      <c r="I42">
        <v>50</v>
      </c>
      <c r="J42">
        <v>14.923699379</v>
      </c>
      <c r="K42">
        <v>2400</v>
      </c>
      <c r="L42">
        <v>0</v>
      </c>
      <c r="M42">
        <v>0</v>
      </c>
      <c r="N42">
        <v>337.68435669000002</v>
      </c>
    </row>
    <row r="43" spans="1:14" x14ac:dyDescent="0.25">
      <c r="A43">
        <v>0.54124399999999995</v>
      </c>
      <c r="B43" s="1">
        <f>DATE(2010,5,1) + TIME(12,59,23)</f>
        <v>40299.541238425925</v>
      </c>
      <c r="C43">
        <v>8567.9238280999998</v>
      </c>
      <c r="D43">
        <v>6495.1103516000003</v>
      </c>
      <c r="E43">
        <v>559.98150635000002</v>
      </c>
      <c r="F43">
        <v>101.32499695</v>
      </c>
      <c r="G43">
        <v>80</v>
      </c>
      <c r="H43">
        <v>45.294338226000001</v>
      </c>
      <c r="I43">
        <v>50</v>
      </c>
      <c r="J43">
        <v>14.923570633000001</v>
      </c>
      <c r="K43">
        <v>2400</v>
      </c>
      <c r="L43">
        <v>0</v>
      </c>
      <c r="M43">
        <v>0</v>
      </c>
      <c r="N43">
        <v>336.35815430000002</v>
      </c>
    </row>
    <row r="44" spans="1:14" x14ac:dyDescent="0.25">
      <c r="A44">
        <v>0.565689</v>
      </c>
      <c r="B44" s="1">
        <f>DATE(2010,5,1) + TIME(13,34,35)</f>
        <v>40299.565682870372</v>
      </c>
      <c r="C44">
        <v>8554.7167969000002</v>
      </c>
      <c r="D44">
        <v>6515.8735352000003</v>
      </c>
      <c r="E44">
        <v>558.03424071999996</v>
      </c>
      <c r="F44">
        <v>101.32499695</v>
      </c>
      <c r="G44">
        <v>80</v>
      </c>
      <c r="H44">
        <v>46.266120911000002</v>
      </c>
      <c r="I44">
        <v>50</v>
      </c>
      <c r="J44">
        <v>14.923454285</v>
      </c>
      <c r="K44">
        <v>2400</v>
      </c>
      <c r="L44">
        <v>0</v>
      </c>
      <c r="M44">
        <v>0</v>
      </c>
      <c r="N44">
        <v>335.09780884000003</v>
      </c>
    </row>
    <row r="45" spans="1:14" x14ac:dyDescent="0.25">
      <c r="A45">
        <v>0.59081399999999995</v>
      </c>
      <c r="B45" s="1">
        <f>DATE(2010,5,1) + TIME(14,10,46)</f>
        <v>40299.590810185182</v>
      </c>
      <c r="C45">
        <v>8541.9580077999999</v>
      </c>
      <c r="D45">
        <v>6536.1103516000003</v>
      </c>
      <c r="E45">
        <v>556.18560791000004</v>
      </c>
      <c r="F45">
        <v>101.32499695</v>
      </c>
      <c r="G45">
        <v>80</v>
      </c>
      <c r="H45">
        <v>47.237045287999997</v>
      </c>
      <c r="I45">
        <v>50</v>
      </c>
      <c r="J45">
        <v>14.923348427000001</v>
      </c>
      <c r="K45">
        <v>2400</v>
      </c>
      <c r="L45">
        <v>0</v>
      </c>
      <c r="M45">
        <v>0</v>
      </c>
      <c r="N45">
        <v>333.90246581999997</v>
      </c>
    </row>
    <row r="46" spans="1:14" x14ac:dyDescent="0.25">
      <c r="A46">
        <v>0.61665700000000001</v>
      </c>
      <c r="B46" s="1">
        <f>DATE(2010,5,1) + TIME(14,47,59)</f>
        <v>40299.616655092592</v>
      </c>
      <c r="C46">
        <v>8529.6621094000002</v>
      </c>
      <c r="D46">
        <v>6555.8715819999998</v>
      </c>
      <c r="E46">
        <v>554.43536376999998</v>
      </c>
      <c r="F46">
        <v>101.32499695</v>
      </c>
      <c r="G46">
        <v>80</v>
      </c>
      <c r="H46">
        <v>48.207069396999998</v>
      </c>
      <c r="I46">
        <v>50</v>
      </c>
      <c r="J46">
        <v>14.923254012999999</v>
      </c>
      <c r="K46">
        <v>2400</v>
      </c>
      <c r="L46">
        <v>0</v>
      </c>
      <c r="M46">
        <v>0</v>
      </c>
      <c r="N46">
        <v>332.77163696000002</v>
      </c>
    </row>
    <row r="47" spans="1:14" x14ac:dyDescent="0.25">
      <c r="A47">
        <v>0.64326399999999995</v>
      </c>
      <c r="B47" s="1">
        <f>DATE(2010,5,1) + TIME(15,26,18)</f>
        <v>40299.643263888887</v>
      </c>
      <c r="C47">
        <v>8517.8388672000001</v>
      </c>
      <c r="D47">
        <v>6575.203125</v>
      </c>
      <c r="E47">
        <v>552.78399658000001</v>
      </c>
      <c r="F47">
        <v>101.32499695</v>
      </c>
      <c r="G47">
        <v>80</v>
      </c>
      <c r="H47">
        <v>49.176136016999997</v>
      </c>
      <c r="I47">
        <v>50</v>
      </c>
      <c r="J47">
        <v>14.923171997000001</v>
      </c>
      <c r="K47">
        <v>2400</v>
      </c>
      <c r="L47">
        <v>0</v>
      </c>
      <c r="M47">
        <v>0</v>
      </c>
      <c r="N47">
        <v>331.70532227000001</v>
      </c>
    </row>
    <row r="48" spans="1:14" x14ac:dyDescent="0.25">
      <c r="A48">
        <v>0.670682</v>
      </c>
      <c r="B48" s="1">
        <f>DATE(2010,5,1) + TIME(16,5,46)</f>
        <v>40299.670671296299</v>
      </c>
      <c r="C48">
        <v>8506.4990233999997</v>
      </c>
      <c r="D48">
        <v>6594.1455077999999</v>
      </c>
      <c r="E48">
        <v>551.23242187999995</v>
      </c>
      <c r="F48">
        <v>101.32499695</v>
      </c>
      <c r="G48">
        <v>80</v>
      </c>
      <c r="H48">
        <v>50.144126892000003</v>
      </c>
      <c r="I48">
        <v>50</v>
      </c>
      <c r="J48">
        <v>14.923101425</v>
      </c>
      <c r="K48">
        <v>2400</v>
      </c>
      <c r="L48">
        <v>0</v>
      </c>
      <c r="M48">
        <v>0</v>
      </c>
      <c r="N48">
        <v>330.70373534999999</v>
      </c>
    </row>
    <row r="49" spans="1:14" x14ac:dyDescent="0.25">
      <c r="A49">
        <v>0.69896499999999995</v>
      </c>
      <c r="B49" s="1">
        <f>DATE(2010,5,1) + TIME(16,46,30)</f>
        <v>40299.698958333334</v>
      </c>
      <c r="C49">
        <v>8495.6611327999999</v>
      </c>
      <c r="D49">
        <v>6612.7416991999999</v>
      </c>
      <c r="E49">
        <v>549.78198241999996</v>
      </c>
      <c r="F49">
        <v>101.32499695</v>
      </c>
      <c r="G49">
        <v>80</v>
      </c>
      <c r="H49">
        <v>51.110733031999999</v>
      </c>
      <c r="I49">
        <v>50</v>
      </c>
      <c r="J49">
        <v>14.923042297</v>
      </c>
      <c r="K49">
        <v>2400</v>
      </c>
      <c r="L49">
        <v>0</v>
      </c>
      <c r="M49">
        <v>0</v>
      </c>
      <c r="N49">
        <v>329.76745605000002</v>
      </c>
    </row>
    <row r="50" spans="1:14" x14ac:dyDescent="0.25">
      <c r="A50">
        <v>0.72818099999999997</v>
      </c>
      <c r="B50" s="1">
        <f>DATE(2010,5,1) + TIME(17,28,34)</f>
        <v>40299.728171296294</v>
      </c>
      <c r="C50">
        <v>8485.3193358999997</v>
      </c>
      <c r="D50">
        <v>6631.0366211</v>
      </c>
      <c r="E50">
        <v>548.43426513999998</v>
      </c>
      <c r="F50">
        <v>101.32499695</v>
      </c>
      <c r="G50">
        <v>80</v>
      </c>
      <c r="H50">
        <v>52.076564789000003</v>
      </c>
      <c r="I50">
        <v>50</v>
      </c>
      <c r="J50">
        <v>14.922996521</v>
      </c>
      <c r="K50">
        <v>2400</v>
      </c>
      <c r="L50">
        <v>0</v>
      </c>
      <c r="M50">
        <v>0</v>
      </c>
      <c r="N50">
        <v>328.89715575999998</v>
      </c>
    </row>
    <row r="51" spans="1:14" x14ac:dyDescent="0.25">
      <c r="A51">
        <v>0.758382</v>
      </c>
      <c r="B51" s="1">
        <f>DATE(2010,5,1) + TIME(18,12,4)</f>
        <v>40299.758379629631</v>
      </c>
      <c r="C51">
        <v>8475.4785155999998</v>
      </c>
      <c r="D51">
        <v>6649.0517577999999</v>
      </c>
      <c r="E51">
        <v>547.19219970999995</v>
      </c>
      <c r="F51">
        <v>101.32499695</v>
      </c>
      <c r="G51">
        <v>80</v>
      </c>
      <c r="H51">
        <v>53.041194916000002</v>
      </c>
      <c r="I51">
        <v>50</v>
      </c>
      <c r="J51">
        <v>14.922964095999999</v>
      </c>
      <c r="K51">
        <v>2400</v>
      </c>
      <c r="L51">
        <v>0</v>
      </c>
      <c r="M51">
        <v>0</v>
      </c>
      <c r="N51">
        <v>328.09439086999998</v>
      </c>
    </row>
    <row r="52" spans="1:14" x14ac:dyDescent="0.25">
      <c r="A52">
        <v>0.78963799999999995</v>
      </c>
      <c r="B52" s="1">
        <f>DATE(2010,5,1) + TIME(18,57,4)</f>
        <v>40299.789629629631</v>
      </c>
      <c r="C52">
        <v>8466.1474608999997</v>
      </c>
      <c r="D52">
        <v>6666.8227539</v>
      </c>
      <c r="E52">
        <v>546.05859375</v>
      </c>
      <c r="F52">
        <v>101.32499695</v>
      </c>
      <c r="G52">
        <v>80</v>
      </c>
      <c r="H52">
        <v>54.004543304000002</v>
      </c>
      <c r="I52">
        <v>50</v>
      </c>
      <c r="J52">
        <v>14.922945023</v>
      </c>
      <c r="K52">
        <v>2400</v>
      </c>
      <c r="L52">
        <v>0</v>
      </c>
      <c r="M52">
        <v>0</v>
      </c>
      <c r="N52">
        <v>327.36074829</v>
      </c>
    </row>
    <row r="53" spans="1:14" x14ac:dyDescent="0.25">
      <c r="A53">
        <v>0.82202799999999998</v>
      </c>
      <c r="B53" s="1">
        <f>DATE(2010,5,1) + TIME(19,43,43)</f>
        <v>40299.822025462963</v>
      </c>
      <c r="C53">
        <v>8457.3320311999996</v>
      </c>
      <c r="D53">
        <v>6684.3818358999997</v>
      </c>
      <c r="E53">
        <v>545.03686522999999</v>
      </c>
      <c r="F53">
        <v>101.32499695</v>
      </c>
      <c r="G53">
        <v>80</v>
      </c>
      <c r="H53">
        <v>54.966526031000001</v>
      </c>
      <c r="I53">
        <v>50</v>
      </c>
      <c r="J53">
        <v>14.922939301</v>
      </c>
      <c r="K53">
        <v>2400</v>
      </c>
      <c r="L53">
        <v>0</v>
      </c>
      <c r="M53">
        <v>0</v>
      </c>
      <c r="N53">
        <v>326.69805908000001</v>
      </c>
    </row>
    <row r="54" spans="1:14" x14ac:dyDescent="0.25">
      <c r="A54">
        <v>0.85563699999999998</v>
      </c>
      <c r="B54" s="1">
        <f>DATE(2010,5,1) + TIME(20,32,7)</f>
        <v>40299.855636574073</v>
      </c>
      <c r="C54">
        <v>8449.0419922000001</v>
      </c>
      <c r="D54">
        <v>6701.7626952999999</v>
      </c>
      <c r="E54">
        <v>544.13079833999996</v>
      </c>
      <c r="F54">
        <v>101.32499695</v>
      </c>
      <c r="G54">
        <v>80</v>
      </c>
      <c r="H54">
        <v>55.927047729000002</v>
      </c>
      <c r="I54">
        <v>50</v>
      </c>
      <c r="J54">
        <v>14.922948837</v>
      </c>
      <c r="K54">
        <v>2400</v>
      </c>
      <c r="L54">
        <v>0</v>
      </c>
      <c r="M54">
        <v>0</v>
      </c>
      <c r="N54">
        <v>326.10852051000001</v>
      </c>
    </row>
    <row r="55" spans="1:14" x14ac:dyDescent="0.25">
      <c r="A55">
        <v>0.89056199999999996</v>
      </c>
      <c r="B55" s="1">
        <f>DATE(2010,5,1) + TIME(21,22,24)</f>
        <v>40299.890555555554</v>
      </c>
      <c r="C55">
        <v>8441.2861327999999</v>
      </c>
      <c r="D55">
        <v>6718.9960938000004</v>
      </c>
      <c r="E55">
        <v>543.34490966999999</v>
      </c>
      <c r="F55">
        <v>101.32499695</v>
      </c>
      <c r="G55">
        <v>80</v>
      </c>
      <c r="H55">
        <v>56.886001587000003</v>
      </c>
      <c r="I55">
        <v>50</v>
      </c>
      <c r="J55">
        <v>14.922973633</v>
      </c>
      <c r="K55">
        <v>2400</v>
      </c>
      <c r="L55">
        <v>0</v>
      </c>
      <c r="M55">
        <v>0</v>
      </c>
      <c r="N55">
        <v>325.59460448999999</v>
      </c>
    </row>
    <row r="56" spans="1:14" x14ac:dyDescent="0.25">
      <c r="A56">
        <v>0.92691100000000004</v>
      </c>
      <c r="B56" s="1">
        <f>DATE(2010,5,1) + TIME(22,14,45)</f>
        <v>40299.92690972222</v>
      </c>
      <c r="C56">
        <v>8434.0751952999999</v>
      </c>
      <c r="D56">
        <v>6736.1157227000003</v>
      </c>
      <c r="E56">
        <v>542.68414307</v>
      </c>
      <c r="F56">
        <v>101.32499695</v>
      </c>
      <c r="G56">
        <v>80</v>
      </c>
      <c r="H56">
        <v>57.843273162999999</v>
      </c>
      <c r="I56">
        <v>50</v>
      </c>
      <c r="J56">
        <v>14.923014641</v>
      </c>
      <c r="K56">
        <v>2400</v>
      </c>
      <c r="L56">
        <v>0</v>
      </c>
      <c r="M56">
        <v>0</v>
      </c>
      <c r="N56">
        <v>325.15930176000001</v>
      </c>
    </row>
    <row r="57" spans="1:14" x14ac:dyDescent="0.25">
      <c r="A57">
        <v>0.96480600000000005</v>
      </c>
      <c r="B57" s="1">
        <f>DATE(2010,5,1) + TIME(23,9,19)</f>
        <v>40299.964803240742</v>
      </c>
      <c r="C57">
        <v>8427.4208983999997</v>
      </c>
      <c r="D57">
        <v>6753.1547852000003</v>
      </c>
      <c r="E57">
        <v>542.15423583999996</v>
      </c>
      <c r="F57">
        <v>101.32499695</v>
      </c>
      <c r="G57">
        <v>80</v>
      </c>
      <c r="H57">
        <v>58.798728943</v>
      </c>
      <c r="I57">
        <v>50</v>
      </c>
      <c r="J57">
        <v>14.923072814999999</v>
      </c>
      <c r="K57">
        <v>2400</v>
      </c>
      <c r="L57">
        <v>0</v>
      </c>
      <c r="M57">
        <v>0</v>
      </c>
      <c r="N57">
        <v>324.80587768999999</v>
      </c>
    </row>
    <row r="58" spans="1:14" x14ac:dyDescent="0.25">
      <c r="A58">
        <v>1.0043839999999999</v>
      </c>
      <c r="B58" s="1">
        <f>DATE(2010,5,2) + TIME(0,6,18)</f>
        <v>40300.004374999997</v>
      </c>
      <c r="C58">
        <v>8421.3408202999999</v>
      </c>
      <c r="D58">
        <v>6770.1474608999997</v>
      </c>
      <c r="E58">
        <v>541.76165771000001</v>
      </c>
      <c r="F58">
        <v>101.32499695</v>
      </c>
      <c r="G58">
        <v>80</v>
      </c>
      <c r="H58">
        <v>59.752223968999999</v>
      </c>
      <c r="I58">
        <v>50</v>
      </c>
      <c r="J58">
        <v>14.923149109000001</v>
      </c>
      <c r="K58">
        <v>2400</v>
      </c>
      <c r="L58">
        <v>0</v>
      </c>
      <c r="M58">
        <v>0</v>
      </c>
      <c r="N58">
        <v>324.53817749000001</v>
      </c>
    </row>
    <row r="59" spans="1:14" x14ac:dyDescent="0.25">
      <c r="A59">
        <v>1.045801</v>
      </c>
      <c r="B59" s="1">
        <f>DATE(2010,5,2) + TIME(1,5,57)</f>
        <v>40300.045798611114</v>
      </c>
      <c r="C59">
        <v>8415.8623047000001</v>
      </c>
      <c r="D59">
        <v>6787.1298827999999</v>
      </c>
      <c r="E59">
        <v>541.51373291000004</v>
      </c>
      <c r="F59">
        <v>101.32499695</v>
      </c>
      <c r="G59">
        <v>80</v>
      </c>
      <c r="H59">
        <v>60.703067779999998</v>
      </c>
      <c r="I59">
        <v>50</v>
      </c>
      <c r="J59">
        <v>14.92324543</v>
      </c>
      <c r="K59">
        <v>2400</v>
      </c>
      <c r="L59">
        <v>0</v>
      </c>
      <c r="M59">
        <v>0</v>
      </c>
      <c r="N59">
        <v>324.36053466999999</v>
      </c>
    </row>
    <row r="60" spans="1:14" x14ac:dyDescent="0.25">
      <c r="A60">
        <v>1.089262</v>
      </c>
      <c r="B60" s="1">
        <f>DATE(2010,5,2) + TIME(2,8,32)</f>
        <v>40300.089259259257</v>
      </c>
      <c r="C60">
        <v>8411.0048827999999</v>
      </c>
      <c r="D60">
        <v>6804.1567383000001</v>
      </c>
      <c r="E60">
        <v>541.41888428000004</v>
      </c>
      <c r="F60">
        <v>101.32499695</v>
      </c>
      <c r="G60">
        <v>80</v>
      </c>
      <c r="H60">
        <v>61.651905059999997</v>
      </c>
      <c r="I60">
        <v>50</v>
      </c>
      <c r="J60">
        <v>14.923361778</v>
      </c>
      <c r="K60">
        <v>2400</v>
      </c>
      <c r="L60">
        <v>0</v>
      </c>
      <c r="M60">
        <v>0</v>
      </c>
      <c r="N60">
        <v>324.27795409999999</v>
      </c>
    </row>
    <row r="61" spans="1:14" x14ac:dyDescent="0.25">
      <c r="A61">
        <v>1.1349579999999999</v>
      </c>
      <c r="B61" s="1">
        <f>DATE(2010,5,2) + TIME(3,14,20)</f>
        <v>40300.134953703702</v>
      </c>
      <c r="C61">
        <v>8406.7861327999999</v>
      </c>
      <c r="D61">
        <v>6821.2587891000003</v>
      </c>
      <c r="E61">
        <v>541.48681640999996</v>
      </c>
      <c r="F61">
        <v>101.32499695</v>
      </c>
      <c r="G61">
        <v>80</v>
      </c>
      <c r="H61">
        <v>62.598346710000001</v>
      </c>
      <c r="I61">
        <v>50</v>
      </c>
      <c r="J61">
        <v>14.923501014999999</v>
      </c>
      <c r="K61">
        <v>2400</v>
      </c>
      <c r="L61">
        <v>0</v>
      </c>
      <c r="M61">
        <v>0</v>
      </c>
      <c r="N61">
        <v>324.29632568</v>
      </c>
    </row>
    <row r="62" spans="1:14" x14ac:dyDescent="0.25">
      <c r="A62">
        <v>1.183122</v>
      </c>
      <c r="B62" s="1">
        <f>DATE(2010,5,2) + TIME(4,23,41)</f>
        <v>40300.183113425926</v>
      </c>
      <c r="C62">
        <v>8403.2324219000002</v>
      </c>
      <c r="D62">
        <v>6838.4711914</v>
      </c>
      <c r="E62">
        <v>541.72875977000001</v>
      </c>
      <c r="F62">
        <v>101.32499695</v>
      </c>
      <c r="G62">
        <v>80</v>
      </c>
      <c r="H62">
        <v>63.541996001999998</v>
      </c>
      <c r="I62">
        <v>50</v>
      </c>
      <c r="J62">
        <v>14.923664092999999</v>
      </c>
      <c r="K62">
        <v>2400</v>
      </c>
      <c r="L62">
        <v>0</v>
      </c>
      <c r="M62">
        <v>0</v>
      </c>
      <c r="N62">
        <v>324.42233276000002</v>
      </c>
    </row>
    <row r="63" spans="1:14" x14ac:dyDescent="0.25">
      <c r="A63">
        <v>1.2340310000000001</v>
      </c>
      <c r="B63" s="1">
        <f>DATE(2010,5,2) + TIME(5,37,0)</f>
        <v>40300.234027777777</v>
      </c>
      <c r="C63">
        <v>8400.3818358999997</v>
      </c>
      <c r="D63">
        <v>6855.8481444999998</v>
      </c>
      <c r="E63">
        <v>542.15740966999999</v>
      </c>
      <c r="F63">
        <v>101.32499695</v>
      </c>
      <c r="G63">
        <v>80</v>
      </c>
      <c r="H63">
        <v>64.482566833000007</v>
      </c>
      <c r="I63">
        <v>50</v>
      </c>
      <c r="J63">
        <v>14.923853874000001</v>
      </c>
      <c r="K63">
        <v>2400</v>
      </c>
      <c r="L63">
        <v>0</v>
      </c>
      <c r="M63">
        <v>0</v>
      </c>
      <c r="N63">
        <v>324.66363525000003</v>
      </c>
    </row>
    <row r="64" spans="1:14" x14ac:dyDescent="0.25">
      <c r="A64">
        <v>1.288014</v>
      </c>
      <c r="B64" s="1">
        <f>DATE(2010,5,2) + TIME(6,54,44)</f>
        <v>40300.28800925926</v>
      </c>
      <c r="C64">
        <v>8398.2773438000004</v>
      </c>
      <c r="D64">
        <v>6873.4467772999997</v>
      </c>
      <c r="E64">
        <v>542.78784180000002</v>
      </c>
      <c r="F64">
        <v>101.32499695</v>
      </c>
      <c r="G64">
        <v>80</v>
      </c>
      <c r="H64">
        <v>65.419837951999995</v>
      </c>
      <c r="I64">
        <v>50</v>
      </c>
      <c r="J64">
        <v>14.924072266</v>
      </c>
      <c r="K64">
        <v>2400</v>
      </c>
      <c r="L64">
        <v>0</v>
      </c>
      <c r="M64">
        <v>0</v>
      </c>
      <c r="N64">
        <v>325.02926636000001</v>
      </c>
    </row>
    <row r="65" spans="1:14" x14ac:dyDescent="0.25">
      <c r="A65">
        <v>1.345451</v>
      </c>
      <c r="B65" s="1">
        <f>DATE(2010,5,2) + TIME(8,17,26)</f>
        <v>40300.345439814817</v>
      </c>
      <c r="C65">
        <v>8396.9707030999998</v>
      </c>
      <c r="D65">
        <v>6891.3266602000003</v>
      </c>
      <c r="E65">
        <v>543.63732909999999</v>
      </c>
      <c r="F65">
        <v>101.32499695</v>
      </c>
      <c r="G65">
        <v>80</v>
      </c>
      <c r="H65">
        <v>66.353332519999995</v>
      </c>
      <c r="I65">
        <v>50</v>
      </c>
      <c r="J65">
        <v>14.924322128</v>
      </c>
      <c r="K65">
        <v>2400</v>
      </c>
      <c r="L65">
        <v>0</v>
      </c>
      <c r="M65">
        <v>0</v>
      </c>
      <c r="N65">
        <v>325.52978516000002</v>
      </c>
    </row>
    <row r="66" spans="1:14" x14ac:dyDescent="0.25">
      <c r="A66">
        <v>1.406801</v>
      </c>
      <c r="B66" s="1">
        <f>DATE(2010,5,2) + TIME(9,45,47)</f>
        <v>40300.406793981485</v>
      </c>
      <c r="C66">
        <v>8396.5273438000004</v>
      </c>
      <c r="D66">
        <v>6909.5595702999999</v>
      </c>
      <c r="E66">
        <v>544.72662353999999</v>
      </c>
      <c r="F66">
        <v>101.32499695</v>
      </c>
      <c r="G66">
        <v>80</v>
      </c>
      <c r="H66">
        <v>67.282440186000002</v>
      </c>
      <c r="I66">
        <v>50</v>
      </c>
      <c r="J66">
        <v>14.924607277</v>
      </c>
      <c r="K66">
        <v>2400</v>
      </c>
      <c r="L66">
        <v>0</v>
      </c>
      <c r="M66">
        <v>0</v>
      </c>
      <c r="N66">
        <v>326.17773438</v>
      </c>
    </row>
    <row r="67" spans="1:14" x14ac:dyDescent="0.25">
      <c r="A67">
        <v>1.468378</v>
      </c>
      <c r="B67" s="1">
        <f>DATE(2010,5,2) + TIME(11,14,27)</f>
        <v>40300.468368055554</v>
      </c>
      <c r="C67">
        <v>8396.2158202999999</v>
      </c>
      <c r="D67">
        <v>6926.3378905999998</v>
      </c>
      <c r="E67">
        <v>545.98333739999998</v>
      </c>
      <c r="F67">
        <v>101.32499695</v>
      </c>
      <c r="G67">
        <v>80</v>
      </c>
      <c r="H67">
        <v>68.151008606000005</v>
      </c>
      <c r="I67">
        <v>50</v>
      </c>
      <c r="J67">
        <v>14.924909592000001</v>
      </c>
      <c r="K67">
        <v>2400</v>
      </c>
      <c r="L67">
        <v>0</v>
      </c>
      <c r="M67">
        <v>0</v>
      </c>
      <c r="N67">
        <v>326.9296875</v>
      </c>
    </row>
    <row r="68" spans="1:14" x14ac:dyDescent="0.25">
      <c r="A68">
        <v>1.5300830000000001</v>
      </c>
      <c r="B68" s="1">
        <f>DATE(2010,5,2) + TIME(12,43,19)</f>
        <v>40300.530081018522</v>
      </c>
      <c r="C68">
        <v>8396.4980469000002</v>
      </c>
      <c r="D68">
        <v>6942.2568358999997</v>
      </c>
      <c r="E68">
        <v>547.38861083999996</v>
      </c>
      <c r="F68">
        <v>101.32499695</v>
      </c>
      <c r="G68">
        <v>80</v>
      </c>
      <c r="H68">
        <v>68.961555481000005</v>
      </c>
      <c r="I68">
        <v>50</v>
      </c>
      <c r="J68">
        <v>14.925227165000001</v>
      </c>
      <c r="K68">
        <v>2400</v>
      </c>
      <c r="L68">
        <v>0</v>
      </c>
      <c r="M68">
        <v>0</v>
      </c>
      <c r="N68">
        <v>327.77398682</v>
      </c>
    </row>
    <row r="69" spans="1:14" x14ac:dyDescent="0.25">
      <c r="A69">
        <v>1.592022</v>
      </c>
      <c r="B69" s="1">
        <f>DATE(2010,5,2) + TIME(14,12,30)</f>
        <v>40300.592013888891</v>
      </c>
      <c r="C69">
        <v>8397.4287108999997</v>
      </c>
      <c r="D69">
        <v>6957.5361327999999</v>
      </c>
      <c r="E69">
        <v>548.92993163999995</v>
      </c>
      <c r="F69">
        <v>101.32499695</v>
      </c>
      <c r="G69">
        <v>80</v>
      </c>
      <c r="H69">
        <v>69.719017029</v>
      </c>
      <c r="I69">
        <v>50</v>
      </c>
      <c r="J69">
        <v>14.925559998000001</v>
      </c>
      <c r="K69">
        <v>2400</v>
      </c>
      <c r="L69">
        <v>0</v>
      </c>
      <c r="M69">
        <v>0</v>
      </c>
      <c r="N69">
        <v>328.70266723999998</v>
      </c>
    </row>
    <row r="70" spans="1:14" x14ac:dyDescent="0.25">
      <c r="A70">
        <v>1.6542920000000001</v>
      </c>
      <c r="B70" s="1">
        <f>DATE(2010,5,2) + TIME(15,42,10)</f>
        <v>40300.654282407406</v>
      </c>
      <c r="C70">
        <v>8398.9794922000001</v>
      </c>
      <c r="D70">
        <v>6972.2778319999998</v>
      </c>
      <c r="E70">
        <v>550.59680175999995</v>
      </c>
      <c r="F70">
        <v>101.32499695</v>
      </c>
      <c r="G70">
        <v>80</v>
      </c>
      <c r="H70">
        <v>70.427314757999994</v>
      </c>
      <c r="I70">
        <v>50</v>
      </c>
      <c r="J70">
        <v>14.925906181</v>
      </c>
      <c r="K70">
        <v>2400</v>
      </c>
      <c r="L70">
        <v>0</v>
      </c>
      <c r="M70">
        <v>0</v>
      </c>
      <c r="N70">
        <v>329.70907592999998</v>
      </c>
    </row>
    <row r="71" spans="1:14" x14ac:dyDescent="0.25">
      <c r="A71">
        <v>1.7169840000000001</v>
      </c>
      <c r="B71" s="1">
        <f>DATE(2010,5,2) + TIME(17,12,27)</f>
        <v>40300.716979166667</v>
      </c>
      <c r="C71">
        <v>8401.0996094000002</v>
      </c>
      <c r="D71">
        <v>6986.5522461</v>
      </c>
      <c r="E71">
        <v>552.38018798999997</v>
      </c>
      <c r="F71">
        <v>101.32499695</v>
      </c>
      <c r="G71">
        <v>80</v>
      </c>
      <c r="H71">
        <v>71.090324401999993</v>
      </c>
      <c r="I71">
        <v>50</v>
      </c>
      <c r="J71">
        <v>14.926265717</v>
      </c>
      <c r="K71">
        <v>2400</v>
      </c>
      <c r="L71">
        <v>0</v>
      </c>
      <c r="M71">
        <v>0</v>
      </c>
      <c r="N71">
        <v>330.78759766000002</v>
      </c>
    </row>
    <row r="72" spans="1:14" x14ac:dyDescent="0.25">
      <c r="A72">
        <v>1.7801899999999999</v>
      </c>
      <c r="B72" s="1">
        <f>DATE(2010,5,2) + TIME(18,43,28)</f>
        <v>40300.780185185184</v>
      </c>
      <c r="C72">
        <v>8403.7373047000001</v>
      </c>
      <c r="D72">
        <v>7000.4140625</v>
      </c>
      <c r="E72">
        <v>554.27264404000005</v>
      </c>
      <c r="F72">
        <v>101.32499695</v>
      </c>
      <c r="G72">
        <v>80</v>
      </c>
      <c r="H72">
        <v>71.711593628000003</v>
      </c>
      <c r="I72">
        <v>50</v>
      </c>
      <c r="J72">
        <v>14.926638603000001</v>
      </c>
      <c r="K72">
        <v>2400</v>
      </c>
      <c r="L72">
        <v>0</v>
      </c>
      <c r="M72">
        <v>0</v>
      </c>
      <c r="N72">
        <v>331.93353271000001</v>
      </c>
    </row>
    <row r="73" spans="1:14" x14ac:dyDescent="0.25">
      <c r="A73">
        <v>1.8439970000000001</v>
      </c>
      <c r="B73" s="1">
        <f>DATE(2010,5,2) + TIME(20,15,21)</f>
        <v>40300.843993055554</v>
      </c>
      <c r="C73">
        <v>8406.8505858999997</v>
      </c>
      <c r="D73">
        <v>7013.9072266000003</v>
      </c>
      <c r="E73">
        <v>556.26782227000001</v>
      </c>
      <c r="F73">
        <v>101.32499695</v>
      </c>
      <c r="G73">
        <v>80</v>
      </c>
      <c r="H73">
        <v>72.294082642000006</v>
      </c>
      <c r="I73">
        <v>50</v>
      </c>
      <c r="J73">
        <v>14.927023888000001</v>
      </c>
      <c r="K73">
        <v>2400</v>
      </c>
      <c r="L73">
        <v>0</v>
      </c>
      <c r="M73">
        <v>0</v>
      </c>
      <c r="N73">
        <v>333.14291381999999</v>
      </c>
    </row>
    <row r="74" spans="1:14" x14ac:dyDescent="0.25">
      <c r="A74">
        <v>1.908493</v>
      </c>
      <c r="B74" s="1">
        <f>DATE(2010,5,2) + TIME(21,48,13)</f>
        <v>40300.908483796295</v>
      </c>
      <c r="C74">
        <v>8410.4013672000001</v>
      </c>
      <c r="D74">
        <v>7027.0712891000003</v>
      </c>
      <c r="E74">
        <v>558.36053466999999</v>
      </c>
      <c r="F74">
        <v>101.32499695</v>
      </c>
      <c r="G74">
        <v>80</v>
      </c>
      <c r="H74">
        <v>72.84046936</v>
      </c>
      <c r="I74">
        <v>50</v>
      </c>
      <c r="J74">
        <v>14.927420615999999</v>
      </c>
      <c r="K74">
        <v>2400</v>
      </c>
      <c r="L74">
        <v>0</v>
      </c>
      <c r="M74">
        <v>0</v>
      </c>
      <c r="N74">
        <v>334.41241454999999</v>
      </c>
    </row>
    <row r="75" spans="1:14" x14ac:dyDescent="0.25">
      <c r="A75">
        <v>1.973767</v>
      </c>
      <c r="B75" s="1">
        <f>DATE(2010,5,2) + TIME(23,22,13)</f>
        <v>40300.973761574074</v>
      </c>
      <c r="C75">
        <v>8414.3564452999999</v>
      </c>
      <c r="D75">
        <v>7039.9399414</v>
      </c>
      <c r="E75">
        <v>560.54626465000001</v>
      </c>
      <c r="F75">
        <v>101.32499695</v>
      </c>
      <c r="G75">
        <v>80</v>
      </c>
      <c r="H75">
        <v>73.353157042999996</v>
      </c>
      <c r="I75">
        <v>50</v>
      </c>
      <c r="J75">
        <v>14.927830695999999</v>
      </c>
      <c r="K75">
        <v>2400</v>
      </c>
      <c r="L75">
        <v>0</v>
      </c>
      <c r="M75">
        <v>0</v>
      </c>
      <c r="N75">
        <v>335.73922728999997</v>
      </c>
    </row>
    <row r="76" spans="1:14" x14ac:dyDescent="0.25">
      <c r="A76">
        <v>2.0398939999999999</v>
      </c>
      <c r="B76" s="1">
        <f>DATE(2010,5,3) + TIME(0,57,26)</f>
        <v>40301.039884259262</v>
      </c>
      <c r="C76">
        <v>8418.6806641000003</v>
      </c>
      <c r="D76">
        <v>7052.5361327999999</v>
      </c>
      <c r="E76">
        <v>562.82104491999996</v>
      </c>
      <c r="F76">
        <v>101.32499695</v>
      </c>
      <c r="G76">
        <v>80</v>
      </c>
      <c r="H76">
        <v>73.834236145000006</v>
      </c>
      <c r="I76">
        <v>50</v>
      </c>
      <c r="J76">
        <v>14.928252219999999</v>
      </c>
      <c r="K76">
        <v>2400</v>
      </c>
      <c r="L76">
        <v>0</v>
      </c>
      <c r="M76">
        <v>0</v>
      </c>
      <c r="N76">
        <v>337.12084960999999</v>
      </c>
    </row>
    <row r="77" spans="1:14" x14ac:dyDescent="0.25">
      <c r="A77">
        <v>2.106976</v>
      </c>
      <c r="B77" s="1">
        <f>DATE(2010,5,3) + TIME(2,34,2)</f>
        <v>40301.10696759259</v>
      </c>
      <c r="C77">
        <v>8423.3535155999998</v>
      </c>
      <c r="D77">
        <v>7064.8920897999997</v>
      </c>
      <c r="E77">
        <v>565.18212890999996</v>
      </c>
      <c r="F77">
        <v>101.32499695</v>
      </c>
      <c r="G77">
        <v>80</v>
      </c>
      <c r="H77">
        <v>74.285751343000001</v>
      </c>
      <c r="I77">
        <v>50</v>
      </c>
      <c r="J77">
        <v>14.928686142</v>
      </c>
      <c r="K77">
        <v>2400</v>
      </c>
      <c r="L77">
        <v>0</v>
      </c>
      <c r="M77">
        <v>0</v>
      </c>
      <c r="N77">
        <v>338.55554198999999</v>
      </c>
    </row>
    <row r="78" spans="1:14" x14ac:dyDescent="0.25">
      <c r="A78">
        <v>2.1751070000000001</v>
      </c>
      <c r="B78" s="1">
        <f>DATE(2010,5,3) + TIME(4,12,9)</f>
        <v>40301.175104166665</v>
      </c>
      <c r="C78">
        <v>8428.3476561999996</v>
      </c>
      <c r="D78">
        <v>7077.0283202999999</v>
      </c>
      <c r="E78">
        <v>567.62731933999999</v>
      </c>
      <c r="F78">
        <v>101.32499695</v>
      </c>
      <c r="G78">
        <v>80</v>
      </c>
      <c r="H78">
        <v>74.709533691000004</v>
      </c>
      <c r="I78">
        <v>50</v>
      </c>
      <c r="J78">
        <v>14.929132462</v>
      </c>
      <c r="K78">
        <v>2400</v>
      </c>
      <c r="L78">
        <v>0</v>
      </c>
      <c r="M78">
        <v>0</v>
      </c>
      <c r="N78">
        <v>340.04193114999998</v>
      </c>
    </row>
    <row r="79" spans="1:14" x14ac:dyDescent="0.25">
      <c r="A79">
        <v>2.244386</v>
      </c>
      <c r="B79" s="1">
        <f>DATE(2010,5,3) + TIME(5,51,54)</f>
        <v>40301.244375000002</v>
      </c>
      <c r="C79">
        <v>8433.6445311999996</v>
      </c>
      <c r="D79">
        <v>7088.9653319999998</v>
      </c>
      <c r="E79">
        <v>570.15472411999997</v>
      </c>
      <c r="F79">
        <v>101.32499695</v>
      </c>
      <c r="G79">
        <v>80</v>
      </c>
      <c r="H79">
        <v>75.107139587000006</v>
      </c>
      <c r="I79">
        <v>50</v>
      </c>
      <c r="J79">
        <v>14.929592133</v>
      </c>
      <c r="K79">
        <v>2400</v>
      </c>
      <c r="L79">
        <v>0</v>
      </c>
      <c r="M79">
        <v>0</v>
      </c>
      <c r="N79">
        <v>341.57879638999998</v>
      </c>
    </row>
    <row r="80" spans="1:14" x14ac:dyDescent="0.25">
      <c r="A80">
        <v>2.3149130000000002</v>
      </c>
      <c r="B80" s="1">
        <f>DATE(2010,5,3) + TIME(7,33,28)</f>
        <v>40301.31490740741</v>
      </c>
      <c r="C80">
        <v>8439.2246094000002</v>
      </c>
      <c r="D80">
        <v>7100.71875</v>
      </c>
      <c r="E80">
        <v>572.76306151999995</v>
      </c>
      <c r="F80">
        <v>101.32499695</v>
      </c>
      <c r="G80">
        <v>80</v>
      </c>
      <c r="H80">
        <v>75.479949950999995</v>
      </c>
      <c r="I80">
        <v>50</v>
      </c>
      <c r="J80">
        <v>14.930063248</v>
      </c>
      <c r="K80">
        <v>2400</v>
      </c>
      <c r="L80">
        <v>0</v>
      </c>
      <c r="M80">
        <v>0</v>
      </c>
      <c r="N80">
        <v>343.16531371999997</v>
      </c>
    </row>
    <row r="81" spans="1:14" x14ac:dyDescent="0.25">
      <c r="A81">
        <v>2.3867940000000001</v>
      </c>
      <c r="B81" s="1">
        <f>DATE(2010,5,3) + TIME(9,16,59)</f>
        <v>40301.386793981481</v>
      </c>
      <c r="C81">
        <v>8445.0664061999996</v>
      </c>
      <c r="D81">
        <v>7112.3056641000003</v>
      </c>
      <c r="E81">
        <v>575.45135498000002</v>
      </c>
      <c r="F81">
        <v>101.32499695</v>
      </c>
      <c r="G81">
        <v>80</v>
      </c>
      <c r="H81">
        <v>75.829582213999998</v>
      </c>
      <c r="I81">
        <v>50</v>
      </c>
      <c r="J81">
        <v>14.930547713999999</v>
      </c>
      <c r="K81">
        <v>2400</v>
      </c>
      <c r="L81">
        <v>0</v>
      </c>
      <c r="M81">
        <v>0</v>
      </c>
      <c r="N81">
        <v>344.80090331999997</v>
      </c>
    </row>
    <row r="82" spans="1:14" x14ac:dyDescent="0.25">
      <c r="A82">
        <v>2.4601419999999998</v>
      </c>
      <c r="B82" s="1">
        <f>DATE(2010,5,3) + TIME(11,2,36)</f>
        <v>40301.460138888891</v>
      </c>
      <c r="C82">
        <v>8451.1533202999999</v>
      </c>
      <c r="D82">
        <v>7123.7382811999996</v>
      </c>
      <c r="E82">
        <v>578.21923828000001</v>
      </c>
      <c r="F82">
        <v>101.32499695</v>
      </c>
      <c r="G82">
        <v>80</v>
      </c>
      <c r="H82">
        <v>76.157318114999995</v>
      </c>
      <c r="I82">
        <v>50</v>
      </c>
      <c r="J82">
        <v>14.931045532000001</v>
      </c>
      <c r="K82">
        <v>2400</v>
      </c>
      <c r="L82">
        <v>0</v>
      </c>
      <c r="M82">
        <v>0</v>
      </c>
      <c r="N82">
        <v>346.48526000999999</v>
      </c>
    </row>
    <row r="83" spans="1:14" x14ac:dyDescent="0.25">
      <c r="A83">
        <v>2.5350760000000001</v>
      </c>
      <c r="B83" s="1">
        <f>DATE(2010,5,3) + TIME(12,50,30)</f>
        <v>40301.535069444442</v>
      </c>
      <c r="C83">
        <v>8457.46875</v>
      </c>
      <c r="D83">
        <v>7135.0283202999999</v>
      </c>
      <c r="E83">
        <v>581.06658935999997</v>
      </c>
      <c r="F83">
        <v>101.32499695</v>
      </c>
      <c r="G83">
        <v>80</v>
      </c>
      <c r="H83">
        <v>76.464355468999997</v>
      </c>
      <c r="I83">
        <v>50</v>
      </c>
      <c r="J83">
        <v>14.931557655000001</v>
      </c>
      <c r="K83">
        <v>2400</v>
      </c>
      <c r="L83">
        <v>0</v>
      </c>
      <c r="M83">
        <v>0</v>
      </c>
      <c r="N83">
        <v>348.21832275000003</v>
      </c>
    </row>
    <row r="84" spans="1:14" x14ac:dyDescent="0.25">
      <c r="A84">
        <v>2.6117249999999999</v>
      </c>
      <c r="B84" s="1">
        <f>DATE(2010,5,3) + TIME(14,40,53)</f>
        <v>40301.611724537041</v>
      </c>
      <c r="C84">
        <v>8464</v>
      </c>
      <c r="D84">
        <v>7146.1870116999999</v>
      </c>
      <c r="E84">
        <v>583.99377441000001</v>
      </c>
      <c r="F84">
        <v>101.32499695</v>
      </c>
      <c r="G84">
        <v>80</v>
      </c>
      <c r="H84">
        <v>76.751800536999994</v>
      </c>
      <c r="I84">
        <v>50</v>
      </c>
      <c r="J84">
        <v>14.932084084</v>
      </c>
      <c r="K84">
        <v>2400</v>
      </c>
      <c r="L84">
        <v>0</v>
      </c>
      <c r="M84">
        <v>0</v>
      </c>
      <c r="N84">
        <v>350.00021362000001</v>
      </c>
    </row>
    <row r="85" spans="1:14" x14ac:dyDescent="0.25">
      <c r="A85">
        <v>2.690226</v>
      </c>
      <c r="B85" s="1">
        <f>DATE(2010,5,3) + TIME(16,33,55)</f>
        <v>40301.69021990741</v>
      </c>
      <c r="C85">
        <v>8470.7324219000002</v>
      </c>
      <c r="D85">
        <v>7157.2226561999996</v>
      </c>
      <c r="E85">
        <v>587.00134276999995</v>
      </c>
      <c r="F85">
        <v>101.32499695</v>
      </c>
      <c r="G85">
        <v>80</v>
      </c>
      <c r="H85">
        <v>77.020698546999995</v>
      </c>
      <c r="I85">
        <v>50</v>
      </c>
      <c r="J85">
        <v>14.932624817000001</v>
      </c>
      <c r="K85">
        <v>2400</v>
      </c>
      <c r="L85">
        <v>0</v>
      </c>
      <c r="M85">
        <v>0</v>
      </c>
      <c r="N85">
        <v>351.83139038000002</v>
      </c>
    </row>
    <row r="86" spans="1:14" x14ac:dyDescent="0.25">
      <c r="A86">
        <v>2.77075</v>
      </c>
      <c r="B86" s="1">
        <f>DATE(2010,5,3) + TIME(18,29,52)</f>
        <v>40301.770740740743</v>
      </c>
      <c r="C86">
        <v>8477.6601561999996</v>
      </c>
      <c r="D86">
        <v>7168.1508789</v>
      </c>
      <c r="E86">
        <v>590.09130859000004</v>
      </c>
      <c r="F86">
        <v>101.32499695</v>
      </c>
      <c r="G86">
        <v>80</v>
      </c>
      <c r="H86">
        <v>77.272071838000002</v>
      </c>
      <c r="I86">
        <v>50</v>
      </c>
      <c r="J86">
        <v>14.933180809</v>
      </c>
      <c r="K86">
        <v>2400</v>
      </c>
      <c r="L86">
        <v>0</v>
      </c>
      <c r="M86">
        <v>0</v>
      </c>
      <c r="N86">
        <v>353.71298217999998</v>
      </c>
    </row>
    <row r="87" spans="1:14" x14ac:dyDescent="0.25">
      <c r="A87">
        <v>2.8534510000000002</v>
      </c>
      <c r="B87" s="1">
        <f>DATE(2010,5,3) + TIME(20,28,58)</f>
        <v>40301.853449074071</v>
      </c>
      <c r="C87">
        <v>8484.765625</v>
      </c>
      <c r="D87">
        <v>7178.9736327999999</v>
      </c>
      <c r="E87">
        <v>593.26464843999997</v>
      </c>
      <c r="F87">
        <v>101.32499695</v>
      </c>
      <c r="G87">
        <v>80</v>
      </c>
      <c r="H87">
        <v>77.506805420000006</v>
      </c>
      <c r="I87">
        <v>50</v>
      </c>
      <c r="J87">
        <v>14.933753966999999</v>
      </c>
      <c r="K87">
        <v>2400</v>
      </c>
      <c r="L87">
        <v>0</v>
      </c>
      <c r="M87">
        <v>0</v>
      </c>
      <c r="N87">
        <v>355.64556885000002</v>
      </c>
    </row>
    <row r="88" spans="1:14" x14ac:dyDescent="0.25">
      <c r="A88">
        <v>2.9384899999999998</v>
      </c>
      <c r="B88" s="1">
        <f>DATE(2010,5,3) + TIME(22,31,25)</f>
        <v>40301.938483796293</v>
      </c>
      <c r="C88">
        <v>8492.0351561999996</v>
      </c>
      <c r="D88">
        <v>7189.6938477000003</v>
      </c>
      <c r="E88">
        <v>596.52264404000005</v>
      </c>
      <c r="F88">
        <v>101.32499695</v>
      </c>
      <c r="G88">
        <v>80</v>
      </c>
      <c r="H88">
        <v>77.725700377999999</v>
      </c>
      <c r="I88">
        <v>50</v>
      </c>
      <c r="J88">
        <v>14.934343338</v>
      </c>
      <c r="K88">
        <v>2400</v>
      </c>
      <c r="L88">
        <v>0</v>
      </c>
      <c r="M88">
        <v>0</v>
      </c>
      <c r="N88">
        <v>357.62994385000002</v>
      </c>
    </row>
    <row r="89" spans="1:14" x14ac:dyDescent="0.25">
      <c r="A89">
        <v>3.026062</v>
      </c>
      <c r="B89" s="1">
        <f>DATE(2010,5,4) + TIME(0,37,31)</f>
        <v>40302.026053240741</v>
      </c>
      <c r="C89">
        <v>8499.4599608999997</v>
      </c>
      <c r="D89">
        <v>7200.3183594000002</v>
      </c>
      <c r="E89">
        <v>599.86737060999997</v>
      </c>
      <c r="F89">
        <v>101.32499695</v>
      </c>
      <c r="G89">
        <v>80</v>
      </c>
      <c r="H89">
        <v>77.929557799999998</v>
      </c>
      <c r="I89">
        <v>50</v>
      </c>
      <c r="J89">
        <v>14.934950829</v>
      </c>
      <c r="K89">
        <v>2400</v>
      </c>
      <c r="L89">
        <v>0</v>
      </c>
      <c r="M89">
        <v>0</v>
      </c>
      <c r="N89">
        <v>359.66738892000001</v>
      </c>
    </row>
    <row r="90" spans="1:14" x14ac:dyDescent="0.25">
      <c r="A90">
        <v>3.1163750000000001</v>
      </c>
      <c r="B90" s="1">
        <f>DATE(2010,5,4) + TIME(2,47,34)</f>
        <v>40302.116365740738</v>
      </c>
      <c r="C90">
        <v>8507.0234375</v>
      </c>
      <c r="D90">
        <v>7210.8457030999998</v>
      </c>
      <c r="E90">
        <v>603.30120850000003</v>
      </c>
      <c r="F90">
        <v>101.32499695</v>
      </c>
      <c r="G90">
        <v>80</v>
      </c>
      <c r="H90">
        <v>78.119140625</v>
      </c>
      <c r="I90">
        <v>50</v>
      </c>
      <c r="J90">
        <v>14.935577393000001</v>
      </c>
      <c r="K90">
        <v>2400</v>
      </c>
      <c r="L90">
        <v>0</v>
      </c>
      <c r="M90">
        <v>0</v>
      </c>
      <c r="N90">
        <v>361.75930785999998</v>
      </c>
    </row>
    <row r="91" spans="1:14" x14ac:dyDescent="0.25">
      <c r="A91">
        <v>3.2096640000000001</v>
      </c>
      <c r="B91" s="1">
        <f>DATE(2010,5,4) + TIME(5,1,55)</f>
        <v>40302.209664351853</v>
      </c>
      <c r="C91">
        <v>8514.71875</v>
      </c>
      <c r="D91">
        <v>7221.2836914</v>
      </c>
      <c r="E91">
        <v>606.82696533000001</v>
      </c>
      <c r="F91">
        <v>101.32499695</v>
      </c>
      <c r="G91">
        <v>80</v>
      </c>
      <c r="H91">
        <v>78.295166015999996</v>
      </c>
      <c r="I91">
        <v>50</v>
      </c>
      <c r="J91">
        <v>14.936223984</v>
      </c>
      <c r="K91">
        <v>2400</v>
      </c>
      <c r="L91">
        <v>0</v>
      </c>
      <c r="M91">
        <v>0</v>
      </c>
      <c r="N91">
        <v>363.90747069999998</v>
      </c>
    </row>
    <row r="92" spans="1:14" x14ac:dyDescent="0.25">
      <c r="A92">
        <v>3.306187</v>
      </c>
      <c r="B92" s="1">
        <f>DATE(2010,5,4) + TIME(7,20,54)</f>
        <v>40302.306180555555</v>
      </c>
      <c r="C92">
        <v>8522.5361327999999</v>
      </c>
      <c r="D92">
        <v>7231.6342772999997</v>
      </c>
      <c r="E92">
        <v>610.44781493999994</v>
      </c>
      <c r="F92">
        <v>101.32499695</v>
      </c>
      <c r="G92">
        <v>80</v>
      </c>
      <c r="H92">
        <v>78.458305358999993</v>
      </c>
      <c r="I92">
        <v>50</v>
      </c>
      <c r="J92">
        <v>14.936890602</v>
      </c>
      <c r="K92">
        <v>2400</v>
      </c>
      <c r="L92">
        <v>0</v>
      </c>
      <c r="M92">
        <v>0</v>
      </c>
      <c r="N92">
        <v>366.11376953000001</v>
      </c>
    </row>
    <row r="93" spans="1:14" x14ac:dyDescent="0.25">
      <c r="A93">
        <v>3.4062320000000001</v>
      </c>
      <c r="B93" s="1">
        <f>DATE(2010,5,4) + TIME(9,44,58)</f>
        <v>40302.406226851854</v>
      </c>
      <c r="C93">
        <v>8530.4609375</v>
      </c>
      <c r="D93">
        <v>7241.8969727000003</v>
      </c>
      <c r="E93">
        <v>614.16741943</v>
      </c>
      <c r="F93">
        <v>101.32499695</v>
      </c>
      <c r="G93">
        <v>80</v>
      </c>
      <c r="H93">
        <v>78.609199524000005</v>
      </c>
      <c r="I93">
        <v>50</v>
      </c>
      <c r="J93">
        <v>14.937581062</v>
      </c>
      <c r="K93">
        <v>2400</v>
      </c>
      <c r="L93">
        <v>0</v>
      </c>
      <c r="M93">
        <v>0</v>
      </c>
      <c r="N93">
        <v>368.38043212999997</v>
      </c>
    </row>
    <row r="94" spans="1:14" x14ac:dyDescent="0.25">
      <c r="A94">
        <v>3.5101010000000001</v>
      </c>
      <c r="B94" s="1">
        <f>DATE(2010,5,4) + TIME(12,14,32)</f>
        <v>40302.510092592594</v>
      </c>
      <c r="C94">
        <v>8538.4775391000003</v>
      </c>
      <c r="D94">
        <v>7252.0644530999998</v>
      </c>
      <c r="E94">
        <v>617.98907470999995</v>
      </c>
      <c r="F94">
        <v>101.32499695</v>
      </c>
      <c r="G94">
        <v>80</v>
      </c>
      <c r="H94">
        <v>78.748451232999997</v>
      </c>
      <c r="I94">
        <v>50</v>
      </c>
      <c r="J94">
        <v>14.938294410999999</v>
      </c>
      <c r="K94">
        <v>2400</v>
      </c>
      <c r="L94">
        <v>0</v>
      </c>
      <c r="M94">
        <v>0</v>
      </c>
      <c r="N94">
        <v>370.70950317</v>
      </c>
    </row>
    <row r="95" spans="1:14" x14ac:dyDescent="0.25">
      <c r="A95">
        <v>3.6172209999999998</v>
      </c>
      <c r="B95" s="1">
        <f>DATE(2010,5,4) + TIME(14,48,47)</f>
        <v>40302.617210648146</v>
      </c>
      <c r="C95">
        <v>8546.4033202999999</v>
      </c>
      <c r="D95">
        <v>7261.9516602000003</v>
      </c>
      <c r="E95">
        <v>621.88378906000003</v>
      </c>
      <c r="F95">
        <v>101.32499695</v>
      </c>
      <c r="G95">
        <v>80</v>
      </c>
      <c r="H95">
        <v>78.875648498999993</v>
      </c>
      <c r="I95">
        <v>50</v>
      </c>
      <c r="J95">
        <v>14.939026833</v>
      </c>
      <c r="K95">
        <v>2400</v>
      </c>
      <c r="L95">
        <v>0</v>
      </c>
      <c r="M95">
        <v>0</v>
      </c>
      <c r="N95">
        <v>373.08331299000002</v>
      </c>
    </row>
    <row r="96" spans="1:14" x14ac:dyDescent="0.25">
      <c r="A96">
        <v>3.7278980000000002</v>
      </c>
      <c r="B96" s="1">
        <f>DATE(2010,5,4) + TIME(17,28,10)</f>
        <v>40302.727893518517</v>
      </c>
      <c r="C96">
        <v>8554.3095702999999</v>
      </c>
      <c r="D96">
        <v>7271.6430664</v>
      </c>
      <c r="E96">
        <v>625.85443114999998</v>
      </c>
      <c r="F96">
        <v>101.32499695</v>
      </c>
      <c r="G96">
        <v>80</v>
      </c>
      <c r="H96">
        <v>78.991638183999996</v>
      </c>
      <c r="I96">
        <v>50</v>
      </c>
      <c r="J96">
        <v>14.939780235000001</v>
      </c>
      <c r="K96">
        <v>2400</v>
      </c>
      <c r="L96">
        <v>0</v>
      </c>
      <c r="M96">
        <v>0</v>
      </c>
      <c r="N96">
        <v>375.50363159</v>
      </c>
    </row>
    <row r="97" spans="1:14" x14ac:dyDescent="0.25">
      <c r="A97">
        <v>3.8424360000000002</v>
      </c>
      <c r="B97" s="1">
        <f>DATE(2010,5,4) + TIME(20,13,6)</f>
        <v>40302.842430555553</v>
      </c>
      <c r="C97">
        <v>8562.1894530999998</v>
      </c>
      <c r="D97">
        <v>7281.1445311999996</v>
      </c>
      <c r="E97">
        <v>629.90283203000001</v>
      </c>
      <c r="F97">
        <v>101.32499695</v>
      </c>
      <c r="G97">
        <v>80</v>
      </c>
      <c r="H97">
        <v>79.097160338999998</v>
      </c>
      <c r="I97">
        <v>50</v>
      </c>
      <c r="J97">
        <v>14.940554619</v>
      </c>
      <c r="K97">
        <v>2400</v>
      </c>
      <c r="L97">
        <v>0</v>
      </c>
      <c r="M97">
        <v>0</v>
      </c>
      <c r="N97">
        <v>377.97155762</v>
      </c>
    </row>
    <row r="98" spans="1:14" x14ac:dyDescent="0.25">
      <c r="A98">
        <v>3.9611730000000001</v>
      </c>
      <c r="B98" s="1">
        <f>DATE(2010,5,4) + TIME(23,4,5)</f>
        <v>40302.961168981485</v>
      </c>
      <c r="C98">
        <v>8570.0244141000003</v>
      </c>
      <c r="D98">
        <v>7290.4506836</v>
      </c>
      <c r="E98">
        <v>634.03112793000003</v>
      </c>
      <c r="F98">
        <v>101.32499695</v>
      </c>
      <c r="G98">
        <v>80</v>
      </c>
      <c r="H98">
        <v>79.192916870000005</v>
      </c>
      <c r="I98">
        <v>50</v>
      </c>
      <c r="J98">
        <v>14.941352844000001</v>
      </c>
      <c r="K98">
        <v>2400</v>
      </c>
      <c r="L98">
        <v>0</v>
      </c>
      <c r="M98">
        <v>0</v>
      </c>
      <c r="N98">
        <v>380.48846436000002</v>
      </c>
    </row>
    <row r="99" spans="1:14" x14ac:dyDescent="0.25">
      <c r="A99">
        <v>4.0844870000000002</v>
      </c>
      <c r="B99" s="1">
        <f>DATE(2010,5,5) + TIME(2,1,39)</f>
        <v>40303.084479166668</v>
      </c>
      <c r="C99">
        <v>8577.796875</v>
      </c>
      <c r="D99">
        <v>7299.5537108999997</v>
      </c>
      <c r="E99">
        <v>638.24176024999997</v>
      </c>
      <c r="F99">
        <v>101.32499695</v>
      </c>
      <c r="G99">
        <v>80</v>
      </c>
      <c r="H99">
        <v>79.279556274000001</v>
      </c>
      <c r="I99">
        <v>50</v>
      </c>
      <c r="J99">
        <v>14.942174911</v>
      </c>
      <c r="K99">
        <v>2400</v>
      </c>
      <c r="L99">
        <v>0</v>
      </c>
      <c r="M99">
        <v>0</v>
      </c>
      <c r="N99">
        <v>383.05575562000001</v>
      </c>
    </row>
    <row r="100" spans="1:14" x14ac:dyDescent="0.25">
      <c r="A100">
        <v>4.2127990000000004</v>
      </c>
      <c r="B100" s="1">
        <f>DATE(2010,5,5) + TIME(5,6,25)</f>
        <v>40303.212789351855</v>
      </c>
      <c r="C100">
        <v>8585.4853516000003</v>
      </c>
      <c r="D100">
        <v>7308.4414061999996</v>
      </c>
      <c r="E100">
        <v>642.53723145000004</v>
      </c>
      <c r="F100">
        <v>101.32499695</v>
      </c>
      <c r="G100">
        <v>80</v>
      </c>
      <c r="H100">
        <v>79.357719420999999</v>
      </c>
      <c r="I100">
        <v>50</v>
      </c>
      <c r="J100">
        <v>14.943023682</v>
      </c>
      <c r="K100">
        <v>2400</v>
      </c>
      <c r="L100">
        <v>0</v>
      </c>
      <c r="M100">
        <v>0</v>
      </c>
      <c r="N100">
        <v>385.67501830999998</v>
      </c>
    </row>
    <row r="101" spans="1:14" x14ac:dyDescent="0.25">
      <c r="A101">
        <v>4.3466319999999996</v>
      </c>
      <c r="B101" s="1">
        <f>DATE(2010,5,5) + TIME(8,19,8)</f>
        <v>40303.346620370372</v>
      </c>
      <c r="C101">
        <v>8593.0712891000003</v>
      </c>
      <c r="D101">
        <v>7317.1064452999999</v>
      </c>
      <c r="E101">
        <v>646.92156981999995</v>
      </c>
      <c r="F101">
        <v>101.32499695</v>
      </c>
      <c r="G101">
        <v>80</v>
      </c>
      <c r="H101">
        <v>79.428016662999994</v>
      </c>
      <c r="I101">
        <v>50</v>
      </c>
      <c r="J101">
        <v>14.943899155</v>
      </c>
      <c r="K101">
        <v>2400</v>
      </c>
      <c r="L101">
        <v>0</v>
      </c>
      <c r="M101">
        <v>0</v>
      </c>
      <c r="N101">
        <v>388.3487854</v>
      </c>
    </row>
    <row r="102" spans="1:14" x14ac:dyDescent="0.25">
      <c r="A102">
        <v>4.4809020000000004</v>
      </c>
      <c r="B102" s="1">
        <f>DATE(2010,5,5) + TIME(11,32,29)</f>
        <v>40303.480891203704</v>
      </c>
      <c r="C102">
        <v>8599.71875</v>
      </c>
      <c r="D102">
        <v>7324.6884766000003</v>
      </c>
      <c r="E102">
        <v>651.22229003999996</v>
      </c>
      <c r="F102">
        <v>101.32499695</v>
      </c>
      <c r="G102">
        <v>80</v>
      </c>
      <c r="H102">
        <v>79.488746642999999</v>
      </c>
      <c r="I102">
        <v>50</v>
      </c>
      <c r="J102">
        <v>14.944770813</v>
      </c>
      <c r="K102">
        <v>2400</v>
      </c>
      <c r="L102">
        <v>0</v>
      </c>
      <c r="M102">
        <v>0</v>
      </c>
      <c r="N102">
        <v>390.97183228</v>
      </c>
    </row>
    <row r="103" spans="1:14" x14ac:dyDescent="0.25">
      <c r="A103">
        <v>4.615634</v>
      </c>
      <c r="B103" s="1">
        <f>DATE(2010,5,5) + TIME(14,46,30)</f>
        <v>40303.615624999999</v>
      </c>
      <c r="C103">
        <v>8605.8740233999997</v>
      </c>
      <c r="D103">
        <v>7331.6538086</v>
      </c>
      <c r="E103">
        <v>655.43762206999997</v>
      </c>
      <c r="F103">
        <v>101.32499695</v>
      </c>
      <c r="G103">
        <v>80</v>
      </c>
      <c r="H103">
        <v>79.541267395000006</v>
      </c>
      <c r="I103">
        <v>50</v>
      </c>
      <c r="J103">
        <v>14.945635795999999</v>
      </c>
      <c r="K103">
        <v>2400</v>
      </c>
      <c r="L103">
        <v>0</v>
      </c>
      <c r="M103">
        <v>0</v>
      </c>
      <c r="N103">
        <v>393.54306029999998</v>
      </c>
    </row>
    <row r="104" spans="1:14" x14ac:dyDescent="0.25">
      <c r="A104">
        <v>4.7510709999999996</v>
      </c>
      <c r="B104" s="1">
        <f>DATE(2010,5,5) + TIME(18,1,32)</f>
        <v>40303.751064814816</v>
      </c>
      <c r="C104">
        <v>8611.6279297000001</v>
      </c>
      <c r="D104">
        <v>7338.1113280999998</v>
      </c>
      <c r="E104">
        <v>659.57281493999994</v>
      </c>
      <c r="F104">
        <v>101.32499695</v>
      </c>
      <c r="G104">
        <v>80</v>
      </c>
      <c r="H104">
        <v>79.586746215999995</v>
      </c>
      <c r="I104">
        <v>50</v>
      </c>
      <c r="J104">
        <v>14.946496010000001</v>
      </c>
      <c r="K104">
        <v>2400</v>
      </c>
      <c r="L104">
        <v>0</v>
      </c>
      <c r="M104">
        <v>0</v>
      </c>
      <c r="N104">
        <v>396.06567382999998</v>
      </c>
    </row>
    <row r="105" spans="1:14" x14ac:dyDescent="0.25">
      <c r="A105">
        <v>4.8874440000000003</v>
      </c>
      <c r="B105" s="1">
        <f>DATE(2010,5,5) + TIME(21,17,55)</f>
        <v>40303.887442129628</v>
      </c>
      <c r="C105">
        <v>8617.0039061999996</v>
      </c>
      <c r="D105">
        <v>7344.0976561999996</v>
      </c>
      <c r="E105">
        <v>663.63250731999995</v>
      </c>
      <c r="F105">
        <v>101.32499695</v>
      </c>
      <c r="G105">
        <v>80</v>
      </c>
      <c r="H105">
        <v>79.626190186000002</v>
      </c>
      <c r="I105">
        <v>50</v>
      </c>
      <c r="J105">
        <v>14.947353363</v>
      </c>
      <c r="K105">
        <v>2400</v>
      </c>
      <c r="L105">
        <v>0</v>
      </c>
      <c r="M105">
        <v>0</v>
      </c>
      <c r="N105">
        <v>398.54251098999998</v>
      </c>
    </row>
    <row r="106" spans="1:14" x14ac:dyDescent="0.25">
      <c r="A106">
        <v>5.0249750000000004</v>
      </c>
      <c r="B106" s="1">
        <f>DATE(2010,5,6) + TIME(0,35,57)</f>
        <v>40304.024965277778</v>
      </c>
      <c r="C106">
        <v>8622.0107422000001</v>
      </c>
      <c r="D106">
        <v>7349.6372069999998</v>
      </c>
      <c r="E106">
        <v>667.62078856999995</v>
      </c>
      <c r="F106">
        <v>101.32499695</v>
      </c>
      <c r="G106">
        <v>80</v>
      </c>
      <c r="H106">
        <v>79.660408020000006</v>
      </c>
      <c r="I106">
        <v>50</v>
      </c>
      <c r="J106">
        <v>14.948207855</v>
      </c>
      <c r="K106">
        <v>2400</v>
      </c>
      <c r="L106">
        <v>0</v>
      </c>
      <c r="M106">
        <v>0</v>
      </c>
      <c r="N106">
        <v>400.97604369999999</v>
      </c>
    </row>
    <row r="107" spans="1:14" x14ac:dyDescent="0.25">
      <c r="A107">
        <v>5.1638659999999996</v>
      </c>
      <c r="B107" s="1">
        <f>DATE(2010,5,6) + TIME(3,55,58)</f>
        <v>40304.163865740738</v>
      </c>
      <c r="C107">
        <v>8626.6523438000004</v>
      </c>
      <c r="D107">
        <v>7354.7436522999997</v>
      </c>
      <c r="E107">
        <v>671.54071045000001</v>
      </c>
      <c r="F107">
        <v>101.32499695</v>
      </c>
      <c r="G107">
        <v>80</v>
      </c>
      <c r="H107">
        <v>79.690124511999997</v>
      </c>
      <c r="I107">
        <v>50</v>
      </c>
      <c r="J107">
        <v>14.949059485999999</v>
      </c>
      <c r="K107">
        <v>2400</v>
      </c>
      <c r="L107">
        <v>0</v>
      </c>
      <c r="M107">
        <v>0</v>
      </c>
      <c r="N107">
        <v>403.36810302999999</v>
      </c>
    </row>
    <row r="108" spans="1:14" x14ac:dyDescent="0.25">
      <c r="A108">
        <v>5.3043329999999997</v>
      </c>
      <c r="B108" s="1">
        <f>DATE(2010,5,6) + TIME(7,18,14)</f>
        <v>40304.304328703707</v>
      </c>
      <c r="C108">
        <v>8630.9326172000001</v>
      </c>
      <c r="D108">
        <v>7359.4296875</v>
      </c>
      <c r="E108">
        <v>675.39544678000004</v>
      </c>
      <c r="F108">
        <v>101.32499695</v>
      </c>
      <c r="G108">
        <v>80</v>
      </c>
      <c r="H108">
        <v>79.715927124000004</v>
      </c>
      <c r="I108">
        <v>50</v>
      </c>
      <c r="J108">
        <v>14.949911117999999</v>
      </c>
      <c r="K108">
        <v>2400</v>
      </c>
      <c r="L108">
        <v>0</v>
      </c>
      <c r="M108">
        <v>0</v>
      </c>
      <c r="N108">
        <v>405.72061157000002</v>
      </c>
    </row>
    <row r="109" spans="1:14" x14ac:dyDescent="0.25">
      <c r="A109">
        <v>5.4466070000000002</v>
      </c>
      <c r="B109" s="1">
        <f>DATE(2010,5,6) + TIME(10,43,6)</f>
        <v>40304.446597222224</v>
      </c>
      <c r="C109">
        <v>8634.8564452999999</v>
      </c>
      <c r="D109">
        <v>7363.7084961</v>
      </c>
      <c r="E109">
        <v>679.18804932</v>
      </c>
      <c r="F109">
        <v>101.32499695</v>
      </c>
      <c r="G109">
        <v>80</v>
      </c>
      <c r="H109">
        <v>79.738342285000002</v>
      </c>
      <c r="I109">
        <v>50</v>
      </c>
      <c r="J109">
        <v>14.950761795</v>
      </c>
      <c r="K109">
        <v>2400</v>
      </c>
      <c r="L109">
        <v>0</v>
      </c>
      <c r="M109">
        <v>0</v>
      </c>
      <c r="N109">
        <v>408.03549193999999</v>
      </c>
    </row>
    <row r="110" spans="1:14" x14ac:dyDescent="0.25">
      <c r="A110">
        <v>5.5909069999999996</v>
      </c>
      <c r="B110" s="1">
        <f>DATE(2010,5,6) + TIME(14,10,54)</f>
        <v>40304.590902777774</v>
      </c>
      <c r="C110">
        <v>8638.4238280999998</v>
      </c>
      <c r="D110">
        <v>7367.5864258000001</v>
      </c>
      <c r="E110">
        <v>682.92089843999997</v>
      </c>
      <c r="F110">
        <v>101.32499695</v>
      </c>
      <c r="G110">
        <v>80</v>
      </c>
      <c r="H110">
        <v>79.757820128999995</v>
      </c>
      <c r="I110">
        <v>50</v>
      </c>
      <c r="J110">
        <v>14.951612473000001</v>
      </c>
      <c r="K110">
        <v>2400</v>
      </c>
      <c r="L110">
        <v>0</v>
      </c>
      <c r="M110">
        <v>0</v>
      </c>
      <c r="N110">
        <v>410.31417847</v>
      </c>
    </row>
    <row r="111" spans="1:14" x14ac:dyDescent="0.25">
      <c r="A111">
        <v>5.7374580000000002</v>
      </c>
      <c r="B111" s="1">
        <f>DATE(2010,5,6) + TIME(17,41,56)</f>
        <v>40304.737453703703</v>
      </c>
      <c r="C111">
        <v>8641.6337891000003</v>
      </c>
      <c r="D111">
        <v>7371.0693358999997</v>
      </c>
      <c r="E111">
        <v>686.59613036999997</v>
      </c>
      <c r="F111">
        <v>101.32499695</v>
      </c>
      <c r="G111">
        <v>80</v>
      </c>
      <c r="H111">
        <v>79.774734496999997</v>
      </c>
      <c r="I111">
        <v>50</v>
      </c>
      <c r="J111">
        <v>14.952464104000001</v>
      </c>
      <c r="K111">
        <v>2400</v>
      </c>
      <c r="L111">
        <v>0</v>
      </c>
      <c r="M111">
        <v>0</v>
      </c>
      <c r="N111">
        <v>412.55798340000001</v>
      </c>
    </row>
    <row r="112" spans="1:14" x14ac:dyDescent="0.25">
      <c r="A112">
        <v>5.8864939999999999</v>
      </c>
      <c r="B112" s="1">
        <f>DATE(2010,5,6) + TIME(21,16,33)</f>
        <v>40304.886493055557</v>
      </c>
      <c r="C112">
        <v>8644.4863280999998</v>
      </c>
      <c r="D112">
        <v>7374.1611327999999</v>
      </c>
      <c r="E112">
        <v>690.21563720999995</v>
      </c>
      <c r="F112">
        <v>101.32499695</v>
      </c>
      <c r="G112">
        <v>80</v>
      </c>
      <c r="H112">
        <v>79.789413452000005</v>
      </c>
      <c r="I112">
        <v>50</v>
      </c>
      <c r="J112">
        <v>14.953317642</v>
      </c>
      <c r="K112">
        <v>2400</v>
      </c>
      <c r="L112">
        <v>0</v>
      </c>
      <c r="M112">
        <v>0</v>
      </c>
      <c r="N112">
        <v>414.76797484999997</v>
      </c>
    </row>
    <row r="113" spans="1:14" x14ac:dyDescent="0.25">
      <c r="A113">
        <v>6.0378290000000003</v>
      </c>
      <c r="B113" s="1">
        <f>DATE(2010,5,7) + TIME(0,54,28)</f>
        <v>40305.037824074076</v>
      </c>
      <c r="C113">
        <v>8646.9404297000001</v>
      </c>
      <c r="D113">
        <v>7376.8251952999999</v>
      </c>
      <c r="E113">
        <v>693.77130126999998</v>
      </c>
      <c r="F113">
        <v>101.32499695</v>
      </c>
      <c r="G113">
        <v>80</v>
      </c>
      <c r="H113">
        <v>79.802124023000005</v>
      </c>
      <c r="I113">
        <v>50</v>
      </c>
      <c r="J113">
        <v>14.954171181</v>
      </c>
      <c r="K113">
        <v>2400</v>
      </c>
      <c r="L113">
        <v>0</v>
      </c>
      <c r="M113">
        <v>0</v>
      </c>
      <c r="N113">
        <v>416.93930053999998</v>
      </c>
    </row>
    <row r="114" spans="1:14" x14ac:dyDescent="0.25">
      <c r="A114">
        <v>6.191319</v>
      </c>
      <c r="B114" s="1">
        <f>DATE(2010,5,7) + TIME(4,35,29)</f>
        <v>40305.191307870373</v>
      </c>
      <c r="C114">
        <v>8648.9921875</v>
      </c>
      <c r="D114">
        <v>7379.0605469000002</v>
      </c>
      <c r="E114">
        <v>697.25683593999997</v>
      </c>
      <c r="F114">
        <v>101.32499695</v>
      </c>
      <c r="G114">
        <v>80</v>
      </c>
      <c r="H114">
        <v>79.813095093000001</v>
      </c>
      <c r="I114">
        <v>50</v>
      </c>
      <c r="J114">
        <v>14.955022811999999</v>
      </c>
      <c r="K114">
        <v>2400</v>
      </c>
      <c r="L114">
        <v>0</v>
      </c>
      <c r="M114">
        <v>0</v>
      </c>
      <c r="N114">
        <v>419.06805420000001</v>
      </c>
    </row>
    <row r="115" spans="1:14" x14ac:dyDescent="0.25">
      <c r="A115">
        <v>6.3471909999999996</v>
      </c>
      <c r="B115" s="1">
        <f>DATE(2010,5,7) + TIME(8,19,57)</f>
        <v>40305.347187500003</v>
      </c>
      <c r="C115">
        <v>8650.671875</v>
      </c>
      <c r="D115">
        <v>7380.9023438000004</v>
      </c>
      <c r="E115">
        <v>700.67443848000005</v>
      </c>
      <c r="F115">
        <v>101.32499695</v>
      </c>
      <c r="G115">
        <v>80</v>
      </c>
      <c r="H115">
        <v>79.822578429999993</v>
      </c>
      <c r="I115">
        <v>50</v>
      </c>
      <c r="J115">
        <v>14.955873489</v>
      </c>
      <c r="K115">
        <v>2400</v>
      </c>
      <c r="L115">
        <v>0</v>
      </c>
      <c r="M115">
        <v>0</v>
      </c>
      <c r="N115">
        <v>421.15557861000002</v>
      </c>
    </row>
    <row r="116" spans="1:14" x14ac:dyDescent="0.25">
      <c r="A116">
        <v>6.5056779999999996</v>
      </c>
      <c r="B116" s="1">
        <f>DATE(2010,5,7) + TIME(12,8,10)</f>
        <v>40305.505671296298</v>
      </c>
      <c r="C116">
        <v>8651.9814452999999</v>
      </c>
      <c r="D116">
        <v>7382.3549805000002</v>
      </c>
      <c r="E116">
        <v>704.02606201000003</v>
      </c>
      <c r="F116">
        <v>101.32499695</v>
      </c>
      <c r="G116">
        <v>80</v>
      </c>
      <c r="H116">
        <v>79.830764771000005</v>
      </c>
      <c r="I116">
        <v>50</v>
      </c>
      <c r="J116">
        <v>14.956724167000001</v>
      </c>
      <c r="K116">
        <v>2400</v>
      </c>
      <c r="L116">
        <v>0</v>
      </c>
      <c r="M116">
        <v>0</v>
      </c>
      <c r="N116">
        <v>423.203125</v>
      </c>
    </row>
    <row r="117" spans="1:14" x14ac:dyDescent="0.25">
      <c r="A117">
        <v>6.6670280000000002</v>
      </c>
      <c r="B117" s="1">
        <f>DATE(2010,5,7) + TIME(16,0,31)</f>
        <v>40305.667025462964</v>
      </c>
      <c r="C117">
        <v>8652.921875</v>
      </c>
      <c r="D117">
        <v>7383.4223633000001</v>
      </c>
      <c r="E117">
        <v>707.31359863</v>
      </c>
      <c r="F117">
        <v>101.32499695</v>
      </c>
      <c r="G117">
        <v>80</v>
      </c>
      <c r="H117">
        <v>79.837837218999994</v>
      </c>
      <c r="I117">
        <v>50</v>
      </c>
      <c r="J117">
        <v>14.957574844</v>
      </c>
      <c r="K117">
        <v>2400</v>
      </c>
      <c r="L117">
        <v>0</v>
      </c>
      <c r="M117">
        <v>0</v>
      </c>
      <c r="N117">
        <v>425.21176147</v>
      </c>
    </row>
    <row r="118" spans="1:14" x14ac:dyDescent="0.25">
      <c r="A118">
        <v>6.8315169999999998</v>
      </c>
      <c r="B118" s="1">
        <f>DATE(2010,5,7) + TIME(19,57,23)</f>
        <v>40305.831516203703</v>
      </c>
      <c r="C118">
        <v>8653.4941405999998</v>
      </c>
      <c r="D118">
        <v>7384.1064452999999</v>
      </c>
      <c r="E118">
        <v>710.53887939000003</v>
      </c>
      <c r="F118">
        <v>101.32499695</v>
      </c>
      <c r="G118">
        <v>80</v>
      </c>
      <c r="H118">
        <v>79.843948363999999</v>
      </c>
      <c r="I118">
        <v>50</v>
      </c>
      <c r="J118">
        <v>14.958427429</v>
      </c>
      <c r="K118">
        <v>2400</v>
      </c>
      <c r="L118">
        <v>0</v>
      </c>
      <c r="M118">
        <v>0</v>
      </c>
      <c r="N118">
        <v>427.18267822000001</v>
      </c>
    </row>
    <row r="119" spans="1:14" x14ac:dyDescent="0.25">
      <c r="A119">
        <v>6.9994820000000004</v>
      </c>
      <c r="B119" s="1">
        <f>DATE(2010,5,7) + TIME(23,59,15)</f>
        <v>40305.999479166669</v>
      </c>
      <c r="C119">
        <v>8653.6992188000004</v>
      </c>
      <c r="D119">
        <v>7384.4121094000002</v>
      </c>
      <c r="E119">
        <v>713.70446776999995</v>
      </c>
      <c r="F119">
        <v>101.32499695</v>
      </c>
      <c r="G119">
        <v>80</v>
      </c>
      <c r="H119">
        <v>79.849227905000006</v>
      </c>
      <c r="I119">
        <v>50</v>
      </c>
      <c r="J119">
        <v>14.959280968</v>
      </c>
      <c r="K119">
        <v>2400</v>
      </c>
      <c r="L119">
        <v>0</v>
      </c>
      <c r="M119">
        <v>0</v>
      </c>
      <c r="N119">
        <v>429.11737061000002</v>
      </c>
    </row>
    <row r="120" spans="1:14" x14ac:dyDescent="0.25">
      <c r="A120">
        <v>7.1711650000000002</v>
      </c>
      <c r="B120" s="1">
        <f>DATE(2010,5,8) + TIME(4,6,28)</f>
        <v>40306.171157407407</v>
      </c>
      <c r="C120">
        <v>8653.5263672000001</v>
      </c>
      <c r="D120">
        <v>7384.3291016000003</v>
      </c>
      <c r="E120">
        <v>716.81042479999996</v>
      </c>
      <c r="F120">
        <v>101.32499695</v>
      </c>
      <c r="G120">
        <v>80</v>
      </c>
      <c r="H120">
        <v>79.853790282999995</v>
      </c>
      <c r="I120">
        <v>50</v>
      </c>
      <c r="J120">
        <v>14.960136414000001</v>
      </c>
      <c r="K120">
        <v>2400</v>
      </c>
      <c r="L120">
        <v>0</v>
      </c>
      <c r="M120">
        <v>0</v>
      </c>
      <c r="N120">
        <v>431.01599120999998</v>
      </c>
    </row>
    <row r="121" spans="1:14" x14ac:dyDescent="0.25">
      <c r="A121">
        <v>7.3468989999999996</v>
      </c>
      <c r="B121" s="1">
        <f>DATE(2010,5,8) + TIME(8,19,32)</f>
        <v>40306.346898148149</v>
      </c>
      <c r="C121">
        <v>8652.9726561999996</v>
      </c>
      <c r="D121">
        <v>7383.8569336</v>
      </c>
      <c r="E121">
        <v>719.85821533000001</v>
      </c>
      <c r="F121">
        <v>101.32499695</v>
      </c>
      <c r="G121">
        <v>80</v>
      </c>
      <c r="H121">
        <v>79.857727050999998</v>
      </c>
      <c r="I121">
        <v>50</v>
      </c>
      <c r="J121">
        <v>14.96099472</v>
      </c>
      <c r="K121">
        <v>2400</v>
      </c>
      <c r="L121">
        <v>0</v>
      </c>
      <c r="M121">
        <v>0</v>
      </c>
      <c r="N121">
        <v>432.87927245999998</v>
      </c>
    </row>
    <row r="122" spans="1:14" x14ac:dyDescent="0.25">
      <c r="A122">
        <v>7.5270429999999999</v>
      </c>
      <c r="B122" s="1">
        <f>DATE(2010,5,8) + TIME(12,38,56)</f>
        <v>40306.527037037034</v>
      </c>
      <c r="C122">
        <v>8652.0322266000003</v>
      </c>
      <c r="D122">
        <v>7382.9897461</v>
      </c>
      <c r="E122">
        <v>722.84887694999998</v>
      </c>
      <c r="F122">
        <v>101.32499695</v>
      </c>
      <c r="G122">
        <v>80</v>
      </c>
      <c r="H122">
        <v>79.861137389999996</v>
      </c>
      <c r="I122">
        <v>50</v>
      </c>
      <c r="J122">
        <v>14.961856842</v>
      </c>
      <c r="K122">
        <v>2400</v>
      </c>
      <c r="L122">
        <v>0</v>
      </c>
      <c r="M122">
        <v>0</v>
      </c>
      <c r="N122">
        <v>434.70797728999997</v>
      </c>
    </row>
    <row r="123" spans="1:14" x14ac:dyDescent="0.25">
      <c r="A123">
        <v>7.7119850000000003</v>
      </c>
      <c r="B123" s="1">
        <f>DATE(2010,5,8) + TIME(17,5,15)</f>
        <v>40306.71197916667</v>
      </c>
      <c r="C123">
        <v>8650.6972655999998</v>
      </c>
      <c r="D123">
        <v>7381.7216797000001</v>
      </c>
      <c r="E123">
        <v>725.78338623000002</v>
      </c>
      <c r="F123">
        <v>101.32499695</v>
      </c>
      <c r="G123">
        <v>80</v>
      </c>
      <c r="H123">
        <v>79.864074707</v>
      </c>
      <c r="I123">
        <v>50</v>
      </c>
      <c r="J123">
        <v>14.962722778</v>
      </c>
      <c r="K123">
        <v>2400</v>
      </c>
      <c r="L123">
        <v>0</v>
      </c>
      <c r="M123">
        <v>0</v>
      </c>
      <c r="N123">
        <v>436.50268555000002</v>
      </c>
    </row>
    <row r="124" spans="1:14" x14ac:dyDescent="0.25">
      <c r="A124">
        <v>7.902158</v>
      </c>
      <c r="B124" s="1">
        <f>DATE(2010,5,8) + TIME(21,39,6)</f>
        <v>40306.90215277778</v>
      </c>
      <c r="C124">
        <v>8648.9580077999999</v>
      </c>
      <c r="D124">
        <v>7380.0449219000002</v>
      </c>
      <c r="E124">
        <v>728.66265868999994</v>
      </c>
      <c r="F124">
        <v>101.32499695</v>
      </c>
      <c r="G124">
        <v>80</v>
      </c>
      <c r="H124">
        <v>79.866622925000001</v>
      </c>
      <c r="I124">
        <v>50</v>
      </c>
      <c r="J124">
        <v>14.963593483</v>
      </c>
      <c r="K124">
        <v>2400</v>
      </c>
      <c r="L124">
        <v>0</v>
      </c>
      <c r="M124">
        <v>0</v>
      </c>
      <c r="N124">
        <v>438.26394653</v>
      </c>
    </row>
    <row r="125" spans="1:14" x14ac:dyDescent="0.25">
      <c r="A125">
        <v>8.0980290000000004</v>
      </c>
      <c r="B125" s="1">
        <f>DATE(2010,5,9) + TIME(2,21,9)</f>
        <v>40307.098020833335</v>
      </c>
      <c r="C125">
        <v>8646.8046875</v>
      </c>
      <c r="D125">
        <v>7377.9487305000002</v>
      </c>
      <c r="E125">
        <v>731.48748779000005</v>
      </c>
      <c r="F125">
        <v>101.32499695</v>
      </c>
      <c r="G125">
        <v>80</v>
      </c>
      <c r="H125">
        <v>79.868820189999994</v>
      </c>
      <c r="I125">
        <v>50</v>
      </c>
      <c r="J125">
        <v>14.96446991</v>
      </c>
      <c r="K125">
        <v>2400</v>
      </c>
      <c r="L125">
        <v>0</v>
      </c>
      <c r="M125">
        <v>0</v>
      </c>
      <c r="N125">
        <v>439.99221802</v>
      </c>
    </row>
    <row r="126" spans="1:14" x14ac:dyDescent="0.25">
      <c r="A126">
        <v>8.3001240000000003</v>
      </c>
      <c r="B126" s="1">
        <f>DATE(2010,5,9) + TIME(7,12,10)</f>
        <v>40307.300115740742</v>
      </c>
      <c r="C126">
        <v>8644.2246094000002</v>
      </c>
      <c r="D126">
        <v>7375.4213866999999</v>
      </c>
      <c r="E126">
        <v>734.25836182</v>
      </c>
      <c r="F126">
        <v>101.32499695</v>
      </c>
      <c r="G126">
        <v>80</v>
      </c>
      <c r="H126">
        <v>79.870727539000001</v>
      </c>
      <c r="I126">
        <v>50</v>
      </c>
      <c r="J126">
        <v>14.965353012</v>
      </c>
      <c r="K126">
        <v>2400</v>
      </c>
      <c r="L126">
        <v>0</v>
      </c>
      <c r="M126">
        <v>0</v>
      </c>
      <c r="N126">
        <v>441.68786620999998</v>
      </c>
    </row>
    <row r="127" spans="1:14" x14ac:dyDescent="0.25">
      <c r="A127">
        <v>8.508915</v>
      </c>
      <c r="B127" s="1">
        <f>DATE(2010,5,9) + TIME(12,12,50)</f>
        <v>40307.508912037039</v>
      </c>
      <c r="C127">
        <v>8641.1962891000003</v>
      </c>
      <c r="D127">
        <v>7372.4443358999997</v>
      </c>
      <c r="E127">
        <v>736.97454833999996</v>
      </c>
      <c r="F127">
        <v>101.32499695</v>
      </c>
      <c r="G127">
        <v>80</v>
      </c>
      <c r="H127">
        <v>79.872383118000002</v>
      </c>
      <c r="I127">
        <v>50</v>
      </c>
      <c r="J127">
        <v>14.966241837</v>
      </c>
      <c r="K127">
        <v>2400</v>
      </c>
      <c r="L127">
        <v>0</v>
      </c>
      <c r="M127">
        <v>0</v>
      </c>
      <c r="N127">
        <v>443.35037231000001</v>
      </c>
    </row>
    <row r="128" spans="1:14" x14ac:dyDescent="0.25">
      <c r="A128">
        <v>8.7242750000000004</v>
      </c>
      <c r="B128" s="1">
        <f>DATE(2010,5,9) + TIME(17,22,57)</f>
        <v>40307.724270833336</v>
      </c>
      <c r="C128">
        <v>8637.6816405999998</v>
      </c>
      <c r="D128">
        <v>7368.9770508000001</v>
      </c>
      <c r="E128">
        <v>739.62750243999994</v>
      </c>
      <c r="F128">
        <v>101.32499695</v>
      </c>
      <c r="G128">
        <v>80</v>
      </c>
      <c r="H128">
        <v>79.873802185000002</v>
      </c>
      <c r="I128">
        <v>50</v>
      </c>
      <c r="J128">
        <v>14.967136383</v>
      </c>
      <c r="K128">
        <v>2400</v>
      </c>
      <c r="L128">
        <v>0</v>
      </c>
      <c r="M128">
        <v>0</v>
      </c>
      <c r="N128">
        <v>444.97457886000001</v>
      </c>
    </row>
    <row r="129" spans="1:14" x14ac:dyDescent="0.25">
      <c r="A129">
        <v>8.9464030000000001</v>
      </c>
      <c r="B129" s="1">
        <f>DATE(2010,5,9) + TIME(22,42,49)</f>
        <v>40307.946400462963</v>
      </c>
      <c r="C129">
        <v>8633.6875</v>
      </c>
      <c r="D129">
        <v>7365.0278319999998</v>
      </c>
      <c r="E129">
        <v>742.21337890999996</v>
      </c>
      <c r="F129">
        <v>101.32499695</v>
      </c>
      <c r="G129">
        <v>80</v>
      </c>
      <c r="H129">
        <v>79.875038146999998</v>
      </c>
      <c r="I129">
        <v>50</v>
      </c>
      <c r="J129">
        <v>14.968033791</v>
      </c>
      <c r="K129">
        <v>2400</v>
      </c>
      <c r="L129">
        <v>0</v>
      </c>
      <c r="M129">
        <v>0</v>
      </c>
      <c r="N129">
        <v>446.55810546999999</v>
      </c>
    </row>
    <row r="130" spans="1:14" x14ac:dyDescent="0.25">
      <c r="A130">
        <v>9.1757360000000006</v>
      </c>
      <c r="B130" s="1">
        <f>DATE(2010,5,10) + TIME(4,13,3)</f>
        <v>40308.175729166665</v>
      </c>
      <c r="C130">
        <v>8629.2148438000004</v>
      </c>
      <c r="D130">
        <v>7360.5991211</v>
      </c>
      <c r="E130">
        <v>744.73089600000003</v>
      </c>
      <c r="F130">
        <v>101.32499695</v>
      </c>
      <c r="G130">
        <v>80</v>
      </c>
      <c r="H130">
        <v>79.876106261999993</v>
      </c>
      <c r="I130">
        <v>50</v>
      </c>
      <c r="J130">
        <v>14.968935966</v>
      </c>
      <c r="K130">
        <v>2400</v>
      </c>
      <c r="L130">
        <v>0</v>
      </c>
      <c r="M130">
        <v>0</v>
      </c>
      <c r="N130">
        <v>448.10015869</v>
      </c>
    </row>
    <row r="131" spans="1:14" x14ac:dyDescent="0.25">
      <c r="A131">
        <v>9.4055680000000006</v>
      </c>
      <c r="B131" s="1">
        <f>DATE(2010,5,10) + TIME(9,44,1)</f>
        <v>40308.40556712963</v>
      </c>
      <c r="C131">
        <v>8624.0683594000002</v>
      </c>
      <c r="D131">
        <v>7355.4941405999998</v>
      </c>
      <c r="E131">
        <v>747.10925293000003</v>
      </c>
      <c r="F131">
        <v>101.32499695</v>
      </c>
      <c r="G131">
        <v>80</v>
      </c>
      <c r="H131">
        <v>79.876976013000004</v>
      </c>
      <c r="I131">
        <v>50</v>
      </c>
      <c r="J131">
        <v>14.969815254</v>
      </c>
      <c r="K131">
        <v>2400</v>
      </c>
      <c r="L131">
        <v>0</v>
      </c>
      <c r="M131">
        <v>0</v>
      </c>
      <c r="N131">
        <v>449.55737305000002</v>
      </c>
    </row>
    <row r="132" spans="1:14" x14ac:dyDescent="0.25">
      <c r="A132">
        <v>9.6357879999999998</v>
      </c>
      <c r="B132" s="1">
        <f>DATE(2010,5,10) + TIME(15,15,32)</f>
        <v>40308.635787037034</v>
      </c>
      <c r="C132">
        <v>8618.5664061999996</v>
      </c>
      <c r="D132">
        <v>7350.0317383000001</v>
      </c>
      <c r="E132">
        <v>749.35394286999997</v>
      </c>
      <c r="F132">
        <v>101.32499695</v>
      </c>
      <c r="G132">
        <v>80</v>
      </c>
      <c r="H132">
        <v>79.877708435000002</v>
      </c>
      <c r="I132">
        <v>50</v>
      </c>
      <c r="J132">
        <v>14.970673561</v>
      </c>
      <c r="K132">
        <v>2400</v>
      </c>
      <c r="L132">
        <v>0</v>
      </c>
      <c r="M132">
        <v>0</v>
      </c>
      <c r="N132">
        <v>450.93313598999998</v>
      </c>
    </row>
    <row r="133" spans="1:14" x14ac:dyDescent="0.25">
      <c r="A133">
        <v>9.8667510000000007</v>
      </c>
      <c r="B133" s="1">
        <f>DATE(2010,5,10) + TIME(20,48,7)</f>
        <v>40308.866747685184</v>
      </c>
      <c r="C133">
        <v>8612.7861327999999</v>
      </c>
      <c r="D133">
        <v>7344.2895508000001</v>
      </c>
      <c r="E133">
        <v>751.47479248000002</v>
      </c>
      <c r="F133">
        <v>101.32499695</v>
      </c>
      <c r="G133">
        <v>80</v>
      </c>
      <c r="H133">
        <v>79.878349303999997</v>
      </c>
      <c r="I133">
        <v>50</v>
      </c>
      <c r="J133">
        <v>14.971510887000001</v>
      </c>
      <c r="K133">
        <v>2400</v>
      </c>
      <c r="L133">
        <v>0</v>
      </c>
      <c r="M133">
        <v>0</v>
      </c>
      <c r="N133">
        <v>452.23339843999997</v>
      </c>
    </row>
    <row r="134" spans="1:14" x14ac:dyDescent="0.25">
      <c r="A134">
        <v>10.098763</v>
      </c>
      <c r="B134" s="1">
        <f>DATE(2010,5,11) + TIME(2,22,13)</f>
        <v>40309.098761574074</v>
      </c>
      <c r="C134">
        <v>8606.7519530999998</v>
      </c>
      <c r="D134">
        <v>7338.2924805000002</v>
      </c>
      <c r="E134">
        <v>753.48022461000005</v>
      </c>
      <c r="F134">
        <v>101.32499695</v>
      </c>
      <c r="G134">
        <v>80</v>
      </c>
      <c r="H134">
        <v>79.87890625</v>
      </c>
      <c r="I134">
        <v>50</v>
      </c>
      <c r="J134">
        <v>14.972330093</v>
      </c>
      <c r="K134">
        <v>2400</v>
      </c>
      <c r="L134">
        <v>0</v>
      </c>
      <c r="M134">
        <v>0</v>
      </c>
      <c r="N134">
        <v>453.46325683999999</v>
      </c>
    </row>
    <row r="135" spans="1:14" x14ac:dyDescent="0.25">
      <c r="A135">
        <v>10.331887</v>
      </c>
      <c r="B135" s="1">
        <f>DATE(2010,5,11) + TIME(7,57,55)</f>
        <v>40309.331886574073</v>
      </c>
      <c r="C135">
        <v>8600.4726561999996</v>
      </c>
      <c r="D135">
        <v>7332.0483397999997</v>
      </c>
      <c r="E135">
        <v>755.37597656000003</v>
      </c>
      <c r="F135">
        <v>101.32499695</v>
      </c>
      <c r="G135">
        <v>80</v>
      </c>
      <c r="H135">
        <v>79.879394531000003</v>
      </c>
      <c r="I135">
        <v>50</v>
      </c>
      <c r="J135">
        <v>14.973130226</v>
      </c>
      <c r="K135">
        <v>2400</v>
      </c>
      <c r="L135">
        <v>0</v>
      </c>
      <c r="M135">
        <v>0</v>
      </c>
      <c r="N135">
        <v>454.62615966999999</v>
      </c>
    </row>
    <row r="136" spans="1:14" x14ac:dyDescent="0.25">
      <c r="A136">
        <v>10.566482000000001</v>
      </c>
      <c r="B136" s="1">
        <f>DATE(2010,5,11) + TIME(13,35,44)</f>
        <v>40309.566481481481</v>
      </c>
      <c r="C136">
        <v>8593.9677733999997</v>
      </c>
      <c r="D136">
        <v>7325.578125</v>
      </c>
      <c r="E136">
        <v>757.16949463000003</v>
      </c>
      <c r="F136">
        <v>101.32499695</v>
      </c>
      <c r="G136">
        <v>80</v>
      </c>
      <c r="H136">
        <v>79.879829407000003</v>
      </c>
      <c r="I136">
        <v>50</v>
      </c>
      <c r="J136">
        <v>14.973914146</v>
      </c>
      <c r="K136">
        <v>2400</v>
      </c>
      <c r="L136">
        <v>0</v>
      </c>
      <c r="M136">
        <v>0</v>
      </c>
      <c r="N136">
        <v>455.72680664000001</v>
      </c>
    </row>
    <row r="137" spans="1:14" x14ac:dyDescent="0.25">
      <c r="A137">
        <v>10.802884000000001</v>
      </c>
      <c r="B137" s="1">
        <f>DATE(2010,5,11) + TIME(19,16,9)</f>
        <v>40309.802881944444</v>
      </c>
      <c r="C137">
        <v>8587.2451172000001</v>
      </c>
      <c r="D137">
        <v>7318.8891602000003</v>
      </c>
      <c r="E137">
        <v>758.86755371000004</v>
      </c>
      <c r="F137">
        <v>101.32499695</v>
      </c>
      <c r="G137">
        <v>80</v>
      </c>
      <c r="H137">
        <v>79.880210876000007</v>
      </c>
      <c r="I137">
        <v>50</v>
      </c>
      <c r="J137">
        <v>14.974682808000001</v>
      </c>
      <c r="K137">
        <v>2400</v>
      </c>
      <c r="L137">
        <v>0</v>
      </c>
      <c r="M137">
        <v>0</v>
      </c>
      <c r="N137">
        <v>456.76919556000001</v>
      </c>
    </row>
    <row r="138" spans="1:14" x14ac:dyDescent="0.25">
      <c r="A138">
        <v>11.041432</v>
      </c>
      <c r="B138" s="1">
        <f>DATE(2010,5,12) + TIME(0,59,39)</f>
        <v>40310.04142361111</v>
      </c>
      <c r="C138">
        <v>8580.3085938000004</v>
      </c>
      <c r="D138">
        <v>7311.9868164</v>
      </c>
      <c r="E138">
        <v>760.47613524999997</v>
      </c>
      <c r="F138">
        <v>101.32499695</v>
      </c>
      <c r="G138">
        <v>80</v>
      </c>
      <c r="H138">
        <v>79.880561829000001</v>
      </c>
      <c r="I138">
        <v>50</v>
      </c>
      <c r="J138">
        <v>14.975436211</v>
      </c>
      <c r="K138">
        <v>2400</v>
      </c>
      <c r="L138">
        <v>0</v>
      </c>
      <c r="M138">
        <v>0</v>
      </c>
      <c r="N138">
        <v>457.75701903999999</v>
      </c>
    </row>
    <row r="139" spans="1:14" x14ac:dyDescent="0.25">
      <c r="A139">
        <v>11.282465999999999</v>
      </c>
      <c r="B139" s="1">
        <f>DATE(2010,5,12) + TIME(6,46,45)</f>
        <v>40310.282465277778</v>
      </c>
      <c r="C139">
        <v>8573.1630858999997</v>
      </c>
      <c r="D139">
        <v>7304.8735352000003</v>
      </c>
      <c r="E139">
        <v>762.00067138999998</v>
      </c>
      <c r="F139">
        <v>101.32499695</v>
      </c>
      <c r="G139">
        <v>80</v>
      </c>
      <c r="H139">
        <v>79.880882263000004</v>
      </c>
      <c r="I139">
        <v>50</v>
      </c>
      <c r="J139">
        <v>14.976177216</v>
      </c>
      <c r="K139">
        <v>2400</v>
      </c>
      <c r="L139">
        <v>0</v>
      </c>
      <c r="M139">
        <v>0</v>
      </c>
      <c r="N139">
        <v>458.69360352000001</v>
      </c>
    </row>
    <row r="140" spans="1:14" x14ac:dyDescent="0.25">
      <c r="A140">
        <v>11.526338000000001</v>
      </c>
      <c r="B140" s="1">
        <f>DATE(2010,5,12) + TIME(12,37,55)</f>
        <v>40310.526331018518</v>
      </c>
      <c r="C140">
        <v>8565.8076172000001</v>
      </c>
      <c r="D140">
        <v>7297.5512694999998</v>
      </c>
      <c r="E140">
        <v>763.44622803000004</v>
      </c>
      <c r="F140">
        <v>101.32499695</v>
      </c>
      <c r="G140">
        <v>80</v>
      </c>
      <c r="H140">
        <v>79.881172179999993</v>
      </c>
      <c r="I140">
        <v>50</v>
      </c>
      <c r="J140">
        <v>14.976904869</v>
      </c>
      <c r="K140">
        <v>2400</v>
      </c>
      <c r="L140">
        <v>0</v>
      </c>
      <c r="M140">
        <v>0</v>
      </c>
      <c r="N140">
        <v>459.58200073</v>
      </c>
    </row>
    <row r="141" spans="1:14" x14ac:dyDescent="0.25">
      <c r="A141">
        <v>11.773408</v>
      </c>
      <c r="B141" s="1">
        <f>DATE(2010,5,12) + TIME(18,33,42)</f>
        <v>40310.773402777777</v>
      </c>
      <c r="C141">
        <v>8558.2441405999998</v>
      </c>
      <c r="D141">
        <v>7290.0195311999996</v>
      </c>
      <c r="E141">
        <v>764.81713866999996</v>
      </c>
      <c r="F141">
        <v>101.32499695</v>
      </c>
      <c r="G141">
        <v>80</v>
      </c>
      <c r="H141">
        <v>79.881439209000007</v>
      </c>
      <c r="I141">
        <v>50</v>
      </c>
      <c r="J141">
        <v>14.977622031999999</v>
      </c>
      <c r="K141">
        <v>2400</v>
      </c>
      <c r="L141">
        <v>0</v>
      </c>
      <c r="M141">
        <v>0</v>
      </c>
      <c r="N141">
        <v>460.42492676000001</v>
      </c>
    </row>
    <row r="142" spans="1:14" x14ac:dyDescent="0.25">
      <c r="A142">
        <v>12.024053</v>
      </c>
      <c r="B142" s="1">
        <f>DATE(2010,5,13) + TIME(0,34,38)</f>
        <v>40311.024050925924</v>
      </c>
      <c r="C142">
        <v>8550.4726561999996</v>
      </c>
      <c r="D142">
        <v>7282.2797852000003</v>
      </c>
      <c r="E142">
        <v>766.11773682</v>
      </c>
      <c r="F142">
        <v>101.32499695</v>
      </c>
      <c r="G142">
        <v>80</v>
      </c>
      <c r="H142">
        <v>79.881683350000003</v>
      </c>
      <c r="I142">
        <v>50</v>
      </c>
      <c r="J142">
        <v>14.978328704999999</v>
      </c>
      <c r="K142">
        <v>2400</v>
      </c>
      <c r="L142">
        <v>0</v>
      </c>
      <c r="M142">
        <v>0</v>
      </c>
      <c r="N142">
        <v>461.22491454999999</v>
      </c>
    </row>
    <row r="143" spans="1:14" x14ac:dyDescent="0.25">
      <c r="A143">
        <v>12.278663</v>
      </c>
      <c r="B143" s="1">
        <f>DATE(2010,5,13) + TIME(6,41,16)</f>
        <v>40311.278657407405</v>
      </c>
      <c r="C143">
        <v>8542.4912108999997</v>
      </c>
      <c r="D143">
        <v>7274.3305664</v>
      </c>
      <c r="E143">
        <v>767.35174560999997</v>
      </c>
      <c r="F143">
        <v>101.32499695</v>
      </c>
      <c r="G143">
        <v>80</v>
      </c>
      <c r="H143">
        <v>79.881912231000001</v>
      </c>
      <c r="I143">
        <v>50</v>
      </c>
      <c r="J143">
        <v>14.979025841</v>
      </c>
      <c r="K143">
        <v>2400</v>
      </c>
      <c r="L143">
        <v>0</v>
      </c>
      <c r="M143">
        <v>0</v>
      </c>
      <c r="N143">
        <v>461.98431396000001</v>
      </c>
    </row>
    <row r="144" spans="1:14" x14ac:dyDescent="0.25">
      <c r="A144">
        <v>12.537713</v>
      </c>
      <c r="B144" s="1">
        <f>DATE(2010,5,13) + TIME(12,54,18)</f>
        <v>40311.537708333337</v>
      </c>
      <c r="C144">
        <v>8534.2978516000003</v>
      </c>
      <c r="D144">
        <v>7266.1694336</v>
      </c>
      <c r="E144">
        <v>768.52282715000001</v>
      </c>
      <c r="F144">
        <v>101.32499695</v>
      </c>
      <c r="G144">
        <v>80</v>
      </c>
      <c r="H144">
        <v>79.882133483999993</v>
      </c>
      <c r="I144">
        <v>50</v>
      </c>
      <c r="J144">
        <v>14.979715347000001</v>
      </c>
      <c r="K144">
        <v>2400</v>
      </c>
      <c r="L144">
        <v>0</v>
      </c>
      <c r="M144">
        <v>0</v>
      </c>
      <c r="N144">
        <v>462.70538329999999</v>
      </c>
    </row>
    <row r="145" spans="1:14" x14ac:dyDescent="0.25">
      <c r="A145">
        <v>12.801660999999999</v>
      </c>
      <c r="B145" s="1">
        <f>DATE(2010,5,13) + TIME(19,14,23)</f>
        <v>40311.801655092589</v>
      </c>
      <c r="C145">
        <v>8525.8876952999999</v>
      </c>
      <c r="D145">
        <v>7257.7915039</v>
      </c>
      <c r="E145">
        <v>769.63427734000004</v>
      </c>
      <c r="F145">
        <v>101.32499695</v>
      </c>
      <c r="G145">
        <v>80</v>
      </c>
      <c r="H145">
        <v>79.882331848000007</v>
      </c>
      <c r="I145">
        <v>50</v>
      </c>
      <c r="J145">
        <v>14.980396271</v>
      </c>
      <c r="K145">
        <v>2400</v>
      </c>
      <c r="L145">
        <v>0</v>
      </c>
      <c r="M145">
        <v>0</v>
      </c>
      <c r="N145">
        <v>463.39007568</v>
      </c>
    </row>
    <row r="146" spans="1:14" x14ac:dyDescent="0.25">
      <c r="A146">
        <v>13.070916</v>
      </c>
      <c r="B146" s="1">
        <f>DATE(2010,5,14) + TIME(1,42,7)</f>
        <v>40312.070914351854</v>
      </c>
      <c r="C146">
        <v>8517.2539061999996</v>
      </c>
      <c r="D146">
        <v>7249.1899414</v>
      </c>
      <c r="E146">
        <v>770.68878173999997</v>
      </c>
      <c r="F146">
        <v>101.32499695</v>
      </c>
      <c r="G146">
        <v>80</v>
      </c>
      <c r="H146">
        <v>79.882530212000006</v>
      </c>
      <c r="I146">
        <v>50</v>
      </c>
      <c r="J146">
        <v>14.981070517999999</v>
      </c>
      <c r="K146">
        <v>2400</v>
      </c>
      <c r="L146">
        <v>0</v>
      </c>
      <c r="M146">
        <v>0</v>
      </c>
      <c r="N146">
        <v>464.04006958000002</v>
      </c>
    </row>
    <row r="147" spans="1:14" x14ac:dyDescent="0.25">
      <c r="A147">
        <v>13.345983</v>
      </c>
      <c r="B147" s="1">
        <f>DATE(2010,5,14) + TIME(8,18,12)</f>
        <v>40312.345972222225</v>
      </c>
      <c r="C147">
        <v>8508.3925780999998</v>
      </c>
      <c r="D147">
        <v>7240.3608397999997</v>
      </c>
      <c r="E147">
        <v>771.68902588000003</v>
      </c>
      <c r="F147">
        <v>101.32499695</v>
      </c>
      <c r="G147">
        <v>80</v>
      </c>
      <c r="H147">
        <v>79.882713318</v>
      </c>
      <c r="I147">
        <v>50</v>
      </c>
      <c r="J147">
        <v>14.981738091</v>
      </c>
      <c r="K147">
        <v>2400</v>
      </c>
      <c r="L147">
        <v>0</v>
      </c>
      <c r="M147">
        <v>0</v>
      </c>
      <c r="N147">
        <v>464.65701294000002</v>
      </c>
    </row>
    <row r="148" spans="1:14" x14ac:dyDescent="0.25">
      <c r="A148">
        <v>13.627285000000001</v>
      </c>
      <c r="B148" s="1">
        <f>DATE(2010,5,14) + TIME(15,3,17)</f>
        <v>40312.627280092594</v>
      </c>
      <c r="C148">
        <v>8499.296875</v>
      </c>
      <c r="D148">
        <v>7231.2978516000003</v>
      </c>
      <c r="E148">
        <v>772.63720703000001</v>
      </c>
      <c r="F148">
        <v>101.32499695</v>
      </c>
      <c r="G148">
        <v>80</v>
      </c>
      <c r="H148">
        <v>79.882888793999996</v>
      </c>
      <c r="I148">
        <v>50</v>
      </c>
      <c r="J148">
        <v>14.982399940000001</v>
      </c>
      <c r="K148">
        <v>2400</v>
      </c>
      <c r="L148">
        <v>0</v>
      </c>
      <c r="M148">
        <v>0</v>
      </c>
      <c r="N148">
        <v>465.2421875</v>
      </c>
    </row>
    <row r="149" spans="1:14" x14ac:dyDescent="0.25">
      <c r="A149">
        <v>13.915300999999999</v>
      </c>
      <c r="B149" s="1">
        <f>DATE(2010,5,14) + TIME(21,58,2)</f>
        <v>40312.915300925924</v>
      </c>
      <c r="C149">
        <v>8489.9619141000003</v>
      </c>
      <c r="D149">
        <v>7221.9960938000004</v>
      </c>
      <c r="E149">
        <v>773.53540038999995</v>
      </c>
      <c r="F149">
        <v>101.32499695</v>
      </c>
      <c r="G149">
        <v>80</v>
      </c>
      <c r="H149">
        <v>79.883056640999996</v>
      </c>
      <c r="I149">
        <v>50</v>
      </c>
      <c r="J149">
        <v>14.983057022000001</v>
      </c>
      <c r="K149">
        <v>2400</v>
      </c>
      <c r="L149">
        <v>0</v>
      </c>
      <c r="M149">
        <v>0</v>
      </c>
      <c r="N149">
        <v>465.79693603999999</v>
      </c>
    </row>
    <row r="150" spans="1:14" x14ac:dyDescent="0.25">
      <c r="A150">
        <v>14.210644</v>
      </c>
      <c r="B150" s="1">
        <f>DATE(2010,5,15) + TIME(5,3,19)</f>
        <v>40313.210636574076</v>
      </c>
      <c r="C150">
        <v>8480.3818358999997</v>
      </c>
      <c r="D150">
        <v>7212.4492188000004</v>
      </c>
      <c r="E150">
        <v>774.38580321999996</v>
      </c>
      <c r="F150">
        <v>101.32499695</v>
      </c>
      <c r="G150">
        <v>80</v>
      </c>
      <c r="H150">
        <v>79.883224487000007</v>
      </c>
      <c r="I150">
        <v>50</v>
      </c>
      <c r="J150">
        <v>14.983710288999999</v>
      </c>
      <c r="K150">
        <v>2400</v>
      </c>
      <c r="L150">
        <v>0</v>
      </c>
      <c r="M150">
        <v>0</v>
      </c>
      <c r="N150">
        <v>466.32254028</v>
      </c>
    </row>
    <row r="151" spans="1:14" x14ac:dyDescent="0.25">
      <c r="A151">
        <v>14.514014</v>
      </c>
      <c r="B151" s="1">
        <f>DATE(2010,5,15) + TIME(12,20,10)</f>
        <v>40313.514004629629</v>
      </c>
      <c r="C151">
        <v>8470.5478516000003</v>
      </c>
      <c r="D151">
        <v>7202.6494141000003</v>
      </c>
      <c r="E151">
        <v>775.19055175999995</v>
      </c>
      <c r="F151">
        <v>101.32499695</v>
      </c>
      <c r="G151">
        <v>80</v>
      </c>
      <c r="H151">
        <v>79.883384704999997</v>
      </c>
      <c r="I151">
        <v>50</v>
      </c>
      <c r="J151">
        <v>14.984358788</v>
      </c>
      <c r="K151">
        <v>2400</v>
      </c>
      <c r="L151">
        <v>0</v>
      </c>
      <c r="M151">
        <v>0</v>
      </c>
      <c r="N151">
        <v>466.82040404999998</v>
      </c>
    </row>
    <row r="152" spans="1:14" x14ac:dyDescent="0.25">
      <c r="A152">
        <v>14.826193</v>
      </c>
      <c r="B152" s="1">
        <f>DATE(2010,5,15) + TIME(19,49,43)</f>
        <v>40313.826192129629</v>
      </c>
      <c r="C152">
        <v>8460.4492188000004</v>
      </c>
      <c r="D152">
        <v>7192.5844727000003</v>
      </c>
      <c r="E152">
        <v>775.95172118999994</v>
      </c>
      <c r="F152">
        <v>101.32499695</v>
      </c>
      <c r="G152">
        <v>80</v>
      </c>
      <c r="H152">
        <v>79.883544921999999</v>
      </c>
      <c r="I152">
        <v>50</v>
      </c>
      <c r="J152">
        <v>14.985005379</v>
      </c>
      <c r="K152">
        <v>2400</v>
      </c>
      <c r="L152">
        <v>0</v>
      </c>
      <c r="M152">
        <v>0</v>
      </c>
      <c r="N152">
        <v>467.29168700999998</v>
      </c>
    </row>
    <row r="153" spans="1:14" x14ac:dyDescent="0.25">
      <c r="A153">
        <v>15.148047999999999</v>
      </c>
      <c r="B153" s="1">
        <f>DATE(2010,5,16) + TIME(3,33,11)</f>
        <v>40314.148043981484</v>
      </c>
      <c r="C153">
        <v>8450.0703125</v>
      </c>
      <c r="D153">
        <v>7182.2397461</v>
      </c>
      <c r="E153">
        <v>776.67114258000004</v>
      </c>
      <c r="F153">
        <v>101.32499695</v>
      </c>
      <c r="G153">
        <v>80</v>
      </c>
      <c r="H153">
        <v>79.883705139</v>
      </c>
      <c r="I153">
        <v>50</v>
      </c>
      <c r="J153">
        <v>14.985650063</v>
      </c>
      <c r="K153">
        <v>2400</v>
      </c>
      <c r="L153">
        <v>0</v>
      </c>
      <c r="M153">
        <v>0</v>
      </c>
      <c r="N153">
        <v>467.73757934999998</v>
      </c>
    </row>
    <row r="154" spans="1:14" x14ac:dyDescent="0.25">
      <c r="A154">
        <v>15.470397</v>
      </c>
      <c r="B154" s="1">
        <f>DATE(2010,5,16) + TIME(11,17,22)</f>
        <v>40314.470393518517</v>
      </c>
      <c r="C154">
        <v>8439.4199219000002</v>
      </c>
      <c r="D154">
        <v>7171.625</v>
      </c>
      <c r="E154">
        <v>777.33184814000003</v>
      </c>
      <c r="F154">
        <v>101.32499695</v>
      </c>
      <c r="G154">
        <v>80</v>
      </c>
      <c r="H154">
        <v>79.883827209000003</v>
      </c>
      <c r="I154">
        <v>50</v>
      </c>
      <c r="J154">
        <v>14.986275673</v>
      </c>
      <c r="K154">
        <v>2400</v>
      </c>
      <c r="L154">
        <v>0</v>
      </c>
      <c r="M154">
        <v>0</v>
      </c>
      <c r="N154">
        <v>468.14752197000001</v>
      </c>
    </row>
    <row r="155" spans="1:14" x14ac:dyDescent="0.25">
      <c r="A155">
        <v>15.792859</v>
      </c>
      <c r="B155" s="1">
        <f>DATE(2010,5,16) + TIME(19,1,43)</f>
        <v>40314.792858796296</v>
      </c>
      <c r="C155">
        <v>8428.7529297000001</v>
      </c>
      <c r="D155">
        <v>7160.9921875</v>
      </c>
      <c r="E155">
        <v>777.93786621000004</v>
      </c>
      <c r="F155">
        <v>101.32499695</v>
      </c>
      <c r="G155">
        <v>80</v>
      </c>
      <c r="H155">
        <v>79.883941649999997</v>
      </c>
      <c r="I155">
        <v>50</v>
      </c>
      <c r="J155">
        <v>14.986881256</v>
      </c>
      <c r="K155">
        <v>2400</v>
      </c>
      <c r="L155">
        <v>0</v>
      </c>
      <c r="M155">
        <v>0</v>
      </c>
      <c r="N155">
        <v>468.52398682</v>
      </c>
    </row>
    <row r="156" spans="1:14" x14ac:dyDescent="0.25">
      <c r="A156">
        <v>16.115904</v>
      </c>
      <c r="B156" s="1">
        <f>DATE(2010,5,17) + TIME(2,46,54)</f>
        <v>40315.115902777776</v>
      </c>
      <c r="C156">
        <v>8418.1201172000001</v>
      </c>
      <c r="D156">
        <v>7150.3930664</v>
      </c>
      <c r="E156">
        <v>778.49456786999997</v>
      </c>
      <c r="F156">
        <v>101.32499695</v>
      </c>
      <c r="G156">
        <v>80</v>
      </c>
      <c r="H156">
        <v>79.884063721000004</v>
      </c>
      <c r="I156">
        <v>50</v>
      </c>
      <c r="J156">
        <v>14.987470627</v>
      </c>
      <c r="K156">
        <v>2400</v>
      </c>
      <c r="L156">
        <v>0</v>
      </c>
      <c r="M156">
        <v>0</v>
      </c>
      <c r="N156">
        <v>468.87020874000001</v>
      </c>
    </row>
    <row r="157" spans="1:14" x14ac:dyDescent="0.25">
      <c r="A157">
        <v>16.440073999999999</v>
      </c>
      <c r="B157" s="1">
        <f>DATE(2010,5,17) + TIME(10,33,42)</f>
        <v>40315.440069444441</v>
      </c>
      <c r="C157">
        <v>8407.5234375</v>
      </c>
      <c r="D157">
        <v>7139.8305664</v>
      </c>
      <c r="E157">
        <v>779.00653076000003</v>
      </c>
      <c r="F157">
        <v>101.32499695</v>
      </c>
      <c r="G157">
        <v>80</v>
      </c>
      <c r="H157">
        <v>79.884185790999993</v>
      </c>
      <c r="I157">
        <v>50</v>
      </c>
      <c r="J157">
        <v>14.988043785</v>
      </c>
      <c r="K157">
        <v>2400</v>
      </c>
      <c r="L157">
        <v>0</v>
      </c>
      <c r="M157">
        <v>0</v>
      </c>
      <c r="N157">
        <v>469.18905640000003</v>
      </c>
    </row>
    <row r="158" spans="1:14" x14ac:dyDescent="0.25">
      <c r="A158">
        <v>16.765853</v>
      </c>
      <c r="B158" s="1">
        <f>DATE(2010,5,17) + TIME(18,22,49)</f>
        <v>40315.765844907408</v>
      </c>
      <c r="C158">
        <v>8396.9560547000001</v>
      </c>
      <c r="D158">
        <v>7129.2973633000001</v>
      </c>
      <c r="E158">
        <v>779.47790526999995</v>
      </c>
      <c r="F158">
        <v>101.32499695</v>
      </c>
      <c r="G158">
        <v>80</v>
      </c>
      <c r="H158">
        <v>79.884315490999995</v>
      </c>
      <c r="I158">
        <v>50</v>
      </c>
      <c r="J158">
        <v>14.988602638</v>
      </c>
      <c r="K158">
        <v>2400</v>
      </c>
      <c r="L158">
        <v>0</v>
      </c>
      <c r="M158">
        <v>0</v>
      </c>
      <c r="N158">
        <v>469.48300171</v>
      </c>
    </row>
    <row r="159" spans="1:14" x14ac:dyDescent="0.25">
      <c r="A159">
        <v>17.093717999999999</v>
      </c>
      <c r="B159" s="1">
        <f>DATE(2010,5,18) + TIME(2,14,57)</f>
        <v>40316.093715277777</v>
      </c>
      <c r="C159">
        <v>8386.4121094000002</v>
      </c>
      <c r="D159">
        <v>7118.7866211</v>
      </c>
      <c r="E159">
        <v>779.91217041000004</v>
      </c>
      <c r="F159">
        <v>101.32499695</v>
      </c>
      <c r="G159">
        <v>80</v>
      </c>
      <c r="H159">
        <v>79.884445189999994</v>
      </c>
      <c r="I159">
        <v>50</v>
      </c>
      <c r="J159">
        <v>14.989149094</v>
      </c>
      <c r="K159">
        <v>2400</v>
      </c>
      <c r="L159">
        <v>0</v>
      </c>
      <c r="M159">
        <v>0</v>
      </c>
      <c r="N159">
        <v>469.75424193999999</v>
      </c>
    </row>
    <row r="160" spans="1:14" x14ac:dyDescent="0.25">
      <c r="A160">
        <v>17.424149</v>
      </c>
      <c r="B160" s="1">
        <f>DATE(2010,5,18) + TIME(10,10,46)</f>
        <v>40316.424143518518</v>
      </c>
      <c r="C160">
        <v>8375.8808594000002</v>
      </c>
      <c r="D160">
        <v>7108.2885741999999</v>
      </c>
      <c r="E160">
        <v>780.31262206999997</v>
      </c>
      <c r="F160">
        <v>101.32499695</v>
      </c>
      <c r="G160">
        <v>80</v>
      </c>
      <c r="H160">
        <v>79.884574889999996</v>
      </c>
      <c r="I160">
        <v>50</v>
      </c>
      <c r="J160">
        <v>14.989683150999999</v>
      </c>
      <c r="K160">
        <v>2400</v>
      </c>
      <c r="L160">
        <v>0</v>
      </c>
      <c r="M160">
        <v>0</v>
      </c>
      <c r="N160">
        <v>470.00473022</v>
      </c>
    </row>
    <row r="161" spans="1:14" x14ac:dyDescent="0.25">
      <c r="A161">
        <v>17.757629999999999</v>
      </c>
      <c r="B161" s="1">
        <f>DATE(2010,5,18) + TIME(18,10,59)</f>
        <v>40316.757627314815</v>
      </c>
      <c r="C161">
        <v>8365.3535155999998</v>
      </c>
      <c r="D161">
        <v>7097.7939452999999</v>
      </c>
      <c r="E161">
        <v>780.68194579999999</v>
      </c>
      <c r="F161">
        <v>101.32499695</v>
      </c>
      <c r="G161">
        <v>80</v>
      </c>
      <c r="H161">
        <v>79.884704589999998</v>
      </c>
      <c r="I161">
        <v>50</v>
      </c>
      <c r="J161">
        <v>14.990206718</v>
      </c>
      <c r="K161">
        <v>2400</v>
      </c>
      <c r="L161">
        <v>0</v>
      </c>
      <c r="M161">
        <v>0</v>
      </c>
      <c r="N161">
        <v>470.23620605000002</v>
      </c>
    </row>
    <row r="162" spans="1:14" x14ac:dyDescent="0.25">
      <c r="A162">
        <v>18.094657000000002</v>
      </c>
      <c r="B162" s="1">
        <f>DATE(2010,5,19) + TIME(2,16,18)</f>
        <v>40317.094652777778</v>
      </c>
      <c r="C162">
        <v>8354.8203125</v>
      </c>
      <c r="D162">
        <v>7087.2944336</v>
      </c>
      <c r="E162">
        <v>781.02282715000001</v>
      </c>
      <c r="F162">
        <v>101.32499695</v>
      </c>
      <c r="G162">
        <v>80</v>
      </c>
      <c r="H162">
        <v>79.884834290000001</v>
      </c>
      <c r="I162">
        <v>50</v>
      </c>
      <c r="J162">
        <v>14.990719795</v>
      </c>
      <c r="K162">
        <v>2400</v>
      </c>
      <c r="L162">
        <v>0</v>
      </c>
      <c r="M162">
        <v>0</v>
      </c>
      <c r="N162">
        <v>470.45025635000002</v>
      </c>
    </row>
    <row r="163" spans="1:14" x14ac:dyDescent="0.25">
      <c r="A163">
        <v>18.435737</v>
      </c>
      <c r="B163" s="1">
        <f>DATE(2010,5,19) + TIME(10,27,27)</f>
        <v>40317.435729166667</v>
      </c>
      <c r="C163">
        <v>8344.2734375</v>
      </c>
      <c r="D163">
        <v>7076.7802733999997</v>
      </c>
      <c r="E163">
        <v>781.33758545000001</v>
      </c>
      <c r="F163">
        <v>101.32499695</v>
      </c>
      <c r="G163">
        <v>80</v>
      </c>
      <c r="H163">
        <v>79.884963988999999</v>
      </c>
      <c r="I163">
        <v>50</v>
      </c>
      <c r="J163">
        <v>14.991225243000001</v>
      </c>
      <c r="K163">
        <v>2400</v>
      </c>
      <c r="L163">
        <v>0</v>
      </c>
      <c r="M163">
        <v>0</v>
      </c>
      <c r="N163">
        <v>470.64825438999998</v>
      </c>
    </row>
    <row r="164" spans="1:14" x14ac:dyDescent="0.25">
      <c r="A164">
        <v>18.781400000000001</v>
      </c>
      <c r="B164" s="1">
        <f>DATE(2010,5,19) + TIME(18,45,12)</f>
        <v>40317.781388888892</v>
      </c>
      <c r="C164">
        <v>8333.7011719000002</v>
      </c>
      <c r="D164">
        <v>7066.2416991999999</v>
      </c>
      <c r="E164">
        <v>781.62823486000002</v>
      </c>
      <c r="F164">
        <v>101.32499695</v>
      </c>
      <c r="G164">
        <v>80</v>
      </c>
      <c r="H164">
        <v>79.885093689000001</v>
      </c>
      <c r="I164">
        <v>50</v>
      </c>
      <c r="J164">
        <v>14.991723061</v>
      </c>
      <c r="K164">
        <v>2400</v>
      </c>
      <c r="L164">
        <v>0</v>
      </c>
      <c r="M164">
        <v>0</v>
      </c>
      <c r="N164">
        <v>470.83154296999999</v>
      </c>
    </row>
    <row r="165" spans="1:14" x14ac:dyDescent="0.25">
      <c r="A165">
        <v>19.132224000000001</v>
      </c>
      <c r="B165" s="1">
        <f>DATE(2010,5,20) + TIME(3,10,24)</f>
        <v>40318.132222222222</v>
      </c>
      <c r="C165">
        <v>8323.0947266000003</v>
      </c>
      <c r="D165">
        <v>7055.6679688000004</v>
      </c>
      <c r="E165">
        <v>781.89666748000002</v>
      </c>
      <c r="F165">
        <v>101.32499695</v>
      </c>
      <c r="G165">
        <v>80</v>
      </c>
      <c r="H165">
        <v>79.885231017999999</v>
      </c>
      <c r="I165">
        <v>50</v>
      </c>
      <c r="J165">
        <v>14.992213249000001</v>
      </c>
      <c r="K165">
        <v>2400</v>
      </c>
      <c r="L165">
        <v>0</v>
      </c>
      <c r="M165">
        <v>0</v>
      </c>
      <c r="N165">
        <v>471.00122069999998</v>
      </c>
    </row>
    <row r="166" spans="1:14" x14ac:dyDescent="0.25">
      <c r="A166">
        <v>19.488871</v>
      </c>
      <c r="B166" s="1">
        <f>DATE(2010,5,20) + TIME(11,43,58)</f>
        <v>40318.488865740743</v>
      </c>
      <c r="C166">
        <v>8312.4404297000001</v>
      </c>
      <c r="D166">
        <v>7045.0473633000001</v>
      </c>
      <c r="E166">
        <v>782.14471435999997</v>
      </c>
      <c r="F166">
        <v>101.32499695</v>
      </c>
      <c r="G166">
        <v>80</v>
      </c>
      <c r="H166">
        <v>79.885360718000001</v>
      </c>
      <c r="I166">
        <v>50</v>
      </c>
      <c r="J166">
        <v>14.992697716</v>
      </c>
      <c r="K166">
        <v>2400</v>
      </c>
      <c r="L166">
        <v>0</v>
      </c>
      <c r="M166">
        <v>0</v>
      </c>
      <c r="N166">
        <v>471.15844727000001</v>
      </c>
    </row>
    <row r="167" spans="1:14" x14ac:dyDescent="0.25">
      <c r="A167">
        <v>19.851835999999999</v>
      </c>
      <c r="B167" s="1">
        <f>DATE(2010,5,20) + TIME(20,26,38)</f>
        <v>40318.8518287037</v>
      </c>
      <c r="C167">
        <v>8301.7275391000003</v>
      </c>
      <c r="D167">
        <v>7034.3681641000003</v>
      </c>
      <c r="E167">
        <v>782.37384033000001</v>
      </c>
      <c r="F167">
        <v>101.32499695</v>
      </c>
      <c r="G167">
        <v>80</v>
      </c>
      <c r="H167">
        <v>79.885498046999999</v>
      </c>
      <c r="I167">
        <v>50</v>
      </c>
      <c r="J167">
        <v>14.993177414</v>
      </c>
      <c r="K167">
        <v>2400</v>
      </c>
      <c r="L167">
        <v>0</v>
      </c>
      <c r="M167">
        <v>0</v>
      </c>
      <c r="N167">
        <v>471.30404663000002</v>
      </c>
    </row>
    <row r="168" spans="1:14" x14ac:dyDescent="0.25">
      <c r="A168">
        <v>20.221786000000002</v>
      </c>
      <c r="B168" s="1">
        <f>DATE(2010,5,21) + TIME(5,19,22)</f>
        <v>40319.221782407411</v>
      </c>
      <c r="C168">
        <v>8290.9482422000001</v>
      </c>
      <c r="D168">
        <v>7023.6215819999998</v>
      </c>
      <c r="E168">
        <v>782.58538818</v>
      </c>
      <c r="F168">
        <v>101.32499695</v>
      </c>
      <c r="G168">
        <v>80</v>
      </c>
      <c r="H168">
        <v>79.885627747000001</v>
      </c>
      <c r="I168">
        <v>50</v>
      </c>
      <c r="J168">
        <v>14.993652343999999</v>
      </c>
      <c r="K168">
        <v>2400</v>
      </c>
      <c r="L168">
        <v>0</v>
      </c>
      <c r="M168">
        <v>0</v>
      </c>
      <c r="N168">
        <v>471.43896483999998</v>
      </c>
    </row>
    <row r="169" spans="1:14" x14ac:dyDescent="0.25">
      <c r="A169">
        <v>20.599122000000001</v>
      </c>
      <c r="B169" s="1">
        <f>DATE(2010,5,21) + TIME(14,22,44)</f>
        <v>40319.599120370367</v>
      </c>
      <c r="C169">
        <v>8280.0917969000002</v>
      </c>
      <c r="D169">
        <v>7012.7988280999998</v>
      </c>
      <c r="E169">
        <v>782.78057861000002</v>
      </c>
      <c r="F169">
        <v>101.32499695</v>
      </c>
      <c r="G169">
        <v>80</v>
      </c>
      <c r="H169">
        <v>79.885765075999998</v>
      </c>
      <c r="I169">
        <v>50</v>
      </c>
      <c r="J169">
        <v>14.994123459000001</v>
      </c>
      <c r="K169">
        <v>2400</v>
      </c>
      <c r="L169">
        <v>0</v>
      </c>
      <c r="M169">
        <v>0</v>
      </c>
      <c r="N169">
        <v>471.56387329</v>
      </c>
    </row>
    <row r="170" spans="1:14" x14ac:dyDescent="0.25">
      <c r="A170">
        <v>20.984532999999999</v>
      </c>
      <c r="B170" s="1">
        <f>DATE(2010,5,21) + TIME(23,37,43)</f>
        <v>40319.984525462962</v>
      </c>
      <c r="C170">
        <v>8269.1513672000001</v>
      </c>
      <c r="D170">
        <v>7001.8930664</v>
      </c>
      <c r="E170">
        <v>782.96063231999995</v>
      </c>
      <c r="F170">
        <v>101.32499695</v>
      </c>
      <c r="G170">
        <v>80</v>
      </c>
      <c r="H170">
        <v>79.885902404999996</v>
      </c>
      <c r="I170">
        <v>50</v>
      </c>
      <c r="J170">
        <v>14.994591713</v>
      </c>
      <c r="K170">
        <v>2400</v>
      </c>
      <c r="L170">
        <v>0</v>
      </c>
      <c r="M170">
        <v>0</v>
      </c>
      <c r="N170">
        <v>471.67950438999998</v>
      </c>
    </row>
    <row r="171" spans="1:14" x14ac:dyDescent="0.25">
      <c r="A171">
        <v>21.378786000000002</v>
      </c>
      <c r="B171" s="1">
        <f>DATE(2010,5,22) + TIME(9,5,27)</f>
        <v>40320.378784722219</v>
      </c>
      <c r="C171">
        <v>8258.1162108999997</v>
      </c>
      <c r="D171">
        <v>6990.8925780999998</v>
      </c>
      <c r="E171">
        <v>783.12658691000001</v>
      </c>
      <c r="F171">
        <v>101.32499695</v>
      </c>
      <c r="G171">
        <v>80</v>
      </c>
      <c r="H171">
        <v>79.886039733999993</v>
      </c>
      <c r="I171">
        <v>50</v>
      </c>
      <c r="J171">
        <v>14.995057106000001</v>
      </c>
      <c r="K171">
        <v>2400</v>
      </c>
      <c r="L171">
        <v>0</v>
      </c>
      <c r="M171">
        <v>0</v>
      </c>
      <c r="N171">
        <v>471.78659058</v>
      </c>
    </row>
    <row r="172" spans="1:14" x14ac:dyDescent="0.25">
      <c r="A172">
        <v>21.782769999999999</v>
      </c>
      <c r="B172" s="1">
        <f>DATE(2010,5,22) + TIME(18,47,11)</f>
        <v>40320.782766203702</v>
      </c>
      <c r="C172">
        <v>8246.9736327999999</v>
      </c>
      <c r="D172">
        <v>6979.7846680000002</v>
      </c>
      <c r="E172">
        <v>783.27960204999999</v>
      </c>
      <c r="F172">
        <v>101.32499695</v>
      </c>
      <c r="G172">
        <v>80</v>
      </c>
      <c r="H172">
        <v>79.886184692</v>
      </c>
      <c r="I172">
        <v>50</v>
      </c>
      <c r="J172">
        <v>14.995520592</v>
      </c>
      <c r="K172">
        <v>2400</v>
      </c>
      <c r="L172">
        <v>0</v>
      </c>
      <c r="M172">
        <v>0</v>
      </c>
      <c r="N172">
        <v>471.88574218999997</v>
      </c>
    </row>
    <row r="173" spans="1:14" x14ac:dyDescent="0.25">
      <c r="A173">
        <v>22.197468000000001</v>
      </c>
      <c r="B173" s="1">
        <f>DATE(2010,5,23) + TIME(4,44,21)</f>
        <v>40321.197465277779</v>
      </c>
      <c r="C173">
        <v>8235.7089844000002</v>
      </c>
      <c r="D173">
        <v>6968.5546875</v>
      </c>
      <c r="E173">
        <v>783.42053223000005</v>
      </c>
      <c r="F173">
        <v>101.32499695</v>
      </c>
      <c r="G173">
        <v>80</v>
      </c>
      <c r="H173">
        <v>79.886329650999997</v>
      </c>
      <c r="I173">
        <v>50</v>
      </c>
      <c r="J173">
        <v>14.995984076999999</v>
      </c>
      <c r="K173">
        <v>2400</v>
      </c>
      <c r="L173">
        <v>0</v>
      </c>
      <c r="M173">
        <v>0</v>
      </c>
      <c r="N173">
        <v>471.97753906000003</v>
      </c>
    </row>
    <row r="174" spans="1:14" x14ac:dyDescent="0.25">
      <c r="A174">
        <v>22.622724000000002</v>
      </c>
      <c r="B174" s="1">
        <f>DATE(2010,5,23) + TIME(14,56,43)</f>
        <v>40321.622719907406</v>
      </c>
      <c r="C174">
        <v>8224.3115233999997</v>
      </c>
      <c r="D174">
        <v>6957.1928711</v>
      </c>
      <c r="E174">
        <v>783.54998779000005</v>
      </c>
      <c r="F174">
        <v>101.32499695</v>
      </c>
      <c r="G174">
        <v>80</v>
      </c>
      <c r="H174">
        <v>79.886474609000004</v>
      </c>
      <c r="I174">
        <v>50</v>
      </c>
      <c r="J174">
        <v>14.996445656000001</v>
      </c>
      <c r="K174">
        <v>2400</v>
      </c>
      <c r="L174">
        <v>0</v>
      </c>
      <c r="M174">
        <v>0</v>
      </c>
      <c r="N174">
        <v>472.06237793000003</v>
      </c>
    </row>
    <row r="175" spans="1:14" x14ac:dyDescent="0.25">
      <c r="A175">
        <v>22.836735999999998</v>
      </c>
      <c r="B175" s="1">
        <f>DATE(2010,5,23) + TIME(20,4,53)</f>
        <v>40321.836724537039</v>
      </c>
      <c r="C175">
        <v>8214.8271483999997</v>
      </c>
      <c r="D175">
        <v>6947.7285155999998</v>
      </c>
      <c r="E175">
        <v>783.61456298999997</v>
      </c>
      <c r="F175">
        <v>101.32499695</v>
      </c>
      <c r="G175">
        <v>80</v>
      </c>
      <c r="H175">
        <v>79.88609314</v>
      </c>
      <c r="I175">
        <v>50</v>
      </c>
      <c r="J175">
        <v>14.996682166999999</v>
      </c>
      <c r="K175">
        <v>2400</v>
      </c>
      <c r="L175">
        <v>0</v>
      </c>
      <c r="M175">
        <v>0</v>
      </c>
      <c r="N175">
        <v>472.10504150000003</v>
      </c>
    </row>
    <row r="176" spans="1:14" x14ac:dyDescent="0.25">
      <c r="A176">
        <v>23.050747999999999</v>
      </c>
      <c r="B176" s="1">
        <f>DATE(2010,5,24) + TIME(1,13,4)</f>
        <v>40322.050740740742</v>
      </c>
      <c r="C176">
        <v>8208.0917969000002</v>
      </c>
      <c r="D176">
        <v>6941.0102539</v>
      </c>
      <c r="E176">
        <v>783.67700194999998</v>
      </c>
      <c r="F176">
        <v>101.32499695</v>
      </c>
      <c r="G176">
        <v>80</v>
      </c>
      <c r="H176">
        <v>79.886131286999998</v>
      </c>
      <c r="I176">
        <v>50</v>
      </c>
      <c r="J176">
        <v>14.996914864000001</v>
      </c>
      <c r="K176">
        <v>2400</v>
      </c>
      <c r="L176">
        <v>0</v>
      </c>
      <c r="M176">
        <v>0</v>
      </c>
      <c r="N176">
        <v>472.14605712999997</v>
      </c>
    </row>
    <row r="177" spans="1:14" x14ac:dyDescent="0.25">
      <c r="A177">
        <v>23.478771999999999</v>
      </c>
      <c r="B177" s="1">
        <f>DATE(2010,5,24) + TIME(11,29,25)</f>
        <v>40322.478761574072</v>
      </c>
      <c r="C177">
        <v>8200.5234375</v>
      </c>
      <c r="D177">
        <v>6933.4765625</v>
      </c>
      <c r="E177">
        <v>783.78393555000002</v>
      </c>
      <c r="F177">
        <v>101.32499695</v>
      </c>
      <c r="G177">
        <v>80</v>
      </c>
      <c r="H177">
        <v>79.886787415000001</v>
      </c>
      <c r="I177">
        <v>50</v>
      </c>
      <c r="J177">
        <v>14.997355461</v>
      </c>
      <c r="K177">
        <v>2400</v>
      </c>
      <c r="L177">
        <v>0</v>
      </c>
      <c r="M177">
        <v>0</v>
      </c>
      <c r="N177">
        <v>472.21670532000002</v>
      </c>
    </row>
    <row r="178" spans="1:14" x14ac:dyDescent="0.25">
      <c r="A178">
        <v>23.906935000000001</v>
      </c>
      <c r="B178" s="1">
        <f>DATE(2010,5,24) + TIME(21,45,59)</f>
        <v>40322.90693287037</v>
      </c>
      <c r="C178">
        <v>8189.8979491999999</v>
      </c>
      <c r="D178">
        <v>6922.8867188000004</v>
      </c>
      <c r="E178">
        <v>783.87695312000005</v>
      </c>
      <c r="F178">
        <v>101.32499695</v>
      </c>
      <c r="G178">
        <v>80</v>
      </c>
      <c r="H178">
        <v>79.886947632000002</v>
      </c>
      <c r="I178">
        <v>50</v>
      </c>
      <c r="J178">
        <v>14.997785567999999</v>
      </c>
      <c r="K178">
        <v>2400</v>
      </c>
      <c r="L178">
        <v>0</v>
      </c>
      <c r="M178">
        <v>0</v>
      </c>
      <c r="N178">
        <v>472.27899170000001</v>
      </c>
    </row>
    <row r="179" spans="1:14" x14ac:dyDescent="0.25">
      <c r="A179">
        <v>24.336409</v>
      </c>
      <c r="B179" s="1">
        <f>DATE(2010,5,25) + TIME(8,4,25)</f>
        <v>40323.336400462962</v>
      </c>
      <c r="C179">
        <v>8178.9594727000003</v>
      </c>
      <c r="D179">
        <v>6911.9824219000002</v>
      </c>
      <c r="E179">
        <v>783.95959473000005</v>
      </c>
      <c r="F179">
        <v>101.32499695</v>
      </c>
      <c r="G179">
        <v>80</v>
      </c>
      <c r="H179">
        <v>79.887062072999996</v>
      </c>
      <c r="I179">
        <v>50</v>
      </c>
      <c r="J179">
        <v>14.998207091999999</v>
      </c>
      <c r="K179">
        <v>2400</v>
      </c>
      <c r="L179">
        <v>0</v>
      </c>
      <c r="M179">
        <v>0</v>
      </c>
      <c r="N179">
        <v>472.33486937999999</v>
      </c>
    </row>
    <row r="180" spans="1:14" x14ac:dyDescent="0.25">
      <c r="A180">
        <v>24.767834000000001</v>
      </c>
      <c r="B180" s="1">
        <f>DATE(2010,5,25) + TIME(18,25,40)</f>
        <v>40323.767824074072</v>
      </c>
      <c r="C180">
        <v>8168.0478516000003</v>
      </c>
      <c r="D180">
        <v>6901.1044922000001</v>
      </c>
      <c r="E180">
        <v>784.03466796999999</v>
      </c>
      <c r="F180">
        <v>101.32499695</v>
      </c>
      <c r="G180">
        <v>80</v>
      </c>
      <c r="H180">
        <v>79.887176514000004</v>
      </c>
      <c r="I180">
        <v>50</v>
      </c>
      <c r="J180">
        <v>14.998620033</v>
      </c>
      <c r="K180">
        <v>2400</v>
      </c>
      <c r="L180">
        <v>0</v>
      </c>
      <c r="M180">
        <v>0</v>
      </c>
      <c r="N180">
        <v>472.38604736000002</v>
      </c>
    </row>
    <row r="181" spans="1:14" x14ac:dyDescent="0.25">
      <c r="A181">
        <v>25.201848999999999</v>
      </c>
      <c r="B181" s="1">
        <f>DATE(2010,5,26) + TIME(4,50,39)</f>
        <v>40324.201840277776</v>
      </c>
      <c r="C181">
        <v>8157.2133789</v>
      </c>
      <c r="D181">
        <v>6890.3037108999997</v>
      </c>
      <c r="E181">
        <v>784.10327147999999</v>
      </c>
      <c r="F181">
        <v>101.32499695</v>
      </c>
      <c r="G181">
        <v>80</v>
      </c>
      <c r="H181">
        <v>79.887290954999997</v>
      </c>
      <c r="I181">
        <v>50</v>
      </c>
      <c r="J181">
        <v>14.999026299000001</v>
      </c>
      <c r="K181">
        <v>2400</v>
      </c>
      <c r="L181">
        <v>0</v>
      </c>
      <c r="M181">
        <v>0</v>
      </c>
      <c r="N181">
        <v>472.43319702000002</v>
      </c>
    </row>
    <row r="182" spans="1:14" x14ac:dyDescent="0.25">
      <c r="A182">
        <v>25.639097</v>
      </c>
      <c r="B182" s="1">
        <f>DATE(2010,5,26) + TIME(15,20,17)</f>
        <v>40324.639085648145</v>
      </c>
      <c r="C182">
        <v>8146.4589844000002</v>
      </c>
      <c r="D182">
        <v>6879.5825194999998</v>
      </c>
      <c r="E182">
        <v>784.16601562000005</v>
      </c>
      <c r="F182">
        <v>101.32499695</v>
      </c>
      <c r="G182">
        <v>80</v>
      </c>
      <c r="H182">
        <v>79.887420653999996</v>
      </c>
      <c r="I182">
        <v>50</v>
      </c>
      <c r="J182">
        <v>14.999426842</v>
      </c>
      <c r="K182">
        <v>2400</v>
      </c>
      <c r="L182">
        <v>0</v>
      </c>
      <c r="M182">
        <v>0</v>
      </c>
      <c r="N182">
        <v>472.47671509000003</v>
      </c>
    </row>
    <row r="183" spans="1:14" x14ac:dyDescent="0.25">
      <c r="A183">
        <v>26.08023</v>
      </c>
      <c r="B183" s="1">
        <f>DATE(2010,5,27) + TIME(1,55,31)</f>
        <v>40325.08021990741</v>
      </c>
      <c r="C183">
        <v>8135.7749022999997</v>
      </c>
      <c r="D183">
        <v>6868.9321289</v>
      </c>
      <c r="E183">
        <v>784.22344970999995</v>
      </c>
      <c r="F183">
        <v>101.32499695</v>
      </c>
      <c r="G183">
        <v>80</v>
      </c>
      <c r="H183">
        <v>79.887550353999998</v>
      </c>
      <c r="I183">
        <v>50</v>
      </c>
      <c r="J183">
        <v>14.999822617</v>
      </c>
      <c r="K183">
        <v>2400</v>
      </c>
      <c r="L183">
        <v>0</v>
      </c>
      <c r="M183">
        <v>0</v>
      </c>
      <c r="N183">
        <v>472.51693726000002</v>
      </c>
    </row>
    <row r="184" spans="1:14" x14ac:dyDescent="0.25">
      <c r="A184">
        <v>26.525915999999999</v>
      </c>
      <c r="B184" s="1">
        <f>DATE(2010,5,27) + TIME(12,37,19)</f>
        <v>40325.525914351849</v>
      </c>
      <c r="C184">
        <v>8125.1503905999998</v>
      </c>
      <c r="D184">
        <v>6858.3408202999999</v>
      </c>
      <c r="E184">
        <v>784.27593993999994</v>
      </c>
      <c r="F184">
        <v>101.32499695</v>
      </c>
      <c r="G184">
        <v>80</v>
      </c>
      <c r="H184">
        <v>79.887680054</v>
      </c>
      <c r="I184">
        <v>50</v>
      </c>
      <c r="J184">
        <v>15.000213623</v>
      </c>
      <c r="K184">
        <v>2400</v>
      </c>
      <c r="L184">
        <v>0</v>
      </c>
      <c r="M184">
        <v>0</v>
      </c>
      <c r="N184">
        <v>472.55410767000001</v>
      </c>
    </row>
    <row r="185" spans="1:14" x14ac:dyDescent="0.25">
      <c r="A185">
        <v>26.976839999999999</v>
      </c>
      <c r="B185" s="1">
        <f>DATE(2010,5,27) + TIME(23,26,38)</f>
        <v>40325.9768287037</v>
      </c>
      <c r="C185">
        <v>8114.5717772999997</v>
      </c>
      <c r="D185">
        <v>6847.7954102000003</v>
      </c>
      <c r="E185">
        <v>784.32397461000005</v>
      </c>
      <c r="F185">
        <v>101.32499695</v>
      </c>
      <c r="G185">
        <v>80</v>
      </c>
      <c r="H185">
        <v>79.887817382999998</v>
      </c>
      <c r="I185">
        <v>50</v>
      </c>
      <c r="J185">
        <v>15.000600815</v>
      </c>
      <c r="K185">
        <v>2400</v>
      </c>
      <c r="L185">
        <v>0</v>
      </c>
      <c r="M185">
        <v>0</v>
      </c>
      <c r="N185">
        <v>472.58853148999998</v>
      </c>
    </row>
    <row r="186" spans="1:14" x14ac:dyDescent="0.25">
      <c r="A186">
        <v>27.433717000000001</v>
      </c>
      <c r="B186" s="1">
        <f>DATE(2010,5,28) + TIME(10,24,33)</f>
        <v>40326.433715277781</v>
      </c>
      <c r="C186">
        <v>8104.0244141000003</v>
      </c>
      <c r="D186">
        <v>6837.28125</v>
      </c>
      <c r="E186">
        <v>784.36798095999995</v>
      </c>
      <c r="F186">
        <v>101.32499695</v>
      </c>
      <c r="G186">
        <v>80</v>
      </c>
      <c r="H186">
        <v>79.887954711999996</v>
      </c>
      <c r="I186">
        <v>50</v>
      </c>
      <c r="J186">
        <v>15.000985146</v>
      </c>
      <c r="K186">
        <v>2400</v>
      </c>
      <c r="L186">
        <v>0</v>
      </c>
      <c r="M186">
        <v>0</v>
      </c>
      <c r="N186">
        <v>472.62045288000002</v>
      </c>
    </row>
    <row r="187" spans="1:14" x14ac:dyDescent="0.25">
      <c r="A187">
        <v>27.897462999999998</v>
      </c>
      <c r="B187" s="1">
        <f>DATE(2010,5,28) + TIME(21,32,20)</f>
        <v>40326.897453703707</v>
      </c>
      <c r="C187">
        <v>8093.4936522999997</v>
      </c>
      <c r="D187">
        <v>6826.7836914</v>
      </c>
      <c r="E187">
        <v>784.40838623000002</v>
      </c>
      <c r="F187">
        <v>101.32499695</v>
      </c>
      <c r="G187">
        <v>80</v>
      </c>
      <c r="H187">
        <v>79.888099670000003</v>
      </c>
      <c r="I187">
        <v>50</v>
      </c>
      <c r="J187">
        <v>15.001366615</v>
      </c>
      <c r="K187">
        <v>2400</v>
      </c>
      <c r="L187">
        <v>0</v>
      </c>
      <c r="M187">
        <v>0</v>
      </c>
      <c r="N187">
        <v>472.65017699999999</v>
      </c>
    </row>
    <row r="188" spans="1:14" x14ac:dyDescent="0.25">
      <c r="A188">
        <v>28.368763000000001</v>
      </c>
      <c r="B188" s="1">
        <f>DATE(2010,5,29) + TIME(8,51,1)</f>
        <v>40327.368761574071</v>
      </c>
      <c r="C188">
        <v>8082.9643555000002</v>
      </c>
      <c r="D188">
        <v>6816.2880858999997</v>
      </c>
      <c r="E188">
        <v>784.44555663999995</v>
      </c>
      <c r="F188">
        <v>101.32499695</v>
      </c>
      <c r="G188">
        <v>80</v>
      </c>
      <c r="H188">
        <v>79.888237000000004</v>
      </c>
      <c r="I188">
        <v>50</v>
      </c>
      <c r="J188">
        <v>15.001746177999999</v>
      </c>
      <c r="K188">
        <v>2400</v>
      </c>
      <c r="L188">
        <v>0</v>
      </c>
      <c r="M188">
        <v>0</v>
      </c>
      <c r="N188">
        <v>472.67791748000002</v>
      </c>
    </row>
    <row r="189" spans="1:14" x14ac:dyDescent="0.25">
      <c r="A189">
        <v>28.848313000000001</v>
      </c>
      <c r="B189" s="1">
        <f>DATE(2010,5,29) + TIME(20,21,34)</f>
        <v>40327.848310185182</v>
      </c>
      <c r="C189">
        <v>8072.4248047000001</v>
      </c>
      <c r="D189">
        <v>6805.7817383000001</v>
      </c>
      <c r="E189">
        <v>784.47985840000001</v>
      </c>
      <c r="F189">
        <v>101.32499695</v>
      </c>
      <c r="G189">
        <v>80</v>
      </c>
      <c r="H189">
        <v>79.888381957999997</v>
      </c>
      <c r="I189">
        <v>50</v>
      </c>
      <c r="J189">
        <v>15.00212574</v>
      </c>
      <c r="K189">
        <v>2400</v>
      </c>
      <c r="L189">
        <v>0</v>
      </c>
      <c r="M189">
        <v>0</v>
      </c>
      <c r="N189">
        <v>472.70388794000002</v>
      </c>
    </row>
    <row r="190" spans="1:14" x14ac:dyDescent="0.25">
      <c r="A190">
        <v>29.336846000000001</v>
      </c>
      <c r="B190" s="1">
        <f>DATE(2010,5,30) + TIME(8,5,3)</f>
        <v>40328.336840277778</v>
      </c>
      <c r="C190">
        <v>8061.8623047000001</v>
      </c>
      <c r="D190">
        <v>6795.2529297000001</v>
      </c>
      <c r="E190">
        <v>784.51153564000003</v>
      </c>
      <c r="F190">
        <v>101.32499695</v>
      </c>
      <c r="G190">
        <v>80</v>
      </c>
      <c r="H190">
        <v>79.888526916999993</v>
      </c>
      <c r="I190">
        <v>50</v>
      </c>
      <c r="J190">
        <v>15.002503395</v>
      </c>
      <c r="K190">
        <v>2400</v>
      </c>
      <c r="L190">
        <v>0</v>
      </c>
      <c r="M190">
        <v>0</v>
      </c>
      <c r="N190">
        <v>472.72830199999999</v>
      </c>
    </row>
    <row r="191" spans="1:14" x14ac:dyDescent="0.25">
      <c r="A191">
        <v>29.834841000000001</v>
      </c>
      <c r="B191" s="1">
        <f>DATE(2010,5,30) + TIME(20,2,10)</f>
        <v>40328.834837962961</v>
      </c>
      <c r="C191">
        <v>8051.2675780999998</v>
      </c>
      <c r="D191">
        <v>6784.6918944999998</v>
      </c>
      <c r="E191">
        <v>784.54101562000005</v>
      </c>
      <c r="F191">
        <v>101.32499695</v>
      </c>
      <c r="G191">
        <v>80</v>
      </c>
      <c r="H191">
        <v>79.888671875</v>
      </c>
      <c r="I191">
        <v>50</v>
      </c>
      <c r="J191">
        <v>15.002881049999999</v>
      </c>
      <c r="K191">
        <v>2400</v>
      </c>
      <c r="L191">
        <v>0</v>
      </c>
      <c r="M191">
        <v>0</v>
      </c>
      <c r="N191">
        <v>472.75131226000002</v>
      </c>
    </row>
    <row r="192" spans="1:14" x14ac:dyDescent="0.25">
      <c r="A192">
        <v>30.343222000000001</v>
      </c>
      <c r="B192" s="1">
        <f>DATE(2010,5,31) + TIME(8,14,14)</f>
        <v>40329.343217592592</v>
      </c>
      <c r="C192">
        <v>8040.6323241999999</v>
      </c>
      <c r="D192">
        <v>6774.0898438000004</v>
      </c>
      <c r="E192">
        <v>784.56835937999995</v>
      </c>
      <c r="F192">
        <v>101.32499695</v>
      </c>
      <c r="G192">
        <v>80</v>
      </c>
      <c r="H192">
        <v>79.888816833000007</v>
      </c>
      <c r="I192">
        <v>50</v>
      </c>
      <c r="J192">
        <v>15.003258705</v>
      </c>
      <c r="K192">
        <v>2400</v>
      </c>
      <c r="L192">
        <v>0</v>
      </c>
      <c r="M192">
        <v>0</v>
      </c>
      <c r="N192">
        <v>472.77313232</v>
      </c>
    </row>
    <row r="193" spans="1:14" x14ac:dyDescent="0.25">
      <c r="A193">
        <v>30.863071999999999</v>
      </c>
      <c r="B193" s="1">
        <f>DATE(2010,5,31) + TIME(20,42,49)</f>
        <v>40329.863067129627</v>
      </c>
      <c r="C193">
        <v>8029.9418944999998</v>
      </c>
      <c r="D193">
        <v>6763.4335938000004</v>
      </c>
      <c r="E193">
        <v>784.59399413999995</v>
      </c>
      <c r="F193">
        <v>101.32499695</v>
      </c>
      <c r="G193">
        <v>80</v>
      </c>
      <c r="H193">
        <v>79.888969420999999</v>
      </c>
      <c r="I193">
        <v>50</v>
      </c>
      <c r="J193">
        <v>15.003638268</v>
      </c>
      <c r="K193">
        <v>2400</v>
      </c>
      <c r="L193">
        <v>0</v>
      </c>
      <c r="M193">
        <v>0</v>
      </c>
      <c r="N193">
        <v>472.79388427999999</v>
      </c>
    </row>
    <row r="194" spans="1:14" x14ac:dyDescent="0.25">
      <c r="A194">
        <v>31</v>
      </c>
      <c r="B194" s="1">
        <f>DATE(2010,6,1) + TIME(0,0,0)</f>
        <v>40330</v>
      </c>
      <c r="C194">
        <v>8023.2304688000004</v>
      </c>
      <c r="D194">
        <v>6756.7456055000002</v>
      </c>
      <c r="E194">
        <v>784.60345458999996</v>
      </c>
      <c r="F194">
        <v>101.32499695</v>
      </c>
      <c r="G194">
        <v>80</v>
      </c>
      <c r="H194">
        <v>79.888511657999999</v>
      </c>
      <c r="I194">
        <v>50</v>
      </c>
      <c r="J194">
        <v>15.003743172</v>
      </c>
      <c r="K194">
        <v>2400</v>
      </c>
      <c r="L194">
        <v>0</v>
      </c>
      <c r="M194">
        <v>0</v>
      </c>
      <c r="N194">
        <v>472.80139159999999</v>
      </c>
    </row>
    <row r="195" spans="1:14" x14ac:dyDescent="0.25">
      <c r="A195">
        <v>31.532509000000001</v>
      </c>
      <c r="B195" s="1">
        <f>DATE(2010,6,1) + TIME(12,46,48)</f>
        <v>40330.532500000001</v>
      </c>
      <c r="C195">
        <v>8015.7338866999999</v>
      </c>
      <c r="D195">
        <v>6749.2690430000002</v>
      </c>
      <c r="E195">
        <v>784.62908935999997</v>
      </c>
      <c r="F195">
        <v>101.32499695</v>
      </c>
      <c r="G195">
        <v>80</v>
      </c>
      <c r="H195">
        <v>79.889144896999994</v>
      </c>
      <c r="I195">
        <v>50</v>
      </c>
      <c r="J195">
        <v>15.00412178</v>
      </c>
      <c r="K195">
        <v>2400</v>
      </c>
      <c r="L195">
        <v>0</v>
      </c>
      <c r="M195">
        <v>0</v>
      </c>
      <c r="N195">
        <v>472.82183837999997</v>
      </c>
    </row>
    <row r="196" spans="1:14" x14ac:dyDescent="0.25">
      <c r="A196">
        <v>32.069029999999998</v>
      </c>
      <c r="B196" s="1">
        <f>DATE(2010,6,2) + TIME(1,39,24)</f>
        <v>40331.069027777776</v>
      </c>
      <c r="C196">
        <v>8005.4526366999999</v>
      </c>
      <c r="D196">
        <v>6739.0219727000003</v>
      </c>
      <c r="E196">
        <v>784.65075683999999</v>
      </c>
      <c r="F196">
        <v>101.32499695</v>
      </c>
      <c r="G196">
        <v>80</v>
      </c>
      <c r="H196">
        <v>79.889335631999998</v>
      </c>
      <c r="I196">
        <v>50</v>
      </c>
      <c r="J196">
        <v>15.004495621</v>
      </c>
      <c r="K196">
        <v>2400</v>
      </c>
      <c r="L196">
        <v>0</v>
      </c>
      <c r="M196">
        <v>0</v>
      </c>
      <c r="N196">
        <v>472.84011841</v>
      </c>
    </row>
    <row r="197" spans="1:14" x14ac:dyDescent="0.25">
      <c r="A197">
        <v>32.605705999999998</v>
      </c>
      <c r="B197" s="1">
        <f>DATE(2010,6,2) + TIME(14,32,12)</f>
        <v>40331.605694444443</v>
      </c>
      <c r="C197">
        <v>7994.8886719000002</v>
      </c>
      <c r="D197">
        <v>6728.4921875</v>
      </c>
      <c r="E197">
        <v>784.67028808999999</v>
      </c>
      <c r="F197">
        <v>101.32499695</v>
      </c>
      <c r="G197">
        <v>80</v>
      </c>
      <c r="H197">
        <v>79.889465332</v>
      </c>
      <c r="I197">
        <v>50</v>
      </c>
      <c r="J197">
        <v>15.004863738999999</v>
      </c>
      <c r="K197">
        <v>2400</v>
      </c>
      <c r="L197">
        <v>0</v>
      </c>
      <c r="M197">
        <v>0</v>
      </c>
      <c r="N197">
        <v>472.85705566000001</v>
      </c>
    </row>
    <row r="198" spans="1:14" x14ac:dyDescent="0.25">
      <c r="A198">
        <v>33.143459999999997</v>
      </c>
      <c r="B198" s="1">
        <f>DATE(2010,6,3) + TIME(3,26,34)</f>
        <v>40332.143449074072</v>
      </c>
      <c r="C198">
        <v>7984.3974608999997</v>
      </c>
      <c r="D198">
        <v>6718.0341797000001</v>
      </c>
      <c r="E198">
        <v>784.68939208999996</v>
      </c>
      <c r="F198">
        <v>101.32499695</v>
      </c>
      <c r="G198">
        <v>80</v>
      </c>
      <c r="H198">
        <v>79.889595032000003</v>
      </c>
      <c r="I198">
        <v>50</v>
      </c>
      <c r="J198">
        <v>15.005226134999999</v>
      </c>
      <c r="K198">
        <v>2400</v>
      </c>
      <c r="L198">
        <v>0</v>
      </c>
      <c r="M198">
        <v>0</v>
      </c>
      <c r="N198">
        <v>472.87365722999999</v>
      </c>
    </row>
    <row r="199" spans="1:14" x14ac:dyDescent="0.25">
      <c r="A199">
        <v>33.683118</v>
      </c>
      <c r="B199" s="1">
        <f>DATE(2010,6,3) + TIME(16,23,41)</f>
        <v>40332.683113425926</v>
      </c>
      <c r="C199">
        <v>7974.0205077999999</v>
      </c>
      <c r="D199">
        <v>6707.6904297000001</v>
      </c>
      <c r="E199">
        <v>784.70819091999999</v>
      </c>
      <c r="F199">
        <v>101.32499695</v>
      </c>
      <c r="G199">
        <v>80</v>
      </c>
      <c r="H199">
        <v>79.889724731000001</v>
      </c>
      <c r="I199">
        <v>50</v>
      </c>
      <c r="J199">
        <v>15.005583763000001</v>
      </c>
      <c r="K199">
        <v>2400</v>
      </c>
      <c r="L199">
        <v>0</v>
      </c>
      <c r="M199">
        <v>0</v>
      </c>
      <c r="N199">
        <v>472.89001465000001</v>
      </c>
    </row>
    <row r="200" spans="1:14" x14ac:dyDescent="0.25">
      <c r="A200">
        <v>34.225450000000002</v>
      </c>
      <c r="B200" s="1">
        <f>DATE(2010,6,4) + TIME(5,24,38)</f>
        <v>40333.225439814814</v>
      </c>
      <c r="C200">
        <v>7963.7558594000002</v>
      </c>
      <c r="D200">
        <v>6697.4580077999999</v>
      </c>
      <c r="E200">
        <v>784.72650146000001</v>
      </c>
      <c r="F200">
        <v>101.32499695</v>
      </c>
      <c r="G200">
        <v>80</v>
      </c>
      <c r="H200">
        <v>79.889862061000002</v>
      </c>
      <c r="I200">
        <v>50</v>
      </c>
      <c r="J200">
        <v>15.005937576000001</v>
      </c>
      <c r="K200">
        <v>2400</v>
      </c>
      <c r="L200">
        <v>0</v>
      </c>
      <c r="M200">
        <v>0</v>
      </c>
      <c r="N200">
        <v>472.90603637999999</v>
      </c>
    </row>
    <row r="201" spans="1:14" x14ac:dyDescent="0.25">
      <c r="A201">
        <v>34.771194999999999</v>
      </c>
      <c r="B201" s="1">
        <f>DATE(2010,6,4) + TIME(18,30,31)</f>
        <v>40333.771192129629</v>
      </c>
      <c r="C201">
        <v>7953.5908202999999</v>
      </c>
      <c r="D201">
        <v>6687.3256836</v>
      </c>
      <c r="E201">
        <v>784.74426270000004</v>
      </c>
      <c r="F201">
        <v>101.32499695</v>
      </c>
      <c r="G201">
        <v>80</v>
      </c>
      <c r="H201">
        <v>79.890007018999995</v>
      </c>
      <c r="I201">
        <v>50</v>
      </c>
      <c r="J201">
        <v>15.006287575</v>
      </c>
      <c r="K201">
        <v>2400</v>
      </c>
      <c r="L201">
        <v>0</v>
      </c>
      <c r="M201">
        <v>0</v>
      </c>
      <c r="N201">
        <v>472.92169188999998</v>
      </c>
    </row>
    <row r="202" spans="1:14" x14ac:dyDescent="0.25">
      <c r="A202">
        <v>35.321170000000002</v>
      </c>
      <c r="B202" s="1">
        <f>DATE(2010,6,5) + TIME(7,42,29)</f>
        <v>40334.321168981478</v>
      </c>
      <c r="C202">
        <v>7943.5122069999998</v>
      </c>
      <c r="D202">
        <v>6677.2797852000003</v>
      </c>
      <c r="E202">
        <v>784.76147461000005</v>
      </c>
      <c r="F202">
        <v>101.32499695</v>
      </c>
      <c r="G202">
        <v>80</v>
      </c>
      <c r="H202">
        <v>79.890151978000006</v>
      </c>
      <c r="I202">
        <v>50</v>
      </c>
      <c r="J202">
        <v>15.006634712</v>
      </c>
      <c r="K202">
        <v>2400</v>
      </c>
      <c r="L202">
        <v>0</v>
      </c>
      <c r="M202">
        <v>0</v>
      </c>
      <c r="N202">
        <v>472.93698119999999</v>
      </c>
    </row>
    <row r="203" spans="1:14" x14ac:dyDescent="0.25">
      <c r="A203">
        <v>35.876206000000003</v>
      </c>
      <c r="B203" s="1">
        <f>DATE(2010,6,5) + TIME(21,1,44)</f>
        <v>40334.876203703701</v>
      </c>
      <c r="C203">
        <v>7933.5053711</v>
      </c>
      <c r="D203">
        <v>6667.3046875</v>
      </c>
      <c r="E203">
        <v>784.77813720999995</v>
      </c>
      <c r="F203">
        <v>101.32499695</v>
      </c>
      <c r="G203">
        <v>80</v>
      </c>
      <c r="H203">
        <v>79.890296935999999</v>
      </c>
      <c r="I203">
        <v>50</v>
      </c>
      <c r="J203">
        <v>15.006978989</v>
      </c>
      <c r="K203">
        <v>2400</v>
      </c>
      <c r="L203">
        <v>0</v>
      </c>
      <c r="M203">
        <v>0</v>
      </c>
      <c r="N203">
        <v>472.95193481000001</v>
      </c>
    </row>
    <row r="204" spans="1:14" x14ac:dyDescent="0.25">
      <c r="A204">
        <v>36.437156000000002</v>
      </c>
      <c r="B204" s="1">
        <f>DATE(2010,6,6) + TIME(10,29,30)</f>
        <v>40335.437152777777</v>
      </c>
      <c r="C204">
        <v>7923.5551758000001</v>
      </c>
      <c r="D204">
        <v>6657.3867188000004</v>
      </c>
      <c r="E204">
        <v>784.79437256000006</v>
      </c>
      <c r="F204">
        <v>101.32499695</v>
      </c>
      <c r="G204">
        <v>80</v>
      </c>
      <c r="H204">
        <v>79.890441894999995</v>
      </c>
      <c r="I204">
        <v>50</v>
      </c>
      <c r="J204">
        <v>15.007322310999999</v>
      </c>
      <c r="K204">
        <v>2400</v>
      </c>
      <c r="L204">
        <v>0</v>
      </c>
      <c r="M204">
        <v>0</v>
      </c>
      <c r="N204">
        <v>472.96655272999999</v>
      </c>
    </row>
    <row r="205" spans="1:14" x14ac:dyDescent="0.25">
      <c r="A205">
        <v>37.004905999999998</v>
      </c>
      <c r="B205" s="1">
        <f>DATE(2010,6,7) + TIME(0,7,3)</f>
        <v>40336.004895833335</v>
      </c>
      <c r="C205">
        <v>7913.6469727000003</v>
      </c>
      <c r="D205">
        <v>6647.5102539</v>
      </c>
      <c r="E205">
        <v>784.81018066000001</v>
      </c>
      <c r="F205">
        <v>101.32499695</v>
      </c>
      <c r="G205">
        <v>80</v>
      </c>
      <c r="H205">
        <v>79.890586853000002</v>
      </c>
      <c r="I205">
        <v>50</v>
      </c>
      <c r="J205">
        <v>15.007663727000001</v>
      </c>
      <c r="K205">
        <v>2400</v>
      </c>
      <c r="L205">
        <v>0</v>
      </c>
      <c r="M205">
        <v>0</v>
      </c>
      <c r="N205">
        <v>472.98095703000001</v>
      </c>
    </row>
    <row r="206" spans="1:14" x14ac:dyDescent="0.25">
      <c r="A206">
        <v>37.580603000000004</v>
      </c>
      <c r="B206" s="1">
        <f>DATE(2010,6,7) + TIME(13,56,4)</f>
        <v>40336.580601851849</v>
      </c>
      <c r="C206">
        <v>7903.765625</v>
      </c>
      <c r="D206">
        <v>6637.6601561999996</v>
      </c>
      <c r="E206">
        <v>784.82574463000003</v>
      </c>
      <c r="F206">
        <v>101.32499695</v>
      </c>
      <c r="G206">
        <v>80</v>
      </c>
      <c r="H206">
        <v>79.890739440999994</v>
      </c>
      <c r="I206">
        <v>50</v>
      </c>
      <c r="J206">
        <v>15.008005142</v>
      </c>
      <c r="K206">
        <v>2400</v>
      </c>
      <c r="L206">
        <v>0</v>
      </c>
      <c r="M206">
        <v>0</v>
      </c>
      <c r="N206">
        <v>472.99517822000001</v>
      </c>
    </row>
    <row r="207" spans="1:14" x14ac:dyDescent="0.25">
      <c r="A207">
        <v>38.165067000000001</v>
      </c>
      <c r="B207" s="1">
        <f>DATE(2010,6,8) + TIME(3,57,41)</f>
        <v>40337.16505787037</v>
      </c>
      <c r="C207">
        <v>7893.8945311999996</v>
      </c>
      <c r="D207">
        <v>6627.8208008000001</v>
      </c>
      <c r="E207">
        <v>784.84106444999998</v>
      </c>
      <c r="F207">
        <v>101.32499695</v>
      </c>
      <c r="G207">
        <v>80</v>
      </c>
      <c r="H207">
        <v>79.890884399000001</v>
      </c>
      <c r="I207">
        <v>50</v>
      </c>
      <c r="J207">
        <v>15.008345604000001</v>
      </c>
      <c r="K207">
        <v>2400</v>
      </c>
      <c r="L207">
        <v>0</v>
      </c>
      <c r="M207">
        <v>0</v>
      </c>
      <c r="N207">
        <v>473.00924683</v>
      </c>
    </row>
    <row r="208" spans="1:14" x14ac:dyDescent="0.25">
      <c r="A208">
        <v>38.759292000000002</v>
      </c>
      <c r="B208" s="1">
        <f>DATE(2010,6,8) + TIME(18,13,22)</f>
        <v>40337.759282407409</v>
      </c>
      <c r="C208">
        <v>7884.0209961</v>
      </c>
      <c r="D208">
        <v>6617.9790039</v>
      </c>
      <c r="E208">
        <v>784.85626220999995</v>
      </c>
      <c r="F208">
        <v>101.32499695</v>
      </c>
      <c r="G208">
        <v>80</v>
      </c>
      <c r="H208">
        <v>79.891036987000007</v>
      </c>
      <c r="I208">
        <v>50</v>
      </c>
      <c r="J208">
        <v>15.008686065999999</v>
      </c>
      <c r="K208">
        <v>2400</v>
      </c>
      <c r="L208">
        <v>0</v>
      </c>
      <c r="M208">
        <v>0</v>
      </c>
      <c r="N208">
        <v>473.02328490999997</v>
      </c>
    </row>
    <row r="209" spans="1:14" x14ac:dyDescent="0.25">
      <c r="A209">
        <v>39.364002999999997</v>
      </c>
      <c r="B209" s="1">
        <f>DATE(2010,6,9) + TIME(8,44,9)</f>
        <v>40338.363993055558</v>
      </c>
      <c r="C209">
        <v>7874.1333008000001</v>
      </c>
      <c r="D209">
        <v>6608.1225586</v>
      </c>
      <c r="E209">
        <v>784.87145996000004</v>
      </c>
      <c r="F209">
        <v>101.32499695</v>
      </c>
      <c r="G209">
        <v>80</v>
      </c>
      <c r="H209">
        <v>79.891189574999999</v>
      </c>
      <c r="I209">
        <v>50</v>
      </c>
      <c r="J209">
        <v>15.009027481</v>
      </c>
      <c r="K209">
        <v>2400</v>
      </c>
      <c r="L209">
        <v>0</v>
      </c>
      <c r="M209">
        <v>0</v>
      </c>
      <c r="N209">
        <v>473.03729248000002</v>
      </c>
    </row>
    <row r="210" spans="1:14" x14ac:dyDescent="0.25">
      <c r="A210">
        <v>39.979835999999999</v>
      </c>
      <c r="B210" s="1">
        <f>DATE(2010,6,9) + TIME(23,30,57)</f>
        <v>40338.979826388888</v>
      </c>
      <c r="C210">
        <v>7864.2216797000001</v>
      </c>
      <c r="D210">
        <v>6598.2426758000001</v>
      </c>
      <c r="E210">
        <v>784.88665771000001</v>
      </c>
      <c r="F210">
        <v>101.32499695</v>
      </c>
      <c r="G210">
        <v>80</v>
      </c>
      <c r="H210">
        <v>79.891342163000004</v>
      </c>
      <c r="I210">
        <v>50</v>
      </c>
      <c r="J210">
        <v>15.009369850000001</v>
      </c>
      <c r="K210">
        <v>2400</v>
      </c>
      <c r="L210">
        <v>0</v>
      </c>
      <c r="M210">
        <v>0</v>
      </c>
      <c r="N210">
        <v>473.05139159999999</v>
      </c>
    </row>
    <row r="211" spans="1:14" x14ac:dyDescent="0.25">
      <c r="A211">
        <v>40.607940999999997</v>
      </c>
      <c r="B211" s="1">
        <f>DATE(2010,6,10) + TIME(14,35,26)</f>
        <v>40339.607939814814</v>
      </c>
      <c r="C211">
        <v>7854.2763672000001</v>
      </c>
      <c r="D211">
        <v>6588.3295897999997</v>
      </c>
      <c r="E211">
        <v>784.90203856999995</v>
      </c>
      <c r="F211">
        <v>101.32499695</v>
      </c>
      <c r="G211">
        <v>80</v>
      </c>
      <c r="H211">
        <v>79.891494750999996</v>
      </c>
      <c r="I211">
        <v>50</v>
      </c>
      <c r="J211">
        <v>15.009713173</v>
      </c>
      <c r="K211">
        <v>2400</v>
      </c>
      <c r="L211">
        <v>0</v>
      </c>
      <c r="M211">
        <v>0</v>
      </c>
      <c r="N211">
        <v>473.06558228</v>
      </c>
    </row>
    <row r="212" spans="1:14" x14ac:dyDescent="0.25">
      <c r="A212">
        <v>41.249640999999997</v>
      </c>
      <c r="B212" s="1">
        <f>DATE(2010,6,11) + TIME(5,59,29)</f>
        <v>40340.249641203707</v>
      </c>
      <c r="C212">
        <v>7844.2836914</v>
      </c>
      <c r="D212">
        <v>6578.3686522999997</v>
      </c>
      <c r="E212">
        <v>784.91754149999997</v>
      </c>
      <c r="F212">
        <v>101.32499695</v>
      </c>
      <c r="G212">
        <v>80</v>
      </c>
      <c r="H212">
        <v>79.891654967999997</v>
      </c>
      <c r="I212">
        <v>50</v>
      </c>
      <c r="J212">
        <v>15.010058403</v>
      </c>
      <c r="K212">
        <v>2400</v>
      </c>
      <c r="L212">
        <v>0</v>
      </c>
      <c r="M212">
        <v>0</v>
      </c>
      <c r="N212">
        <v>473.07989501999998</v>
      </c>
    </row>
    <row r="213" spans="1:14" x14ac:dyDescent="0.25">
      <c r="A213">
        <v>41.577725999999998</v>
      </c>
      <c r="B213" s="1">
        <f>DATE(2010,6,11) + TIME(13,51,55)</f>
        <v>40340.577719907407</v>
      </c>
      <c r="C213">
        <v>7836.2016602000003</v>
      </c>
      <c r="D213">
        <v>6570.3090819999998</v>
      </c>
      <c r="E213">
        <v>784.93377685999997</v>
      </c>
      <c r="F213">
        <v>101.32499695</v>
      </c>
      <c r="G213">
        <v>80</v>
      </c>
      <c r="H213">
        <v>79.891418457</v>
      </c>
      <c r="I213">
        <v>50</v>
      </c>
      <c r="J213">
        <v>15.010243416</v>
      </c>
      <c r="K213">
        <v>2400</v>
      </c>
      <c r="L213">
        <v>0</v>
      </c>
      <c r="M213">
        <v>0</v>
      </c>
      <c r="N213">
        <v>473.09265137</v>
      </c>
    </row>
    <row r="214" spans="1:14" x14ac:dyDescent="0.25">
      <c r="A214">
        <v>41.905493</v>
      </c>
      <c r="B214" s="1">
        <f>DATE(2010,6,11) + TIME(21,43,54)</f>
        <v>40340.905486111114</v>
      </c>
      <c r="C214">
        <v>7830.2543944999998</v>
      </c>
      <c r="D214">
        <v>6564.3784180000002</v>
      </c>
      <c r="E214">
        <v>784.95275878999996</v>
      </c>
      <c r="F214">
        <v>101.32499695</v>
      </c>
      <c r="G214">
        <v>80</v>
      </c>
      <c r="H214">
        <v>79.891487122000001</v>
      </c>
      <c r="I214">
        <v>50</v>
      </c>
      <c r="J214">
        <v>15.010426520999999</v>
      </c>
      <c r="K214">
        <v>2400</v>
      </c>
      <c r="L214">
        <v>0</v>
      </c>
      <c r="M214">
        <v>0</v>
      </c>
      <c r="N214">
        <v>473.10681152000001</v>
      </c>
    </row>
    <row r="215" spans="1:14" x14ac:dyDescent="0.25">
      <c r="A215">
        <v>42.233260000000001</v>
      </c>
      <c r="B215" s="1">
        <f>DATE(2010,6,12) + TIME(5,35,53)</f>
        <v>40341.233252314814</v>
      </c>
      <c r="C215">
        <v>7824.875</v>
      </c>
      <c r="D215">
        <v>6559.0161133000001</v>
      </c>
      <c r="E215">
        <v>784.97100829999999</v>
      </c>
      <c r="F215">
        <v>101.32499695</v>
      </c>
      <c r="G215">
        <v>80</v>
      </c>
      <c r="H215">
        <v>79.891616821</v>
      </c>
      <c r="I215">
        <v>50</v>
      </c>
      <c r="J215">
        <v>15.010607718999999</v>
      </c>
      <c r="K215">
        <v>2400</v>
      </c>
      <c r="L215">
        <v>0</v>
      </c>
      <c r="M215">
        <v>0</v>
      </c>
      <c r="N215">
        <v>473.12045288000002</v>
      </c>
    </row>
    <row r="216" spans="1:14" x14ac:dyDescent="0.25">
      <c r="A216">
        <v>42.561025999999998</v>
      </c>
      <c r="B216" s="1">
        <f>DATE(2010,6,12) + TIME(13,27,52)</f>
        <v>40341.561018518521</v>
      </c>
      <c r="C216">
        <v>7819.6987305000002</v>
      </c>
      <c r="D216">
        <v>6553.8564452999999</v>
      </c>
      <c r="E216">
        <v>784.98651123000002</v>
      </c>
      <c r="F216">
        <v>101.32499695</v>
      </c>
      <c r="G216">
        <v>80</v>
      </c>
      <c r="H216">
        <v>79.891746521000002</v>
      </c>
      <c r="I216">
        <v>50</v>
      </c>
      <c r="J216">
        <v>15.010787964</v>
      </c>
      <c r="K216">
        <v>2400</v>
      </c>
      <c r="L216">
        <v>0</v>
      </c>
      <c r="M216">
        <v>0</v>
      </c>
      <c r="N216">
        <v>473.13241577000002</v>
      </c>
    </row>
    <row r="217" spans="1:14" x14ac:dyDescent="0.25">
      <c r="A217">
        <v>43.216558999999997</v>
      </c>
      <c r="B217" s="1">
        <f>DATE(2010,6,13) + TIME(5,11,50)</f>
        <v>40342.216550925928</v>
      </c>
      <c r="C217">
        <v>7813.1723633000001</v>
      </c>
      <c r="D217">
        <v>6547.3559569999998</v>
      </c>
      <c r="E217">
        <v>784.99102783000001</v>
      </c>
      <c r="F217">
        <v>101.32499695</v>
      </c>
      <c r="G217">
        <v>80</v>
      </c>
      <c r="H217">
        <v>79.892265320000007</v>
      </c>
      <c r="I217">
        <v>50</v>
      </c>
      <c r="J217">
        <v>15.011120796</v>
      </c>
      <c r="K217">
        <v>2400</v>
      </c>
      <c r="L217">
        <v>0</v>
      </c>
      <c r="M217">
        <v>0</v>
      </c>
      <c r="N217">
        <v>473.13961791999998</v>
      </c>
    </row>
    <row r="218" spans="1:14" x14ac:dyDescent="0.25">
      <c r="A218">
        <v>43.872340999999999</v>
      </c>
      <c r="B218" s="1">
        <f>DATE(2010,6,13) + TIME(20,56,10)</f>
        <v>40342.872337962966</v>
      </c>
      <c r="C218">
        <v>7804.0297852000003</v>
      </c>
      <c r="D218">
        <v>6538.2441405999998</v>
      </c>
      <c r="E218">
        <v>784.99395751999998</v>
      </c>
      <c r="F218">
        <v>101.32499695</v>
      </c>
      <c r="G218">
        <v>80</v>
      </c>
      <c r="H218">
        <v>79.892395019999995</v>
      </c>
      <c r="I218">
        <v>50</v>
      </c>
      <c r="J218">
        <v>15.01144886</v>
      </c>
      <c r="K218">
        <v>2400</v>
      </c>
      <c r="L218">
        <v>0</v>
      </c>
      <c r="M218">
        <v>0</v>
      </c>
      <c r="N218">
        <v>473.14611816000001</v>
      </c>
    </row>
    <row r="219" spans="1:14" x14ac:dyDescent="0.25">
      <c r="A219">
        <v>44.530620999999996</v>
      </c>
      <c r="B219" s="1">
        <f>DATE(2010,6,14) + TIME(12,44,5)</f>
        <v>40343.530613425923</v>
      </c>
      <c r="C219">
        <v>7794.5561522999997</v>
      </c>
      <c r="D219">
        <v>6528.8002930000002</v>
      </c>
      <c r="E219">
        <v>785.00225829999999</v>
      </c>
      <c r="F219">
        <v>101.32499695</v>
      </c>
      <c r="G219">
        <v>80</v>
      </c>
      <c r="H219">
        <v>79.892501831000004</v>
      </c>
      <c r="I219">
        <v>50</v>
      </c>
      <c r="J219">
        <v>15.011775017</v>
      </c>
      <c r="K219">
        <v>2400</v>
      </c>
      <c r="L219">
        <v>0</v>
      </c>
      <c r="M219">
        <v>0</v>
      </c>
      <c r="N219">
        <v>473.15588379000002</v>
      </c>
    </row>
    <row r="220" spans="1:14" x14ac:dyDescent="0.25">
      <c r="A220">
        <v>45.192422999999998</v>
      </c>
      <c r="B220" s="1">
        <f>DATE(2010,6,15) + TIME(4,37,5)</f>
        <v>40344.192418981482</v>
      </c>
      <c r="C220">
        <v>7785.0727539</v>
      </c>
      <c r="D220">
        <v>6519.3471680000002</v>
      </c>
      <c r="E220">
        <v>785.01531981999995</v>
      </c>
      <c r="F220">
        <v>101.32499695</v>
      </c>
      <c r="G220">
        <v>80</v>
      </c>
      <c r="H220">
        <v>79.892616271999998</v>
      </c>
      <c r="I220">
        <v>50</v>
      </c>
      <c r="J220">
        <v>15.012099266</v>
      </c>
      <c r="K220">
        <v>2400</v>
      </c>
      <c r="L220">
        <v>0</v>
      </c>
      <c r="M220">
        <v>0</v>
      </c>
      <c r="N220">
        <v>473.16848755000001</v>
      </c>
    </row>
    <row r="221" spans="1:14" x14ac:dyDescent="0.25">
      <c r="A221">
        <v>45.858739999999997</v>
      </c>
      <c r="B221" s="1">
        <f>DATE(2010,6,15) + TIME(20,36,35)</f>
        <v>40344.858738425923</v>
      </c>
      <c r="C221">
        <v>7775.6362305000002</v>
      </c>
      <c r="D221">
        <v>6509.9399414</v>
      </c>
      <c r="E221">
        <v>785.03106689000003</v>
      </c>
      <c r="F221">
        <v>101.32499695</v>
      </c>
      <c r="G221">
        <v>80</v>
      </c>
      <c r="H221">
        <v>79.892745972</v>
      </c>
      <c r="I221">
        <v>50</v>
      </c>
      <c r="J221">
        <v>15.012421608</v>
      </c>
      <c r="K221">
        <v>2400</v>
      </c>
      <c r="L221">
        <v>0</v>
      </c>
      <c r="M221">
        <v>0</v>
      </c>
      <c r="N221">
        <v>473.18273926000001</v>
      </c>
    </row>
    <row r="222" spans="1:14" x14ac:dyDescent="0.25">
      <c r="A222">
        <v>46.530586999999997</v>
      </c>
      <c r="B222" s="1">
        <f>DATE(2010,6,16) + TIME(12,44,2)</f>
        <v>40345.530578703707</v>
      </c>
      <c r="C222">
        <v>7766.2524414</v>
      </c>
      <c r="D222">
        <v>6500.5859375</v>
      </c>
      <c r="E222">
        <v>785.04827881000006</v>
      </c>
      <c r="F222">
        <v>101.32499695</v>
      </c>
      <c r="G222">
        <v>80</v>
      </c>
      <c r="H222">
        <v>79.892890929999993</v>
      </c>
      <c r="I222">
        <v>50</v>
      </c>
      <c r="J222">
        <v>15.012742996</v>
      </c>
      <c r="K222">
        <v>2400</v>
      </c>
      <c r="L222">
        <v>0</v>
      </c>
      <c r="M222">
        <v>0</v>
      </c>
      <c r="N222">
        <v>473.19784546</v>
      </c>
    </row>
    <row r="223" spans="1:14" x14ac:dyDescent="0.25">
      <c r="A223">
        <v>47.209007</v>
      </c>
      <c r="B223" s="1">
        <f>DATE(2010,6,17) + TIME(5,0,58)</f>
        <v>40346.209004629629</v>
      </c>
      <c r="C223">
        <v>7756.9145508000001</v>
      </c>
      <c r="D223">
        <v>6491.2778319999998</v>
      </c>
      <c r="E223">
        <v>785.06622314000003</v>
      </c>
      <c r="F223">
        <v>101.32499695</v>
      </c>
      <c r="G223">
        <v>80</v>
      </c>
      <c r="H223">
        <v>79.893035889000004</v>
      </c>
      <c r="I223">
        <v>50</v>
      </c>
      <c r="J223">
        <v>15.013062477</v>
      </c>
      <c r="K223">
        <v>2400</v>
      </c>
      <c r="L223">
        <v>0</v>
      </c>
      <c r="M223">
        <v>0</v>
      </c>
      <c r="N223">
        <v>473.21337891000002</v>
      </c>
    </row>
    <row r="224" spans="1:14" x14ac:dyDescent="0.25">
      <c r="A224">
        <v>47.894703</v>
      </c>
      <c r="B224" s="1">
        <f>DATE(2010,6,17) + TIME(21,28,22)</f>
        <v>40346.894699074073</v>
      </c>
      <c r="C224">
        <v>7747.6142577999999</v>
      </c>
      <c r="D224">
        <v>6482.0068358999997</v>
      </c>
      <c r="E224">
        <v>785.08465576000003</v>
      </c>
      <c r="F224">
        <v>101.32499695</v>
      </c>
      <c r="G224">
        <v>80</v>
      </c>
      <c r="H224">
        <v>79.893188476999995</v>
      </c>
      <c r="I224">
        <v>50</v>
      </c>
      <c r="J224">
        <v>15.013381958</v>
      </c>
      <c r="K224">
        <v>2400</v>
      </c>
      <c r="L224">
        <v>0</v>
      </c>
      <c r="M224">
        <v>0</v>
      </c>
      <c r="N224">
        <v>473.22921753000003</v>
      </c>
    </row>
    <row r="225" spans="1:14" x14ac:dyDescent="0.25">
      <c r="A225">
        <v>48.588878000000001</v>
      </c>
      <c r="B225" s="1">
        <f>DATE(2010,6,18) + TIME(14,7,59)</f>
        <v>40347.588877314818</v>
      </c>
      <c r="C225">
        <v>7738.3408202999999</v>
      </c>
      <c r="D225">
        <v>6472.7626952999999</v>
      </c>
      <c r="E225">
        <v>785.10339354999996</v>
      </c>
      <c r="F225">
        <v>101.32499695</v>
      </c>
      <c r="G225">
        <v>80</v>
      </c>
      <c r="H225">
        <v>79.893341063999998</v>
      </c>
      <c r="I225">
        <v>50</v>
      </c>
      <c r="J225">
        <v>15.013700484999999</v>
      </c>
      <c r="K225">
        <v>2400</v>
      </c>
      <c r="L225">
        <v>0</v>
      </c>
      <c r="M225">
        <v>0</v>
      </c>
      <c r="N225">
        <v>473.24526978</v>
      </c>
    </row>
    <row r="226" spans="1:14" x14ac:dyDescent="0.25">
      <c r="A226">
        <v>49.292794000000001</v>
      </c>
      <c r="B226" s="1">
        <f>DATE(2010,6,19) + TIME(7,1,37)</f>
        <v>40348.29278935185</v>
      </c>
      <c r="C226">
        <v>7729.0810547000001</v>
      </c>
      <c r="D226">
        <v>6463.5322266000003</v>
      </c>
      <c r="E226">
        <v>785.12237548999997</v>
      </c>
      <c r="F226">
        <v>101.32499695</v>
      </c>
      <c r="G226">
        <v>80</v>
      </c>
      <c r="H226">
        <v>79.893501282000003</v>
      </c>
      <c r="I226">
        <v>50</v>
      </c>
      <c r="J226">
        <v>15.014019965999999</v>
      </c>
      <c r="K226">
        <v>2400</v>
      </c>
      <c r="L226">
        <v>0</v>
      </c>
      <c r="M226">
        <v>0</v>
      </c>
      <c r="N226">
        <v>473.26147460999999</v>
      </c>
    </row>
    <row r="227" spans="1:14" x14ac:dyDescent="0.25">
      <c r="A227">
        <v>50.007475999999997</v>
      </c>
      <c r="B227" s="1">
        <f>DATE(2010,6,20) + TIME(0,10,45)</f>
        <v>40349.007465277777</v>
      </c>
      <c r="C227">
        <v>7719.8217772999997</v>
      </c>
      <c r="D227">
        <v>6454.3022461</v>
      </c>
      <c r="E227">
        <v>785.14160156000003</v>
      </c>
      <c r="F227">
        <v>101.32499695</v>
      </c>
      <c r="G227">
        <v>80</v>
      </c>
      <c r="H227">
        <v>79.893661499000004</v>
      </c>
      <c r="I227">
        <v>50</v>
      </c>
      <c r="J227">
        <v>15.014339446999999</v>
      </c>
      <c r="K227">
        <v>2400</v>
      </c>
      <c r="L227">
        <v>0</v>
      </c>
      <c r="M227">
        <v>0</v>
      </c>
      <c r="N227">
        <v>473.27786255000001</v>
      </c>
    </row>
    <row r="228" spans="1:14" x14ac:dyDescent="0.25">
      <c r="A228">
        <v>50.734153999999997</v>
      </c>
      <c r="B228" s="1">
        <f>DATE(2010,6,20) + TIME(17,37,10)</f>
        <v>40349.734143518515</v>
      </c>
      <c r="C228">
        <v>7710.5512694999998</v>
      </c>
      <c r="D228">
        <v>6445.0605469000002</v>
      </c>
      <c r="E228">
        <v>785.16119385000002</v>
      </c>
      <c r="F228">
        <v>101.32499695</v>
      </c>
      <c r="G228">
        <v>80</v>
      </c>
      <c r="H228">
        <v>79.893821716000005</v>
      </c>
      <c r="I228">
        <v>50</v>
      </c>
      <c r="J228">
        <v>15.014659882</v>
      </c>
      <c r="K228">
        <v>2400</v>
      </c>
      <c r="L228">
        <v>0</v>
      </c>
      <c r="M228">
        <v>0</v>
      </c>
      <c r="N228">
        <v>473.29446410999998</v>
      </c>
    </row>
    <row r="229" spans="1:14" x14ac:dyDescent="0.25">
      <c r="A229">
        <v>51.473258999999999</v>
      </c>
      <c r="B229" s="1">
        <f>DATE(2010,6,21) + TIME(11,21,29)</f>
        <v>40350.473252314812</v>
      </c>
      <c r="C229">
        <v>7701.2587891000003</v>
      </c>
      <c r="D229">
        <v>6435.7973633000001</v>
      </c>
      <c r="E229">
        <v>785.18109131000006</v>
      </c>
      <c r="F229">
        <v>101.32499695</v>
      </c>
      <c r="G229">
        <v>80</v>
      </c>
      <c r="H229">
        <v>79.893981933999996</v>
      </c>
      <c r="I229">
        <v>50</v>
      </c>
      <c r="J229">
        <v>15.01498127</v>
      </c>
      <c r="K229">
        <v>2400</v>
      </c>
      <c r="L229">
        <v>0</v>
      </c>
      <c r="M229">
        <v>0</v>
      </c>
      <c r="N229">
        <v>473.31130981000001</v>
      </c>
    </row>
    <row r="230" spans="1:14" x14ac:dyDescent="0.25">
      <c r="A230">
        <v>52.225758999999996</v>
      </c>
      <c r="B230" s="1">
        <f>DATE(2010,6,22) + TIME(5,25,5)</f>
        <v>40351.225752314815</v>
      </c>
      <c r="C230">
        <v>7691.9389647999997</v>
      </c>
      <c r="D230">
        <v>6426.5068358999997</v>
      </c>
      <c r="E230">
        <v>785.20147704999999</v>
      </c>
      <c r="F230">
        <v>101.32499695</v>
      </c>
      <c r="G230">
        <v>80</v>
      </c>
      <c r="H230">
        <v>79.894149780000006</v>
      </c>
      <c r="I230">
        <v>50</v>
      </c>
      <c r="J230">
        <v>15.015304564999999</v>
      </c>
      <c r="K230">
        <v>2400</v>
      </c>
      <c r="L230">
        <v>0</v>
      </c>
      <c r="M230">
        <v>0</v>
      </c>
      <c r="N230">
        <v>473.32846068999999</v>
      </c>
    </row>
    <row r="231" spans="1:14" x14ac:dyDescent="0.25">
      <c r="A231">
        <v>52.993133999999998</v>
      </c>
      <c r="B231" s="1">
        <f>DATE(2010,6,22) + TIME(23,50,6)</f>
        <v>40351.993125000001</v>
      </c>
      <c r="C231">
        <v>7682.5820311999996</v>
      </c>
      <c r="D231">
        <v>6417.1791991999999</v>
      </c>
      <c r="E231">
        <v>785.22229003999996</v>
      </c>
      <c r="F231">
        <v>101.32499695</v>
      </c>
      <c r="G231">
        <v>80</v>
      </c>
      <c r="H231">
        <v>79.894317627000007</v>
      </c>
      <c r="I231">
        <v>50</v>
      </c>
      <c r="J231">
        <v>15.015628814999999</v>
      </c>
      <c r="K231">
        <v>2400</v>
      </c>
      <c r="L231">
        <v>0</v>
      </c>
      <c r="M231">
        <v>0</v>
      </c>
      <c r="N231">
        <v>473.34591675000001</v>
      </c>
    </row>
    <row r="232" spans="1:14" x14ac:dyDescent="0.25">
      <c r="A232">
        <v>53.382871000000002</v>
      </c>
      <c r="B232" s="1">
        <f>DATE(2010,6,23) + TIME(9,11,20)</f>
        <v>40352.382870370369</v>
      </c>
      <c r="C232">
        <v>7675.0830077999999</v>
      </c>
      <c r="D232">
        <v>6409.703125</v>
      </c>
      <c r="E232">
        <v>785.24591064000003</v>
      </c>
      <c r="F232">
        <v>101.32499695</v>
      </c>
      <c r="G232">
        <v>80</v>
      </c>
      <c r="H232">
        <v>79.894119262999993</v>
      </c>
      <c r="I232">
        <v>50</v>
      </c>
      <c r="J232">
        <v>15.015804291</v>
      </c>
      <c r="K232">
        <v>2400</v>
      </c>
      <c r="L232">
        <v>0</v>
      </c>
      <c r="M232">
        <v>0</v>
      </c>
      <c r="N232">
        <v>473.36318970000002</v>
      </c>
    </row>
    <row r="233" spans="1:14" x14ac:dyDescent="0.25">
      <c r="A233">
        <v>53.772609000000003</v>
      </c>
      <c r="B233" s="1">
        <f>DATE(2010,6,23) + TIME(18,32,33)</f>
        <v>40352.772604166668</v>
      </c>
      <c r="C233">
        <v>7669.5244141000003</v>
      </c>
      <c r="D233">
        <v>6404.1596680000002</v>
      </c>
      <c r="E233">
        <v>785.27215576000003</v>
      </c>
      <c r="F233">
        <v>101.32499695</v>
      </c>
      <c r="G233">
        <v>80</v>
      </c>
      <c r="H233">
        <v>79.894203185999999</v>
      </c>
      <c r="I233">
        <v>50</v>
      </c>
      <c r="J233">
        <v>15.015978813</v>
      </c>
      <c r="K233">
        <v>2400</v>
      </c>
      <c r="L233">
        <v>0</v>
      </c>
      <c r="M233">
        <v>0</v>
      </c>
      <c r="N233">
        <v>473.38174437999999</v>
      </c>
    </row>
    <row r="234" spans="1:14" x14ac:dyDescent="0.25">
      <c r="A234">
        <v>54.162346999999997</v>
      </c>
      <c r="B234" s="1">
        <f>DATE(2010,6,24) + TIME(3,53,46)</f>
        <v>40353.16233796296</v>
      </c>
      <c r="C234">
        <v>7664.4985352000003</v>
      </c>
      <c r="D234">
        <v>6399.1494141000003</v>
      </c>
      <c r="E234">
        <v>785.29528808999999</v>
      </c>
      <c r="F234">
        <v>101.32499695</v>
      </c>
      <c r="G234">
        <v>80</v>
      </c>
      <c r="H234">
        <v>79.894340514999996</v>
      </c>
      <c r="I234">
        <v>50</v>
      </c>
      <c r="J234">
        <v>15.016150475</v>
      </c>
      <c r="K234">
        <v>2400</v>
      </c>
      <c r="L234">
        <v>0</v>
      </c>
      <c r="M234">
        <v>0</v>
      </c>
      <c r="N234">
        <v>473.39834595000002</v>
      </c>
    </row>
    <row r="235" spans="1:14" x14ac:dyDescent="0.25">
      <c r="A235">
        <v>54.552084999999998</v>
      </c>
      <c r="B235" s="1">
        <f>DATE(2010,6,24) + TIME(13,15,0)</f>
        <v>40353.552083333336</v>
      </c>
      <c r="C235">
        <v>7659.6640625</v>
      </c>
      <c r="D235">
        <v>6394.3300780999998</v>
      </c>
      <c r="E235">
        <v>785.31384276999995</v>
      </c>
      <c r="F235">
        <v>101.32499695</v>
      </c>
      <c r="G235">
        <v>80</v>
      </c>
      <c r="H235">
        <v>79.894470214999998</v>
      </c>
      <c r="I235">
        <v>50</v>
      </c>
      <c r="J235">
        <v>15.016321182</v>
      </c>
      <c r="K235">
        <v>2400</v>
      </c>
      <c r="L235">
        <v>0</v>
      </c>
      <c r="M235">
        <v>0</v>
      </c>
      <c r="N235">
        <v>473.41213988999999</v>
      </c>
    </row>
    <row r="236" spans="1:14" x14ac:dyDescent="0.25">
      <c r="A236">
        <v>54.941822000000002</v>
      </c>
      <c r="B236" s="1">
        <f>DATE(2010,6,24) + TIME(22,36,13)</f>
        <v>40353.941817129627</v>
      </c>
      <c r="C236">
        <v>7654.9282227000003</v>
      </c>
      <c r="D236">
        <v>6389.6088866999999</v>
      </c>
      <c r="E236">
        <v>785.32873534999999</v>
      </c>
      <c r="F236">
        <v>101.32499695</v>
      </c>
      <c r="G236">
        <v>80</v>
      </c>
      <c r="H236">
        <v>79.894599915000001</v>
      </c>
      <c r="I236">
        <v>50</v>
      </c>
      <c r="J236">
        <v>15.016489029000001</v>
      </c>
      <c r="K236">
        <v>2400</v>
      </c>
      <c r="L236">
        <v>0</v>
      </c>
      <c r="M236">
        <v>0</v>
      </c>
      <c r="N236">
        <v>473.42367553999998</v>
      </c>
    </row>
    <row r="237" spans="1:14" x14ac:dyDescent="0.25">
      <c r="A237">
        <v>55.721297999999997</v>
      </c>
      <c r="B237" s="1">
        <f>DATE(2010,6,25) + TIME(17,18,40)</f>
        <v>40354.721296296295</v>
      </c>
      <c r="C237">
        <v>7648.8735352000003</v>
      </c>
      <c r="D237">
        <v>6383.5747069999998</v>
      </c>
      <c r="E237">
        <v>785.32635498000002</v>
      </c>
      <c r="F237">
        <v>101.32499695</v>
      </c>
      <c r="G237">
        <v>80</v>
      </c>
      <c r="H237">
        <v>79.895050049000005</v>
      </c>
      <c r="I237">
        <v>50</v>
      </c>
      <c r="J237">
        <v>15.016796112</v>
      </c>
      <c r="K237">
        <v>2400</v>
      </c>
      <c r="L237">
        <v>0</v>
      </c>
      <c r="M237">
        <v>0</v>
      </c>
      <c r="N237">
        <v>473.42654419000002</v>
      </c>
    </row>
    <row r="238" spans="1:14" x14ac:dyDescent="0.25">
      <c r="A238">
        <v>56.501618000000001</v>
      </c>
      <c r="B238" s="1">
        <f>DATE(2010,6,26) + TIME(12,2,19)</f>
        <v>40355.501608796294</v>
      </c>
      <c r="C238">
        <v>7640.4267577999999</v>
      </c>
      <c r="D238">
        <v>6375.1552733999997</v>
      </c>
      <c r="E238">
        <v>785.32928466999999</v>
      </c>
      <c r="F238">
        <v>101.32499695</v>
      </c>
      <c r="G238">
        <v>80</v>
      </c>
      <c r="H238">
        <v>79.895179748999993</v>
      </c>
      <c r="I238">
        <v>50</v>
      </c>
      <c r="J238">
        <v>15.017102242</v>
      </c>
      <c r="K238">
        <v>2400</v>
      </c>
      <c r="L238">
        <v>0</v>
      </c>
      <c r="M238">
        <v>0</v>
      </c>
      <c r="N238">
        <v>473.43289184999998</v>
      </c>
    </row>
    <row r="239" spans="1:14" x14ac:dyDescent="0.25">
      <c r="A239">
        <v>57.285716000000001</v>
      </c>
      <c r="B239" s="1">
        <f>DATE(2010,6,27) + TIME(6,51,25)</f>
        <v>40356.28570601852</v>
      </c>
      <c r="C239">
        <v>7631.6435547000001</v>
      </c>
      <c r="D239">
        <v>6366.3989258000001</v>
      </c>
      <c r="E239">
        <v>785.34240723000005</v>
      </c>
      <c r="F239">
        <v>101.32499695</v>
      </c>
      <c r="G239">
        <v>80</v>
      </c>
      <c r="H239">
        <v>79.895286560000002</v>
      </c>
      <c r="I239">
        <v>50</v>
      </c>
      <c r="J239">
        <v>15.017406464</v>
      </c>
      <c r="K239">
        <v>2400</v>
      </c>
      <c r="L239">
        <v>0</v>
      </c>
      <c r="M239">
        <v>0</v>
      </c>
      <c r="N239">
        <v>473.44549561000002</v>
      </c>
    </row>
    <row r="240" spans="1:14" x14ac:dyDescent="0.25">
      <c r="A240">
        <v>58.074784000000001</v>
      </c>
      <c r="B240" s="1">
        <f>DATE(2010,6,28) + TIME(1,47,41)</f>
        <v>40357.074780092589</v>
      </c>
      <c r="C240">
        <v>7622.8286133000001</v>
      </c>
      <c r="D240">
        <v>6357.6103516000003</v>
      </c>
      <c r="E240">
        <v>785.36212158000001</v>
      </c>
      <c r="F240">
        <v>101.32499695</v>
      </c>
      <c r="G240">
        <v>80</v>
      </c>
      <c r="H240">
        <v>79.895416260000005</v>
      </c>
      <c r="I240">
        <v>50</v>
      </c>
      <c r="J240">
        <v>15.017710685999999</v>
      </c>
      <c r="K240">
        <v>2400</v>
      </c>
      <c r="L240">
        <v>0</v>
      </c>
      <c r="M240">
        <v>0</v>
      </c>
      <c r="N240">
        <v>473.46206665</v>
      </c>
    </row>
    <row r="241" spans="1:14" x14ac:dyDescent="0.25">
      <c r="A241">
        <v>58.870013999999998</v>
      </c>
      <c r="B241" s="1">
        <f>DATE(2010,6,28) + TIME(20,52,49)</f>
        <v>40357.870011574072</v>
      </c>
      <c r="C241">
        <v>7614.0361327999999</v>
      </c>
      <c r="D241">
        <v>6348.8442383000001</v>
      </c>
      <c r="E241">
        <v>785.38507079999999</v>
      </c>
      <c r="F241">
        <v>101.32499695</v>
      </c>
      <c r="G241">
        <v>80</v>
      </c>
      <c r="H241">
        <v>79.895561217999997</v>
      </c>
      <c r="I241">
        <v>50</v>
      </c>
      <c r="J241">
        <v>15.018013954000001</v>
      </c>
      <c r="K241">
        <v>2400</v>
      </c>
      <c r="L241">
        <v>0</v>
      </c>
      <c r="M241">
        <v>0</v>
      </c>
      <c r="N241">
        <v>473.48065186000002</v>
      </c>
    </row>
    <row r="242" spans="1:14" x14ac:dyDescent="0.25">
      <c r="A242">
        <v>59.672612999999998</v>
      </c>
      <c r="B242" s="1">
        <f>DATE(2010,6,29) + TIME(16,8,33)</f>
        <v>40358.67260416667</v>
      </c>
      <c r="C242">
        <v>7605.2739258000001</v>
      </c>
      <c r="D242">
        <v>6340.1088866999999</v>
      </c>
      <c r="E242">
        <v>785.40960693</v>
      </c>
      <c r="F242">
        <v>101.32499695</v>
      </c>
      <c r="G242">
        <v>80</v>
      </c>
      <c r="H242">
        <v>79.895721436000002</v>
      </c>
      <c r="I242">
        <v>50</v>
      </c>
      <c r="J242">
        <v>15.018317223</v>
      </c>
      <c r="K242">
        <v>2400</v>
      </c>
      <c r="L242">
        <v>0</v>
      </c>
      <c r="M242">
        <v>0</v>
      </c>
      <c r="N242">
        <v>473.50018311000002</v>
      </c>
    </row>
    <row r="243" spans="1:14" x14ac:dyDescent="0.25">
      <c r="A243">
        <v>60.483829</v>
      </c>
      <c r="B243" s="1">
        <f>DATE(2010,6,30) + TIME(11,36,42)</f>
        <v>40359.483819444446</v>
      </c>
      <c r="C243">
        <v>7596.5375977000003</v>
      </c>
      <c r="D243">
        <v>6331.3989258000001</v>
      </c>
      <c r="E243">
        <v>785.43493651999995</v>
      </c>
      <c r="F243">
        <v>101.32499695</v>
      </c>
      <c r="G243">
        <v>80</v>
      </c>
      <c r="H243">
        <v>79.895881653000004</v>
      </c>
      <c r="I243">
        <v>50</v>
      </c>
      <c r="J243">
        <v>15.018619536999999</v>
      </c>
      <c r="K243">
        <v>2400</v>
      </c>
      <c r="L243">
        <v>0</v>
      </c>
      <c r="M243">
        <v>0</v>
      </c>
      <c r="N243">
        <v>473.52020263999998</v>
      </c>
    </row>
    <row r="244" spans="1:14" x14ac:dyDescent="0.25">
      <c r="A244">
        <v>61</v>
      </c>
      <c r="B244" s="1">
        <f>DATE(2010,7,1) + TIME(0,0,0)</f>
        <v>40360</v>
      </c>
      <c r="C244">
        <v>7589.0336914</v>
      </c>
      <c r="D244">
        <v>6323.9184569999998</v>
      </c>
      <c r="E244">
        <v>785.46533203000001</v>
      </c>
      <c r="F244">
        <v>101.32499695</v>
      </c>
      <c r="G244">
        <v>80</v>
      </c>
      <c r="H244">
        <v>79.895797728999995</v>
      </c>
      <c r="I244">
        <v>50</v>
      </c>
      <c r="J244">
        <v>15.018821716</v>
      </c>
      <c r="K244">
        <v>2400</v>
      </c>
      <c r="L244">
        <v>0</v>
      </c>
      <c r="M244">
        <v>0</v>
      </c>
      <c r="N244">
        <v>473.54202271000003</v>
      </c>
    </row>
    <row r="245" spans="1:14" x14ac:dyDescent="0.25">
      <c r="A245">
        <v>61.821364000000003</v>
      </c>
      <c r="B245" s="1">
        <f>DATE(2010,7,1) + TIME(19,42,45)</f>
        <v>40360.82135416667</v>
      </c>
      <c r="C245">
        <v>7581.9194336</v>
      </c>
      <c r="D245">
        <v>6316.8247069999998</v>
      </c>
      <c r="E245">
        <v>785.48809814000003</v>
      </c>
      <c r="F245">
        <v>101.32499695</v>
      </c>
      <c r="G245">
        <v>80</v>
      </c>
      <c r="H245">
        <v>79.896171570000007</v>
      </c>
      <c r="I245">
        <v>50</v>
      </c>
      <c r="J245">
        <v>15.01912117</v>
      </c>
      <c r="K245">
        <v>2400</v>
      </c>
      <c r="L245">
        <v>0</v>
      </c>
      <c r="M245">
        <v>0</v>
      </c>
      <c r="N245">
        <v>473.56021118000001</v>
      </c>
    </row>
    <row r="246" spans="1:14" x14ac:dyDescent="0.25">
      <c r="A246">
        <v>62.662170000000003</v>
      </c>
      <c r="B246" s="1">
        <f>DATE(2010,7,2) + TIME(15,53,31)</f>
        <v>40361.662164351852</v>
      </c>
      <c r="C246">
        <v>7573.5229491999999</v>
      </c>
      <c r="D246">
        <v>6308.4541016000003</v>
      </c>
      <c r="E246">
        <v>785.50750731999995</v>
      </c>
      <c r="F246">
        <v>101.32499695</v>
      </c>
      <c r="G246">
        <v>80</v>
      </c>
      <c r="H246">
        <v>79.896354674999998</v>
      </c>
      <c r="I246">
        <v>50</v>
      </c>
      <c r="J246">
        <v>15.019424438</v>
      </c>
      <c r="K246">
        <v>2400</v>
      </c>
      <c r="L246">
        <v>0</v>
      </c>
      <c r="M246">
        <v>0</v>
      </c>
      <c r="N246">
        <v>473.57666016000002</v>
      </c>
    </row>
    <row r="247" spans="1:14" x14ac:dyDescent="0.25">
      <c r="A247">
        <v>63.516533000000003</v>
      </c>
      <c r="B247" s="1">
        <f>DATE(2010,7,3) + TIME(12,23,48)</f>
        <v>40362.516527777778</v>
      </c>
      <c r="C247">
        <v>7564.8666991999999</v>
      </c>
      <c r="D247">
        <v>6299.8237305000002</v>
      </c>
      <c r="E247">
        <v>785.53015137</v>
      </c>
      <c r="F247">
        <v>101.32499695</v>
      </c>
      <c r="G247">
        <v>80</v>
      </c>
      <c r="H247">
        <v>79.896514893000003</v>
      </c>
      <c r="I247">
        <v>50</v>
      </c>
      <c r="J247">
        <v>15.019727706999999</v>
      </c>
      <c r="K247">
        <v>2400</v>
      </c>
      <c r="L247">
        <v>0</v>
      </c>
      <c r="M247">
        <v>0</v>
      </c>
      <c r="N247">
        <v>473.59512329</v>
      </c>
    </row>
    <row r="248" spans="1:14" x14ac:dyDescent="0.25">
      <c r="A248">
        <v>64.386197999999993</v>
      </c>
      <c r="B248" s="1">
        <f>DATE(2010,7,4) + TIME(9,16,7)</f>
        <v>40363.386192129627</v>
      </c>
      <c r="C248">
        <v>7556.1328125</v>
      </c>
      <c r="D248">
        <v>6291.1162108999997</v>
      </c>
      <c r="E248">
        <v>785.55566406000003</v>
      </c>
      <c r="F248">
        <v>101.32499695</v>
      </c>
      <c r="G248">
        <v>80</v>
      </c>
      <c r="H248">
        <v>79.896675110000004</v>
      </c>
      <c r="I248">
        <v>50</v>
      </c>
      <c r="J248">
        <v>15.020033836</v>
      </c>
      <c r="K248">
        <v>2400</v>
      </c>
      <c r="L248">
        <v>0</v>
      </c>
      <c r="M248">
        <v>0</v>
      </c>
      <c r="N248">
        <v>473.61538696000002</v>
      </c>
    </row>
    <row r="249" spans="1:14" x14ac:dyDescent="0.25">
      <c r="A249">
        <v>65.271293</v>
      </c>
      <c r="B249" s="1">
        <f>DATE(2010,7,5) + TIME(6,30,39)</f>
        <v>40364.271284722221</v>
      </c>
      <c r="C249">
        <v>7547.3486327999999</v>
      </c>
      <c r="D249">
        <v>6282.3579102000003</v>
      </c>
      <c r="E249">
        <v>785.58294678000004</v>
      </c>
      <c r="F249">
        <v>101.32499695</v>
      </c>
      <c r="G249">
        <v>80</v>
      </c>
      <c r="H249">
        <v>79.896842957000004</v>
      </c>
      <c r="I249">
        <v>50</v>
      </c>
      <c r="J249">
        <v>15.020341873</v>
      </c>
      <c r="K249">
        <v>2400</v>
      </c>
      <c r="L249">
        <v>0</v>
      </c>
      <c r="M249">
        <v>0</v>
      </c>
      <c r="N249">
        <v>473.63677978999999</v>
      </c>
    </row>
    <row r="250" spans="1:14" x14ac:dyDescent="0.25">
      <c r="A250">
        <v>66.173137999999994</v>
      </c>
      <c r="B250" s="1">
        <f>DATE(2010,7,6) + TIME(4,9,19)</f>
        <v>40365.173136574071</v>
      </c>
      <c r="C250">
        <v>7538.5185547000001</v>
      </c>
      <c r="D250">
        <v>6273.5541991999999</v>
      </c>
      <c r="E250">
        <v>785.61145020000004</v>
      </c>
      <c r="F250">
        <v>101.32499695</v>
      </c>
      <c r="G250">
        <v>80</v>
      </c>
      <c r="H250">
        <v>79.897018433</v>
      </c>
      <c r="I250">
        <v>50</v>
      </c>
      <c r="J250">
        <v>15.020651816999999</v>
      </c>
      <c r="K250">
        <v>2400</v>
      </c>
      <c r="L250">
        <v>0</v>
      </c>
      <c r="M250">
        <v>0</v>
      </c>
      <c r="N250">
        <v>473.65893555000002</v>
      </c>
    </row>
    <row r="251" spans="1:14" x14ac:dyDescent="0.25">
      <c r="A251">
        <v>66.628585000000001</v>
      </c>
      <c r="B251" s="1">
        <f>DATE(2010,7,6) + TIME(15,5,9)</f>
        <v>40365.628576388888</v>
      </c>
      <c r="C251">
        <v>7531.4907227000003</v>
      </c>
      <c r="D251">
        <v>6266.5463866999999</v>
      </c>
      <c r="E251">
        <v>785.64544678000004</v>
      </c>
      <c r="F251">
        <v>101.32499695</v>
      </c>
      <c r="G251">
        <v>80</v>
      </c>
      <c r="H251">
        <v>79.896865844999994</v>
      </c>
      <c r="I251">
        <v>50</v>
      </c>
      <c r="J251">
        <v>15.020821571000001</v>
      </c>
      <c r="K251">
        <v>2400</v>
      </c>
      <c r="L251">
        <v>0</v>
      </c>
      <c r="M251">
        <v>0</v>
      </c>
      <c r="N251">
        <v>473.68264771000003</v>
      </c>
    </row>
    <row r="252" spans="1:14" x14ac:dyDescent="0.25">
      <c r="A252">
        <v>67.084030999999996</v>
      </c>
      <c r="B252" s="1">
        <f>DATE(2010,7,7) + TIME(2,1,0)</f>
        <v>40366.084027777775</v>
      </c>
      <c r="C252">
        <v>7526.2485352000003</v>
      </c>
      <c r="D252">
        <v>6261.3183594000002</v>
      </c>
      <c r="E252">
        <v>785.68054199000005</v>
      </c>
      <c r="F252">
        <v>101.32499695</v>
      </c>
      <c r="G252">
        <v>80</v>
      </c>
      <c r="H252">
        <v>79.896957396999994</v>
      </c>
      <c r="I252">
        <v>50</v>
      </c>
      <c r="J252">
        <v>15.020989417999999</v>
      </c>
      <c r="K252">
        <v>2400</v>
      </c>
      <c r="L252">
        <v>0</v>
      </c>
      <c r="M252">
        <v>0</v>
      </c>
      <c r="N252">
        <v>473.70660400000003</v>
      </c>
    </row>
    <row r="253" spans="1:14" x14ac:dyDescent="0.25">
      <c r="A253">
        <v>67.539478000000003</v>
      </c>
      <c r="B253" s="1">
        <f>DATE(2010,7,7) + TIME(12,56,50)</f>
        <v>40366.539467592593</v>
      </c>
      <c r="C253">
        <v>7521.5122069999998</v>
      </c>
      <c r="D253">
        <v>6256.5957030999998</v>
      </c>
      <c r="E253">
        <v>785.70922852000001</v>
      </c>
      <c r="F253">
        <v>101.32499695</v>
      </c>
      <c r="G253">
        <v>80</v>
      </c>
      <c r="H253">
        <v>79.897094726999995</v>
      </c>
      <c r="I253">
        <v>50</v>
      </c>
      <c r="J253">
        <v>15.021154404000001</v>
      </c>
      <c r="K253">
        <v>2400</v>
      </c>
      <c r="L253">
        <v>0</v>
      </c>
      <c r="M253">
        <v>0</v>
      </c>
      <c r="N253">
        <v>473.72665404999998</v>
      </c>
    </row>
    <row r="254" spans="1:14" x14ac:dyDescent="0.25">
      <c r="A254">
        <v>67.994924999999995</v>
      </c>
      <c r="B254" s="1">
        <f>DATE(2010,7,7) + TIME(23,52,41)</f>
        <v>40366.99491898148</v>
      </c>
      <c r="C254">
        <v>7516.9570311999996</v>
      </c>
      <c r="D254">
        <v>6252.0537108999997</v>
      </c>
      <c r="E254">
        <v>785.73138428000004</v>
      </c>
      <c r="F254">
        <v>101.32499695</v>
      </c>
      <c r="G254">
        <v>80</v>
      </c>
      <c r="H254">
        <v>79.897232056000007</v>
      </c>
      <c r="I254">
        <v>50</v>
      </c>
      <c r="J254">
        <v>15.021318436</v>
      </c>
      <c r="K254">
        <v>2400</v>
      </c>
      <c r="L254">
        <v>0</v>
      </c>
      <c r="M254">
        <v>0</v>
      </c>
      <c r="N254">
        <v>473.74267578000001</v>
      </c>
    </row>
    <row r="255" spans="1:14" x14ac:dyDescent="0.25">
      <c r="A255">
        <v>68.905817999999996</v>
      </c>
      <c r="B255" s="1">
        <f>DATE(2010,7,8) + TIME(21,44,22)</f>
        <v>40367.905810185184</v>
      </c>
      <c r="C255">
        <v>7511.1362305000002</v>
      </c>
      <c r="D255">
        <v>6246.2514647999997</v>
      </c>
      <c r="E255">
        <v>785.72937012</v>
      </c>
      <c r="F255">
        <v>101.32499695</v>
      </c>
      <c r="G255">
        <v>80</v>
      </c>
      <c r="H255">
        <v>79.897674561000002</v>
      </c>
      <c r="I255">
        <v>50</v>
      </c>
      <c r="J255">
        <v>15.021613121</v>
      </c>
      <c r="K255">
        <v>2400</v>
      </c>
      <c r="L255">
        <v>0</v>
      </c>
      <c r="M255">
        <v>0</v>
      </c>
      <c r="N255">
        <v>473.74572754000002</v>
      </c>
    </row>
    <row r="256" spans="1:14" x14ac:dyDescent="0.25">
      <c r="A256">
        <v>69.816890000000001</v>
      </c>
      <c r="B256" s="1">
        <f>DATE(2010,7,9) + TIME(19,36,19)</f>
        <v>40368.816886574074</v>
      </c>
      <c r="C256">
        <v>7503.1142577999999</v>
      </c>
      <c r="D256">
        <v>6238.2534180000002</v>
      </c>
      <c r="E256">
        <v>785.73773193</v>
      </c>
      <c r="F256">
        <v>101.32499695</v>
      </c>
      <c r="G256">
        <v>80</v>
      </c>
      <c r="H256">
        <v>79.897819518999995</v>
      </c>
      <c r="I256">
        <v>50</v>
      </c>
      <c r="J256">
        <v>15.021905899</v>
      </c>
      <c r="K256">
        <v>2400</v>
      </c>
      <c r="L256">
        <v>0</v>
      </c>
      <c r="M256">
        <v>0</v>
      </c>
      <c r="N256">
        <v>473.75546265000003</v>
      </c>
    </row>
    <row r="257" spans="1:14" x14ac:dyDescent="0.25">
      <c r="A257">
        <v>70.731911999999994</v>
      </c>
      <c r="B257" s="1">
        <f>DATE(2010,7,10) + TIME(17,33,57)</f>
        <v>40369.731909722221</v>
      </c>
      <c r="C257">
        <v>7494.7792969000002</v>
      </c>
      <c r="D257">
        <v>6229.9428711</v>
      </c>
      <c r="E257">
        <v>785.75933838000003</v>
      </c>
      <c r="F257">
        <v>101.32499695</v>
      </c>
      <c r="G257">
        <v>80</v>
      </c>
      <c r="H257">
        <v>79.897949218999997</v>
      </c>
      <c r="I257">
        <v>50</v>
      </c>
      <c r="J257">
        <v>15.022198677</v>
      </c>
      <c r="K257">
        <v>2400</v>
      </c>
      <c r="L257">
        <v>0</v>
      </c>
      <c r="M257">
        <v>0</v>
      </c>
      <c r="N257">
        <v>473.77331543000003</v>
      </c>
    </row>
    <row r="258" spans="1:14" x14ac:dyDescent="0.25">
      <c r="A258">
        <v>71.652323999999993</v>
      </c>
      <c r="B258" s="1">
        <f>DATE(2010,7,11) + TIME(15,39,20)</f>
        <v>40370.652314814812</v>
      </c>
      <c r="C258">
        <v>7486.4150391000003</v>
      </c>
      <c r="D258">
        <v>6221.6020508000001</v>
      </c>
      <c r="E258">
        <v>785.78808593999997</v>
      </c>
      <c r="F258">
        <v>101.32499695</v>
      </c>
      <c r="G258">
        <v>80</v>
      </c>
      <c r="H258">
        <v>79.898101807000003</v>
      </c>
      <c r="I258">
        <v>50</v>
      </c>
      <c r="J258">
        <v>15.022492409</v>
      </c>
      <c r="K258">
        <v>2400</v>
      </c>
      <c r="L258">
        <v>0</v>
      </c>
      <c r="M258">
        <v>0</v>
      </c>
      <c r="N258">
        <v>473.79547119</v>
      </c>
    </row>
    <row r="259" spans="1:14" x14ac:dyDescent="0.25">
      <c r="A259">
        <v>72.579513000000006</v>
      </c>
      <c r="B259" s="1">
        <f>DATE(2010,7,12) + TIME(13,54,29)</f>
        <v>40371.579502314817</v>
      </c>
      <c r="C259">
        <v>7478.0717772999997</v>
      </c>
      <c r="D259">
        <v>6213.2822266000003</v>
      </c>
      <c r="E259">
        <v>785.81994628999996</v>
      </c>
      <c r="F259">
        <v>101.32499695</v>
      </c>
      <c r="G259">
        <v>80</v>
      </c>
      <c r="H259">
        <v>79.898262024000005</v>
      </c>
      <c r="I259">
        <v>50</v>
      </c>
      <c r="J259">
        <v>15.022785187</v>
      </c>
      <c r="K259">
        <v>2400</v>
      </c>
      <c r="L259">
        <v>0</v>
      </c>
      <c r="M259">
        <v>0</v>
      </c>
      <c r="N259">
        <v>473.81958007999998</v>
      </c>
    </row>
    <row r="260" spans="1:14" x14ac:dyDescent="0.25">
      <c r="A260">
        <v>73.514903000000004</v>
      </c>
      <c r="B260" s="1">
        <f>DATE(2010,7,13) + TIME(12,21,27)</f>
        <v>40372.51489583333</v>
      </c>
      <c r="C260">
        <v>7469.7558594000002</v>
      </c>
      <c r="D260">
        <v>6204.9902344000002</v>
      </c>
      <c r="E260">
        <v>785.85314941000001</v>
      </c>
      <c r="F260">
        <v>101.32499695</v>
      </c>
      <c r="G260">
        <v>80</v>
      </c>
      <c r="H260">
        <v>79.898429871000005</v>
      </c>
      <c r="I260">
        <v>50</v>
      </c>
      <c r="J260">
        <v>15.023077011</v>
      </c>
      <c r="K260">
        <v>2400</v>
      </c>
      <c r="L260">
        <v>0</v>
      </c>
      <c r="M260">
        <v>0</v>
      </c>
      <c r="N260">
        <v>473.84451294000002</v>
      </c>
    </row>
    <row r="261" spans="1:14" x14ac:dyDescent="0.25">
      <c r="A261">
        <v>74.459958999999998</v>
      </c>
      <c r="B261" s="1">
        <f>DATE(2010,7,14) + TIME(11,2,20)</f>
        <v>40373.459953703707</v>
      </c>
      <c r="C261">
        <v>7461.4624022999997</v>
      </c>
      <c r="D261">
        <v>6196.7202147999997</v>
      </c>
      <c r="E261">
        <v>785.88702393000005</v>
      </c>
      <c r="F261">
        <v>101.32499695</v>
      </c>
      <c r="G261">
        <v>80</v>
      </c>
      <c r="H261">
        <v>79.898605347</v>
      </c>
      <c r="I261">
        <v>50</v>
      </c>
      <c r="J261">
        <v>15.023369789</v>
      </c>
      <c r="K261">
        <v>2400</v>
      </c>
      <c r="L261">
        <v>0</v>
      </c>
      <c r="M261">
        <v>0</v>
      </c>
      <c r="N261">
        <v>473.86987305000002</v>
      </c>
    </row>
    <row r="262" spans="1:14" x14ac:dyDescent="0.25">
      <c r="A262">
        <v>75.416515000000004</v>
      </c>
      <c r="B262" s="1">
        <f>DATE(2010,7,15) + TIME(9,59,46)</f>
        <v>40374.416504629633</v>
      </c>
      <c r="C262">
        <v>7453.1816405999998</v>
      </c>
      <c r="D262">
        <v>6188.4624022999997</v>
      </c>
      <c r="E262">
        <v>785.92132568</v>
      </c>
      <c r="F262">
        <v>101.32499695</v>
      </c>
      <c r="G262">
        <v>80</v>
      </c>
      <c r="H262">
        <v>79.898780822999996</v>
      </c>
      <c r="I262">
        <v>50</v>
      </c>
      <c r="J262">
        <v>15.023663521</v>
      </c>
      <c r="K262">
        <v>2400</v>
      </c>
      <c r="L262">
        <v>0</v>
      </c>
      <c r="M262">
        <v>0</v>
      </c>
      <c r="N262">
        <v>473.89553833000002</v>
      </c>
    </row>
    <row r="263" spans="1:14" x14ac:dyDescent="0.25">
      <c r="A263">
        <v>76.386007000000006</v>
      </c>
      <c r="B263" s="1">
        <f>DATE(2010,7,16) + TIME(9,15,51)</f>
        <v>40375.386006944442</v>
      </c>
      <c r="C263">
        <v>7444.9013672000001</v>
      </c>
      <c r="D263">
        <v>6180.2055664</v>
      </c>
      <c r="E263">
        <v>785.95605468999997</v>
      </c>
      <c r="F263">
        <v>101.32499695</v>
      </c>
      <c r="G263">
        <v>80</v>
      </c>
      <c r="H263">
        <v>79.898963928000001</v>
      </c>
      <c r="I263">
        <v>50</v>
      </c>
      <c r="J263">
        <v>15.023958206</v>
      </c>
      <c r="K263">
        <v>2400</v>
      </c>
      <c r="L263">
        <v>0</v>
      </c>
      <c r="M263">
        <v>0</v>
      </c>
      <c r="N263">
        <v>473.92147827000002</v>
      </c>
    </row>
    <row r="264" spans="1:14" x14ac:dyDescent="0.25">
      <c r="A264">
        <v>77.370013999999998</v>
      </c>
      <c r="B264" s="1">
        <f>DATE(2010,7,17) + TIME(8,52,49)</f>
        <v>40376.370011574072</v>
      </c>
      <c r="C264">
        <v>7436.6108397999997</v>
      </c>
      <c r="D264">
        <v>6171.9384766000003</v>
      </c>
      <c r="E264">
        <v>785.99127196999996</v>
      </c>
      <c r="F264">
        <v>101.32499695</v>
      </c>
      <c r="G264">
        <v>80</v>
      </c>
      <c r="H264">
        <v>79.899147033999995</v>
      </c>
      <c r="I264">
        <v>50</v>
      </c>
      <c r="J264">
        <v>15.024252892</v>
      </c>
      <c r="K264">
        <v>2400</v>
      </c>
      <c r="L264">
        <v>0</v>
      </c>
      <c r="M264">
        <v>0</v>
      </c>
      <c r="N264">
        <v>473.94772339000002</v>
      </c>
    </row>
    <row r="265" spans="1:14" x14ac:dyDescent="0.25">
      <c r="A265">
        <v>78.370339000000001</v>
      </c>
      <c r="B265" s="1">
        <f>DATE(2010,7,18) + TIME(8,53,17)</f>
        <v>40377.370335648149</v>
      </c>
      <c r="C265">
        <v>7428.2993164</v>
      </c>
      <c r="D265">
        <v>6163.6499022999997</v>
      </c>
      <c r="E265">
        <v>786.02697753999996</v>
      </c>
      <c r="F265">
        <v>101.32499695</v>
      </c>
      <c r="G265">
        <v>80</v>
      </c>
      <c r="H265">
        <v>79.899330139</v>
      </c>
      <c r="I265">
        <v>50</v>
      </c>
      <c r="J265">
        <v>15.024550438</v>
      </c>
      <c r="K265">
        <v>2400</v>
      </c>
      <c r="L265">
        <v>0</v>
      </c>
      <c r="M265">
        <v>0</v>
      </c>
      <c r="N265">
        <v>473.97436522999999</v>
      </c>
    </row>
    <row r="266" spans="1:14" x14ac:dyDescent="0.25">
      <c r="A266">
        <v>79.387621999999993</v>
      </c>
      <c r="B266" s="1">
        <f>DATE(2010,7,19) + TIME(9,18,10)</f>
        <v>40378.387615740743</v>
      </c>
      <c r="C266">
        <v>7419.9580077999999</v>
      </c>
      <c r="D266">
        <v>6155.3310547000001</v>
      </c>
      <c r="E266">
        <v>786.06335449000005</v>
      </c>
      <c r="F266">
        <v>101.32499695</v>
      </c>
      <c r="G266">
        <v>80</v>
      </c>
      <c r="H266">
        <v>79.899520874000004</v>
      </c>
      <c r="I266">
        <v>50</v>
      </c>
      <c r="J266">
        <v>15.024848938</v>
      </c>
      <c r="K266">
        <v>2400</v>
      </c>
      <c r="L266">
        <v>0</v>
      </c>
      <c r="M266">
        <v>0</v>
      </c>
      <c r="N266">
        <v>474.00143433</v>
      </c>
    </row>
    <row r="267" spans="1:14" x14ac:dyDescent="0.25">
      <c r="A267">
        <v>80.422391000000005</v>
      </c>
      <c r="B267" s="1">
        <f>DATE(2010,7,20) + TIME(10,8,14)</f>
        <v>40379.422384259262</v>
      </c>
      <c r="C267">
        <v>7411.5825194999998</v>
      </c>
      <c r="D267">
        <v>6146.9785155999998</v>
      </c>
      <c r="E267">
        <v>786.10058593999997</v>
      </c>
      <c r="F267">
        <v>101.32499695</v>
      </c>
      <c r="G267">
        <v>80</v>
      </c>
      <c r="H267">
        <v>79.899711608999993</v>
      </c>
      <c r="I267">
        <v>50</v>
      </c>
      <c r="J267">
        <v>15.025149345000001</v>
      </c>
      <c r="K267">
        <v>2400</v>
      </c>
      <c r="L267">
        <v>0</v>
      </c>
      <c r="M267">
        <v>0</v>
      </c>
      <c r="N267">
        <v>474.02911376999998</v>
      </c>
    </row>
    <row r="268" spans="1:14" x14ac:dyDescent="0.25">
      <c r="A268">
        <v>80.946595000000002</v>
      </c>
      <c r="B268" s="1">
        <f>DATE(2010,7,20) + TIME(22,43,5)</f>
        <v>40379.946585648147</v>
      </c>
      <c r="C268">
        <v>7404.9506836</v>
      </c>
      <c r="D268">
        <v>6140.3647461</v>
      </c>
      <c r="E268">
        <v>786.14678954999999</v>
      </c>
      <c r="F268">
        <v>101.32499695</v>
      </c>
      <c r="G268">
        <v>80</v>
      </c>
      <c r="H268">
        <v>79.899589539000004</v>
      </c>
      <c r="I268">
        <v>50</v>
      </c>
      <c r="J268">
        <v>15.025316238</v>
      </c>
      <c r="K268">
        <v>2400</v>
      </c>
      <c r="L268">
        <v>0</v>
      </c>
      <c r="M268">
        <v>0</v>
      </c>
      <c r="N268">
        <v>474.06042480000002</v>
      </c>
    </row>
    <row r="269" spans="1:14" x14ac:dyDescent="0.25">
      <c r="A269">
        <v>81.470799</v>
      </c>
      <c r="B269" s="1">
        <f>DATE(2010,7,21) + TIME(11,17,57)</f>
        <v>40380.47079861111</v>
      </c>
      <c r="C269">
        <v>7399.9624022999997</v>
      </c>
      <c r="D269">
        <v>6135.3881836</v>
      </c>
      <c r="E269">
        <v>786.19067383000004</v>
      </c>
      <c r="F269">
        <v>101.32499695</v>
      </c>
      <c r="G269">
        <v>80</v>
      </c>
      <c r="H269">
        <v>79.899696349999999</v>
      </c>
      <c r="I269">
        <v>50</v>
      </c>
      <c r="J269">
        <v>15.025482178000001</v>
      </c>
      <c r="K269">
        <v>2400</v>
      </c>
      <c r="L269">
        <v>0</v>
      </c>
      <c r="M269">
        <v>0</v>
      </c>
      <c r="N269">
        <v>474.08990478999999</v>
      </c>
    </row>
    <row r="270" spans="1:14" x14ac:dyDescent="0.25">
      <c r="A270">
        <v>81.995002999999997</v>
      </c>
      <c r="B270" s="1">
        <f>DATE(2010,7,21) + TIME(23,52,48)</f>
        <v>40380.995000000003</v>
      </c>
      <c r="C270">
        <v>7395.4511719000002</v>
      </c>
      <c r="D270">
        <v>6130.8896483999997</v>
      </c>
      <c r="E270">
        <v>786.22430420000001</v>
      </c>
      <c r="F270">
        <v>101.32499695</v>
      </c>
      <c r="G270">
        <v>80</v>
      </c>
      <c r="H270">
        <v>79.899841308999996</v>
      </c>
      <c r="I270">
        <v>50</v>
      </c>
      <c r="J270">
        <v>15.025644302</v>
      </c>
      <c r="K270">
        <v>2400</v>
      </c>
      <c r="L270">
        <v>0</v>
      </c>
      <c r="M270">
        <v>0</v>
      </c>
      <c r="N270">
        <v>474.11306762999999</v>
      </c>
    </row>
    <row r="271" spans="1:14" x14ac:dyDescent="0.25">
      <c r="A271">
        <v>82.519205999999997</v>
      </c>
      <c r="B271" s="1">
        <f>DATE(2010,7,22) + TIME(12,27,39)</f>
        <v>40381.519201388888</v>
      </c>
      <c r="C271">
        <v>7391.1118164</v>
      </c>
      <c r="D271">
        <v>6126.5620116999999</v>
      </c>
      <c r="E271">
        <v>786.24957274999997</v>
      </c>
      <c r="F271">
        <v>101.32499695</v>
      </c>
      <c r="G271">
        <v>80</v>
      </c>
      <c r="H271">
        <v>79.899978637999993</v>
      </c>
      <c r="I271">
        <v>50</v>
      </c>
      <c r="J271">
        <v>15.025804519999999</v>
      </c>
      <c r="K271">
        <v>2400</v>
      </c>
      <c r="L271">
        <v>0</v>
      </c>
      <c r="M271">
        <v>0</v>
      </c>
      <c r="N271">
        <v>474.13113403</v>
      </c>
    </row>
    <row r="272" spans="1:14" x14ac:dyDescent="0.25">
      <c r="A272">
        <v>83.043409999999994</v>
      </c>
      <c r="B272" s="1">
        <f>DATE(2010,7,23) + TIME(1,2,30)</f>
        <v>40382.043402777781</v>
      </c>
      <c r="C272">
        <v>7386.8603516000003</v>
      </c>
      <c r="D272">
        <v>6122.3217772999997</v>
      </c>
      <c r="E272">
        <v>786.27001953000001</v>
      </c>
      <c r="F272">
        <v>101.32499695</v>
      </c>
      <c r="G272">
        <v>80</v>
      </c>
      <c r="H272">
        <v>79.900100707999997</v>
      </c>
      <c r="I272">
        <v>50</v>
      </c>
      <c r="J272">
        <v>15.025962829999999</v>
      </c>
      <c r="K272">
        <v>2400</v>
      </c>
      <c r="L272">
        <v>0</v>
      </c>
      <c r="M272">
        <v>0</v>
      </c>
      <c r="N272">
        <v>474.14620972</v>
      </c>
    </row>
    <row r="273" spans="1:14" x14ac:dyDescent="0.25">
      <c r="A273">
        <v>84.091817000000006</v>
      </c>
      <c r="B273" s="1">
        <f>DATE(2010,7,24) + TIME(2,12,13)</f>
        <v>40383.091817129629</v>
      </c>
      <c r="C273">
        <v>7381.3613280999998</v>
      </c>
      <c r="D273">
        <v>6116.8383789</v>
      </c>
      <c r="E273">
        <v>786.26062012</v>
      </c>
      <c r="F273">
        <v>101.32499695</v>
      </c>
      <c r="G273">
        <v>80</v>
      </c>
      <c r="H273">
        <v>79.900505065999994</v>
      </c>
      <c r="I273">
        <v>50</v>
      </c>
      <c r="J273">
        <v>15.026244164</v>
      </c>
      <c r="K273">
        <v>2400</v>
      </c>
      <c r="L273">
        <v>0</v>
      </c>
      <c r="M273">
        <v>0</v>
      </c>
      <c r="N273">
        <v>474.14477539000001</v>
      </c>
    </row>
    <row r="274" spans="1:14" x14ac:dyDescent="0.25">
      <c r="A274">
        <v>85.140867</v>
      </c>
      <c r="B274" s="1">
        <f>DATE(2010,7,25) + TIME(3,22,50)</f>
        <v>40384.140856481485</v>
      </c>
      <c r="C274">
        <v>7373.796875</v>
      </c>
      <c r="D274">
        <v>6109.2949219000002</v>
      </c>
      <c r="E274">
        <v>786.27386475000003</v>
      </c>
      <c r="F274">
        <v>101.32499695</v>
      </c>
      <c r="G274">
        <v>80</v>
      </c>
      <c r="H274">
        <v>79.900650024000001</v>
      </c>
      <c r="I274">
        <v>50</v>
      </c>
      <c r="J274">
        <v>15.026526451000001</v>
      </c>
      <c r="K274">
        <v>2400</v>
      </c>
      <c r="L274">
        <v>0</v>
      </c>
      <c r="M274">
        <v>0</v>
      </c>
      <c r="N274">
        <v>474.15765381</v>
      </c>
    </row>
    <row r="275" spans="1:14" x14ac:dyDescent="0.25">
      <c r="A275">
        <v>86.195284999999998</v>
      </c>
      <c r="B275" s="1">
        <f>DATE(2010,7,26) + TIME(4,41,12)</f>
        <v>40385.195277777777</v>
      </c>
      <c r="C275">
        <v>7365.9169922000001</v>
      </c>
      <c r="D275">
        <v>6101.4355469000002</v>
      </c>
      <c r="E275">
        <v>786.30548095999995</v>
      </c>
      <c r="F275">
        <v>101.32499695</v>
      </c>
      <c r="G275">
        <v>80</v>
      </c>
      <c r="H275">
        <v>79.900794982999997</v>
      </c>
      <c r="I275">
        <v>50</v>
      </c>
      <c r="J275">
        <v>15.026809692</v>
      </c>
      <c r="K275">
        <v>2400</v>
      </c>
      <c r="L275">
        <v>0</v>
      </c>
      <c r="M275">
        <v>0</v>
      </c>
      <c r="N275">
        <v>474.18179321000002</v>
      </c>
    </row>
    <row r="276" spans="1:14" x14ac:dyDescent="0.25">
      <c r="A276">
        <v>87.256732999999997</v>
      </c>
      <c r="B276" s="1">
        <f>DATE(2010,7,27) + TIME(6,9,41)</f>
        <v>40386.256724537037</v>
      </c>
      <c r="C276">
        <v>7357.9931641000003</v>
      </c>
      <c r="D276">
        <v>6093.5322266000003</v>
      </c>
      <c r="E276">
        <v>786.34539795000001</v>
      </c>
      <c r="F276">
        <v>101.32499695</v>
      </c>
      <c r="G276">
        <v>80</v>
      </c>
      <c r="H276">
        <v>79.900955199999999</v>
      </c>
      <c r="I276">
        <v>50</v>
      </c>
      <c r="J276">
        <v>15.027093886999999</v>
      </c>
      <c r="K276">
        <v>2400</v>
      </c>
      <c r="L276">
        <v>0</v>
      </c>
      <c r="M276">
        <v>0</v>
      </c>
      <c r="N276">
        <v>474.21099853999999</v>
      </c>
    </row>
    <row r="277" spans="1:14" x14ac:dyDescent="0.25">
      <c r="A277">
        <v>88.326815999999994</v>
      </c>
      <c r="B277" s="1">
        <f>DATE(2010,7,28) + TIME(7,50,36)</f>
        <v>40387.326805555553</v>
      </c>
      <c r="C277">
        <v>7350.0751952999999</v>
      </c>
      <c r="D277">
        <v>6085.6347655999998</v>
      </c>
      <c r="E277">
        <v>786.38848876999998</v>
      </c>
      <c r="F277">
        <v>101.32499695</v>
      </c>
      <c r="G277">
        <v>80</v>
      </c>
      <c r="H277">
        <v>79.901130675999994</v>
      </c>
      <c r="I277">
        <v>50</v>
      </c>
      <c r="J277">
        <v>15.027378082</v>
      </c>
      <c r="K277">
        <v>2400</v>
      </c>
      <c r="L277">
        <v>0</v>
      </c>
      <c r="M277">
        <v>0</v>
      </c>
      <c r="N277">
        <v>474.24215698</v>
      </c>
    </row>
    <row r="278" spans="1:14" x14ac:dyDescent="0.25">
      <c r="A278">
        <v>89.407194000000004</v>
      </c>
      <c r="B278" s="1">
        <f>DATE(2010,7,29) + TIME(9,46,21)</f>
        <v>40388.407187500001</v>
      </c>
      <c r="C278">
        <v>7342.1704102000003</v>
      </c>
      <c r="D278">
        <v>6077.75</v>
      </c>
      <c r="E278">
        <v>786.43292236000002</v>
      </c>
      <c r="F278">
        <v>101.32499695</v>
      </c>
      <c r="G278">
        <v>80</v>
      </c>
      <c r="H278">
        <v>79.901313782000003</v>
      </c>
      <c r="I278">
        <v>50</v>
      </c>
      <c r="J278">
        <v>15.027664185000001</v>
      </c>
      <c r="K278">
        <v>2400</v>
      </c>
      <c r="L278">
        <v>0</v>
      </c>
      <c r="M278">
        <v>0</v>
      </c>
      <c r="N278">
        <v>474.27416992000002</v>
      </c>
    </row>
    <row r="279" spans="1:14" x14ac:dyDescent="0.25">
      <c r="A279">
        <v>90.499806000000007</v>
      </c>
      <c r="B279" s="1">
        <f>DATE(2010,7,30) + TIME(11,59,43)</f>
        <v>40389.499803240738</v>
      </c>
      <c r="C279">
        <v>7334.2734375</v>
      </c>
      <c r="D279">
        <v>6069.8735352000003</v>
      </c>
      <c r="E279">
        <v>786.47796631000006</v>
      </c>
      <c r="F279">
        <v>101.32499695</v>
      </c>
      <c r="G279">
        <v>80</v>
      </c>
      <c r="H279">
        <v>79.901504517000006</v>
      </c>
      <c r="I279">
        <v>50</v>
      </c>
      <c r="J279">
        <v>15.027950286999999</v>
      </c>
      <c r="K279">
        <v>2400</v>
      </c>
      <c r="L279">
        <v>0</v>
      </c>
      <c r="M279">
        <v>0</v>
      </c>
      <c r="N279">
        <v>474.30661011000001</v>
      </c>
    </row>
    <row r="280" spans="1:14" x14ac:dyDescent="0.25">
      <c r="A280">
        <v>91.606532000000001</v>
      </c>
      <c r="B280" s="1">
        <f>DATE(2010,7,31) + TIME(14,33,24)</f>
        <v>40390.606527777774</v>
      </c>
      <c r="C280">
        <v>7326.3759766000003</v>
      </c>
      <c r="D280">
        <v>6061.9956055000002</v>
      </c>
      <c r="E280">
        <v>786.5234375</v>
      </c>
      <c r="F280">
        <v>101.32499695</v>
      </c>
      <c r="G280">
        <v>80</v>
      </c>
      <c r="H280">
        <v>79.901695251000007</v>
      </c>
      <c r="I280">
        <v>50</v>
      </c>
      <c r="J280">
        <v>15.028238297</v>
      </c>
      <c r="K280">
        <v>2400</v>
      </c>
      <c r="L280">
        <v>0</v>
      </c>
      <c r="M280">
        <v>0</v>
      </c>
      <c r="N280">
        <v>474.33935546999999</v>
      </c>
    </row>
    <row r="281" spans="1:14" x14ac:dyDescent="0.25">
      <c r="A281">
        <v>92</v>
      </c>
      <c r="B281" s="1">
        <f>DATE(2010,8,1) + TIME(0,0,0)</f>
        <v>40391</v>
      </c>
      <c r="C281">
        <v>7321.0454102000003</v>
      </c>
      <c r="D281">
        <v>6056.6796875</v>
      </c>
      <c r="E281">
        <v>786.56976318</v>
      </c>
      <c r="F281">
        <v>101.32499695</v>
      </c>
      <c r="G281">
        <v>80</v>
      </c>
      <c r="H281">
        <v>79.901512146000002</v>
      </c>
      <c r="I281">
        <v>50</v>
      </c>
      <c r="J281">
        <v>15.028355597999999</v>
      </c>
      <c r="K281">
        <v>2400</v>
      </c>
      <c r="L281">
        <v>0</v>
      </c>
      <c r="M281">
        <v>0</v>
      </c>
      <c r="N281">
        <v>474.37023926000001</v>
      </c>
    </row>
    <row r="282" spans="1:14" x14ac:dyDescent="0.25">
      <c r="A282">
        <v>93.122474999999994</v>
      </c>
      <c r="B282" s="1">
        <f>DATE(2010,8,2) + TIME(2,56,21)</f>
        <v>40392.122465277775</v>
      </c>
      <c r="C282">
        <v>7315.1567383000001</v>
      </c>
      <c r="D282">
        <v>6050.8037108999997</v>
      </c>
      <c r="E282">
        <v>786.60430908000001</v>
      </c>
      <c r="F282">
        <v>101.32499695</v>
      </c>
      <c r="G282">
        <v>80</v>
      </c>
      <c r="H282">
        <v>79.901969910000005</v>
      </c>
      <c r="I282">
        <v>50</v>
      </c>
      <c r="J282">
        <v>15.028641701</v>
      </c>
      <c r="K282">
        <v>2400</v>
      </c>
      <c r="L282">
        <v>0</v>
      </c>
      <c r="M282">
        <v>0</v>
      </c>
      <c r="N282">
        <v>474.39575194999998</v>
      </c>
    </row>
    <row r="283" spans="1:14" x14ac:dyDescent="0.25">
      <c r="A283">
        <v>94.269728000000001</v>
      </c>
      <c r="B283" s="1">
        <f>DATE(2010,8,3) + TIME(6,28,24)</f>
        <v>40393.26972222222</v>
      </c>
      <c r="C283">
        <v>7307.6035155999998</v>
      </c>
      <c r="D283">
        <v>6043.2705077999999</v>
      </c>
      <c r="E283">
        <v>786.63623046999999</v>
      </c>
      <c r="F283">
        <v>101.32499695</v>
      </c>
      <c r="G283">
        <v>80</v>
      </c>
      <c r="H283">
        <v>79.902183532999999</v>
      </c>
      <c r="I283">
        <v>50</v>
      </c>
      <c r="J283">
        <v>15.028930664000001</v>
      </c>
      <c r="K283">
        <v>2400</v>
      </c>
      <c r="L283">
        <v>0</v>
      </c>
      <c r="M283">
        <v>0</v>
      </c>
      <c r="N283">
        <v>474.42028808999999</v>
      </c>
    </row>
    <row r="284" spans="1:14" x14ac:dyDescent="0.25">
      <c r="A284">
        <v>95.435280000000006</v>
      </c>
      <c r="B284" s="1">
        <f>DATE(2010,8,4) + TIME(10,26,48)</f>
        <v>40394.435277777775</v>
      </c>
      <c r="C284">
        <v>7299.7250977000003</v>
      </c>
      <c r="D284">
        <v>6035.4111327999999</v>
      </c>
      <c r="E284">
        <v>786.67785645000004</v>
      </c>
      <c r="F284">
        <v>101.32499695</v>
      </c>
      <c r="G284">
        <v>80</v>
      </c>
      <c r="H284">
        <v>79.902366638000004</v>
      </c>
      <c r="I284">
        <v>50</v>
      </c>
      <c r="J284">
        <v>15.029221535</v>
      </c>
      <c r="K284">
        <v>2400</v>
      </c>
      <c r="L284">
        <v>0</v>
      </c>
      <c r="M284">
        <v>0</v>
      </c>
      <c r="N284">
        <v>474.45086670000001</v>
      </c>
    </row>
    <row r="285" spans="1:14" x14ac:dyDescent="0.25">
      <c r="A285">
        <v>96.620542</v>
      </c>
      <c r="B285" s="1">
        <f>DATE(2010,8,5) + TIME(14,53,34)</f>
        <v>40395.620532407411</v>
      </c>
      <c r="C285">
        <v>7291.7543944999998</v>
      </c>
      <c r="D285">
        <v>6027.4599608999997</v>
      </c>
      <c r="E285">
        <v>786.72497558999999</v>
      </c>
      <c r="F285">
        <v>101.32499695</v>
      </c>
      <c r="G285">
        <v>80</v>
      </c>
      <c r="H285">
        <v>79.902565002000003</v>
      </c>
      <c r="I285">
        <v>50</v>
      </c>
      <c r="J285">
        <v>15.02951622</v>
      </c>
      <c r="K285">
        <v>2400</v>
      </c>
      <c r="L285">
        <v>0</v>
      </c>
      <c r="M285">
        <v>0</v>
      </c>
      <c r="N285">
        <v>474.48486328000001</v>
      </c>
    </row>
    <row r="286" spans="1:14" x14ac:dyDescent="0.25">
      <c r="A286">
        <v>97.809748999999996</v>
      </c>
      <c r="B286" s="1">
        <f>DATE(2010,8,6) + TIME(19,26,2)</f>
        <v>40396.809745370374</v>
      </c>
      <c r="C286">
        <v>7283.7636719000002</v>
      </c>
      <c r="D286">
        <v>6019.4882811999996</v>
      </c>
      <c r="E286">
        <v>786.77563477000001</v>
      </c>
      <c r="F286">
        <v>101.32499695</v>
      </c>
      <c r="G286">
        <v>80</v>
      </c>
      <c r="H286">
        <v>79.902755737000007</v>
      </c>
      <c r="I286">
        <v>50</v>
      </c>
      <c r="J286">
        <v>15.029808998</v>
      </c>
      <c r="K286">
        <v>2400</v>
      </c>
      <c r="L286">
        <v>0</v>
      </c>
      <c r="M286">
        <v>0</v>
      </c>
      <c r="N286">
        <v>474.52105712999997</v>
      </c>
    </row>
    <row r="287" spans="1:14" x14ac:dyDescent="0.25">
      <c r="A287">
        <v>98.999117999999996</v>
      </c>
      <c r="B287" s="1">
        <f>DATE(2010,8,7) + TIME(23,58,43)</f>
        <v>40397.999108796299</v>
      </c>
      <c r="C287">
        <v>7275.8261719000002</v>
      </c>
      <c r="D287">
        <v>6011.5703125</v>
      </c>
      <c r="E287">
        <v>786.82800293000003</v>
      </c>
      <c r="F287">
        <v>101.32499695</v>
      </c>
      <c r="G287">
        <v>80</v>
      </c>
      <c r="H287">
        <v>79.902946471999996</v>
      </c>
      <c r="I287">
        <v>50</v>
      </c>
      <c r="J287">
        <v>15.030101776</v>
      </c>
      <c r="K287">
        <v>2400</v>
      </c>
      <c r="L287">
        <v>0</v>
      </c>
      <c r="M287">
        <v>0</v>
      </c>
      <c r="N287">
        <v>474.55831909</v>
      </c>
    </row>
    <row r="288" spans="1:14" x14ac:dyDescent="0.25">
      <c r="A288">
        <v>100.19057100000001</v>
      </c>
      <c r="B288" s="1">
        <f>DATE(2010,8,9) + TIME(4,34,25)</f>
        <v>40399.190567129626</v>
      </c>
      <c r="C288">
        <v>7267.9643555000002</v>
      </c>
      <c r="D288">
        <v>6003.7270508000001</v>
      </c>
      <c r="E288">
        <v>786.88092041000004</v>
      </c>
      <c r="F288">
        <v>101.32499695</v>
      </c>
      <c r="G288">
        <v>80</v>
      </c>
      <c r="H288">
        <v>79.903144835999996</v>
      </c>
      <c r="I288">
        <v>50</v>
      </c>
      <c r="J288">
        <v>15.030392646999999</v>
      </c>
      <c r="K288">
        <v>2400</v>
      </c>
      <c r="L288">
        <v>0</v>
      </c>
      <c r="M288">
        <v>0</v>
      </c>
      <c r="N288">
        <v>474.59591675000001</v>
      </c>
    </row>
    <row r="289" spans="1:14" x14ac:dyDescent="0.25">
      <c r="A289">
        <v>101.385998</v>
      </c>
      <c r="B289" s="1">
        <f>DATE(2010,8,10) + TIME(9,15,50)</f>
        <v>40400.385995370372</v>
      </c>
      <c r="C289">
        <v>7260.1728516000003</v>
      </c>
      <c r="D289">
        <v>5995.9541016000003</v>
      </c>
      <c r="E289">
        <v>786.93395996000004</v>
      </c>
      <c r="F289">
        <v>101.32499695</v>
      </c>
      <c r="G289">
        <v>80</v>
      </c>
      <c r="H289">
        <v>79.903343200999998</v>
      </c>
      <c r="I289">
        <v>50</v>
      </c>
      <c r="J289">
        <v>15.03068161</v>
      </c>
      <c r="K289">
        <v>2400</v>
      </c>
      <c r="L289">
        <v>0</v>
      </c>
      <c r="M289">
        <v>0</v>
      </c>
      <c r="N289">
        <v>474.63357544000002</v>
      </c>
    </row>
    <row r="290" spans="1:14" x14ac:dyDescent="0.25">
      <c r="A290">
        <v>102.587267</v>
      </c>
      <c r="B290" s="1">
        <f>DATE(2010,8,11) + TIME(14,5,39)</f>
        <v>40401.587256944447</v>
      </c>
      <c r="C290">
        <v>7252.4414061999996</v>
      </c>
      <c r="D290">
        <v>5988.2402344000002</v>
      </c>
      <c r="E290">
        <v>786.98706055000002</v>
      </c>
      <c r="F290">
        <v>101.32499695</v>
      </c>
      <c r="G290">
        <v>80</v>
      </c>
      <c r="H290">
        <v>79.903541564999998</v>
      </c>
      <c r="I290">
        <v>50</v>
      </c>
      <c r="J290">
        <v>15.030970572999999</v>
      </c>
      <c r="K290">
        <v>2400</v>
      </c>
      <c r="L290">
        <v>0</v>
      </c>
      <c r="M290">
        <v>0</v>
      </c>
      <c r="N290">
        <v>474.67129517000001</v>
      </c>
    </row>
    <row r="291" spans="1:14" x14ac:dyDescent="0.25">
      <c r="A291">
        <v>103.796237</v>
      </c>
      <c r="B291" s="1">
        <f>DATE(2010,8,12) + TIME(19,6,34)</f>
        <v>40402.796226851853</v>
      </c>
      <c r="C291">
        <v>7244.7583008000001</v>
      </c>
      <c r="D291">
        <v>5980.5751952999999</v>
      </c>
      <c r="E291">
        <v>787.04040526999995</v>
      </c>
      <c r="F291">
        <v>101.32499695</v>
      </c>
      <c r="G291">
        <v>80</v>
      </c>
      <c r="H291">
        <v>79.903739928999997</v>
      </c>
      <c r="I291">
        <v>50</v>
      </c>
      <c r="J291">
        <v>15.031258583</v>
      </c>
      <c r="K291">
        <v>2400</v>
      </c>
      <c r="L291">
        <v>0</v>
      </c>
      <c r="M291">
        <v>0</v>
      </c>
      <c r="N291">
        <v>474.70919800000001</v>
      </c>
    </row>
    <row r="292" spans="1:14" x14ac:dyDescent="0.25">
      <c r="A292">
        <v>105.014763</v>
      </c>
      <c r="B292" s="1">
        <f>DATE(2010,8,14) + TIME(0,21,15)</f>
        <v>40404.014756944445</v>
      </c>
      <c r="C292">
        <v>7237.1132811999996</v>
      </c>
      <c r="D292">
        <v>5972.9472655999998</v>
      </c>
      <c r="E292">
        <v>787.09417725000003</v>
      </c>
      <c r="F292">
        <v>101.32499695</v>
      </c>
      <c r="G292">
        <v>80</v>
      </c>
      <c r="H292">
        <v>79.903945922999995</v>
      </c>
      <c r="I292">
        <v>50</v>
      </c>
      <c r="J292">
        <v>15.031546593</v>
      </c>
      <c r="K292">
        <v>2400</v>
      </c>
      <c r="L292">
        <v>0</v>
      </c>
      <c r="M292">
        <v>0</v>
      </c>
      <c r="N292">
        <v>474.74734496999997</v>
      </c>
    </row>
    <row r="293" spans="1:14" x14ac:dyDescent="0.25">
      <c r="A293">
        <v>106.24478499999999</v>
      </c>
      <c r="B293" s="1">
        <f>DATE(2010,8,15) + TIME(5,52,29)</f>
        <v>40405.244780092595</v>
      </c>
      <c r="C293">
        <v>7229.4936522999997</v>
      </c>
      <c r="D293">
        <v>5965.3452147999997</v>
      </c>
      <c r="E293">
        <v>787.1484375</v>
      </c>
      <c r="F293">
        <v>101.32499695</v>
      </c>
      <c r="G293">
        <v>80</v>
      </c>
      <c r="H293">
        <v>79.904144286999994</v>
      </c>
      <c r="I293">
        <v>50</v>
      </c>
      <c r="J293">
        <v>15.031834602</v>
      </c>
      <c r="K293">
        <v>2400</v>
      </c>
      <c r="L293">
        <v>0</v>
      </c>
      <c r="M293">
        <v>0</v>
      </c>
      <c r="N293">
        <v>474.78591919000002</v>
      </c>
    </row>
    <row r="294" spans="1:14" x14ac:dyDescent="0.25">
      <c r="A294">
        <v>107.488744</v>
      </c>
      <c r="B294" s="1">
        <f>DATE(2010,8,16) + TIME(11,43,47)</f>
        <v>40406.488738425927</v>
      </c>
      <c r="C294">
        <v>7221.8881836</v>
      </c>
      <c r="D294">
        <v>5957.7568358999997</v>
      </c>
      <c r="E294">
        <v>787.20349121000004</v>
      </c>
      <c r="F294">
        <v>101.32499695</v>
      </c>
      <c r="G294">
        <v>80</v>
      </c>
      <c r="H294">
        <v>79.904350281000006</v>
      </c>
      <c r="I294">
        <v>50</v>
      </c>
      <c r="J294">
        <v>15.032123565999999</v>
      </c>
      <c r="K294">
        <v>2400</v>
      </c>
      <c r="L294">
        <v>0</v>
      </c>
      <c r="M294">
        <v>0</v>
      </c>
      <c r="N294">
        <v>474.82495117000002</v>
      </c>
    </row>
    <row r="295" spans="1:14" x14ac:dyDescent="0.25">
      <c r="A295">
        <v>108.74842700000001</v>
      </c>
      <c r="B295" s="1">
        <f>DATE(2010,8,17) + TIME(17,57,44)</f>
        <v>40407.748425925929</v>
      </c>
      <c r="C295">
        <v>7214.2846680000002</v>
      </c>
      <c r="D295">
        <v>5950.1704102000003</v>
      </c>
      <c r="E295">
        <v>787.25939941000001</v>
      </c>
      <c r="F295">
        <v>101.32499695</v>
      </c>
      <c r="G295">
        <v>80</v>
      </c>
      <c r="H295">
        <v>79.904556274000001</v>
      </c>
      <c r="I295">
        <v>50</v>
      </c>
      <c r="J295">
        <v>15.032413482999999</v>
      </c>
      <c r="K295">
        <v>2400</v>
      </c>
      <c r="L295">
        <v>0</v>
      </c>
      <c r="M295">
        <v>0</v>
      </c>
      <c r="N295">
        <v>474.86462402000001</v>
      </c>
    </row>
    <row r="296" spans="1:14" x14ac:dyDescent="0.25">
      <c r="A296">
        <v>110.025824</v>
      </c>
      <c r="B296" s="1">
        <f>DATE(2010,8,19) + TIME(0,37,11)</f>
        <v>40409.025821759256</v>
      </c>
      <c r="C296">
        <v>7206.6728516000003</v>
      </c>
      <c r="D296">
        <v>5942.5751952999999</v>
      </c>
      <c r="E296">
        <v>787.31646728999999</v>
      </c>
      <c r="F296">
        <v>101.32499695</v>
      </c>
      <c r="G296">
        <v>80</v>
      </c>
      <c r="H296">
        <v>79.904762267999999</v>
      </c>
      <c r="I296">
        <v>50</v>
      </c>
      <c r="J296">
        <v>15.032704353</v>
      </c>
      <c r="K296">
        <v>2400</v>
      </c>
      <c r="L296">
        <v>0</v>
      </c>
      <c r="M296">
        <v>0</v>
      </c>
      <c r="N296">
        <v>474.90502930000002</v>
      </c>
    </row>
    <row r="297" spans="1:14" x14ac:dyDescent="0.25">
      <c r="A297">
        <v>111.32052299999999</v>
      </c>
      <c r="B297" s="1">
        <f>DATE(2010,8,20) + TIME(7,41,33)</f>
        <v>40410.320520833331</v>
      </c>
      <c r="C297">
        <v>7199.0463866999999</v>
      </c>
      <c r="D297">
        <v>5934.9653319999998</v>
      </c>
      <c r="E297">
        <v>787.37493896000001</v>
      </c>
      <c r="F297">
        <v>101.32499695</v>
      </c>
      <c r="G297">
        <v>80</v>
      </c>
      <c r="H297">
        <v>79.904968261999997</v>
      </c>
      <c r="I297">
        <v>50</v>
      </c>
      <c r="J297">
        <v>15.032997131</v>
      </c>
      <c r="K297">
        <v>2400</v>
      </c>
      <c r="L297">
        <v>0</v>
      </c>
      <c r="M297">
        <v>0</v>
      </c>
      <c r="N297">
        <v>474.94635010000002</v>
      </c>
    </row>
    <row r="298" spans="1:14" x14ac:dyDescent="0.25">
      <c r="A298">
        <v>112.63430099999999</v>
      </c>
      <c r="B298" s="1">
        <f>DATE(2010,8,21) + TIME(15,13,23)</f>
        <v>40411.634293981479</v>
      </c>
      <c r="C298">
        <v>7191.4033202999999</v>
      </c>
      <c r="D298">
        <v>5927.3383789</v>
      </c>
      <c r="E298">
        <v>787.43475341999999</v>
      </c>
      <c r="F298">
        <v>101.32499695</v>
      </c>
      <c r="G298">
        <v>80</v>
      </c>
      <c r="H298">
        <v>79.905174255000006</v>
      </c>
      <c r="I298">
        <v>50</v>
      </c>
      <c r="J298">
        <v>15.033290863</v>
      </c>
      <c r="K298">
        <v>2400</v>
      </c>
      <c r="L298">
        <v>0</v>
      </c>
      <c r="M298">
        <v>0</v>
      </c>
      <c r="N298">
        <v>474.98861693999999</v>
      </c>
    </row>
    <row r="299" spans="1:14" x14ac:dyDescent="0.25">
      <c r="A299">
        <v>113.969421</v>
      </c>
      <c r="B299" s="1">
        <f>DATE(2010,8,22) + TIME(23,15,57)</f>
        <v>40412.969409722224</v>
      </c>
      <c r="C299">
        <v>7183.7353516000003</v>
      </c>
      <c r="D299">
        <v>5919.6870116999999</v>
      </c>
      <c r="E299">
        <v>787.49597168000003</v>
      </c>
      <c r="F299">
        <v>101.32499695</v>
      </c>
      <c r="G299">
        <v>80</v>
      </c>
      <c r="H299">
        <v>79.905387877999999</v>
      </c>
      <c r="I299">
        <v>50</v>
      </c>
      <c r="J299">
        <v>15.033587455999999</v>
      </c>
      <c r="K299">
        <v>2400</v>
      </c>
      <c r="L299">
        <v>0</v>
      </c>
      <c r="M299">
        <v>0</v>
      </c>
      <c r="N299">
        <v>475.03179932</v>
      </c>
    </row>
    <row r="300" spans="1:14" x14ac:dyDescent="0.25">
      <c r="A300">
        <v>115.307041</v>
      </c>
      <c r="B300" s="1">
        <f>DATE(2010,8,24) + TIME(7,22,8)</f>
        <v>40414.307037037041</v>
      </c>
      <c r="C300">
        <v>7176.0693358999997</v>
      </c>
      <c r="D300">
        <v>5912.0371094000002</v>
      </c>
      <c r="E300">
        <v>787.55981444999998</v>
      </c>
      <c r="F300">
        <v>101.32499695</v>
      </c>
      <c r="G300">
        <v>80</v>
      </c>
      <c r="H300">
        <v>79.905593871999997</v>
      </c>
      <c r="I300">
        <v>50</v>
      </c>
      <c r="J300">
        <v>15.033882140999999</v>
      </c>
      <c r="K300">
        <v>2400</v>
      </c>
      <c r="L300">
        <v>0</v>
      </c>
      <c r="M300">
        <v>0</v>
      </c>
      <c r="N300">
        <v>475.07662964000002</v>
      </c>
    </row>
    <row r="301" spans="1:14" x14ac:dyDescent="0.25">
      <c r="A301">
        <v>116.645448</v>
      </c>
      <c r="B301" s="1">
        <f>DATE(2010,8,25) + TIME(15,29,26)</f>
        <v>40415.645439814813</v>
      </c>
      <c r="C301">
        <v>7168.4633789</v>
      </c>
      <c r="D301">
        <v>5904.4472655999998</v>
      </c>
      <c r="E301">
        <v>787.62512206999997</v>
      </c>
      <c r="F301">
        <v>101.32499695</v>
      </c>
      <c r="G301">
        <v>80</v>
      </c>
      <c r="H301">
        <v>79.905799865999995</v>
      </c>
      <c r="I301">
        <v>50</v>
      </c>
      <c r="J301">
        <v>15.034175873000001</v>
      </c>
      <c r="K301">
        <v>2400</v>
      </c>
      <c r="L301">
        <v>0</v>
      </c>
      <c r="M301">
        <v>0</v>
      </c>
      <c r="N301">
        <v>475.12240601000002</v>
      </c>
    </row>
    <row r="302" spans="1:14" x14ac:dyDescent="0.25">
      <c r="A302">
        <v>117.986771</v>
      </c>
      <c r="B302" s="1">
        <f>DATE(2010,8,26) + TIME(23,40,57)</f>
        <v>40416.986770833333</v>
      </c>
      <c r="C302">
        <v>7160.9282227000003</v>
      </c>
      <c r="D302">
        <v>5896.9272461</v>
      </c>
      <c r="E302">
        <v>787.69104003999996</v>
      </c>
      <c r="F302">
        <v>101.32499695</v>
      </c>
      <c r="G302">
        <v>80</v>
      </c>
      <c r="H302">
        <v>79.906005859000004</v>
      </c>
      <c r="I302">
        <v>50</v>
      </c>
      <c r="J302">
        <v>15.034468650999999</v>
      </c>
      <c r="K302">
        <v>2400</v>
      </c>
      <c r="L302">
        <v>0</v>
      </c>
      <c r="M302">
        <v>0</v>
      </c>
      <c r="N302">
        <v>475.16851807</v>
      </c>
    </row>
    <row r="303" spans="1:14" x14ac:dyDescent="0.25">
      <c r="A303">
        <v>119.333105</v>
      </c>
      <c r="B303" s="1">
        <f>DATE(2010,8,28) + TIME(7,59,40)</f>
        <v>40418.333101851851</v>
      </c>
      <c r="C303">
        <v>7153.4555664</v>
      </c>
      <c r="D303">
        <v>5889.4697266000003</v>
      </c>
      <c r="E303">
        <v>787.75726318</v>
      </c>
      <c r="F303">
        <v>101.32499695</v>
      </c>
      <c r="G303">
        <v>80</v>
      </c>
      <c r="H303">
        <v>79.906219481999997</v>
      </c>
      <c r="I303">
        <v>50</v>
      </c>
      <c r="J303">
        <v>15.034760475000001</v>
      </c>
      <c r="K303">
        <v>2400</v>
      </c>
      <c r="L303">
        <v>0</v>
      </c>
      <c r="M303">
        <v>0</v>
      </c>
      <c r="N303">
        <v>475.21487427</v>
      </c>
    </row>
    <row r="304" spans="1:14" x14ac:dyDescent="0.25">
      <c r="A304">
        <v>120.686536</v>
      </c>
      <c r="B304" s="1">
        <f>DATE(2010,8,29) + TIME(16,28,36)</f>
        <v>40419.686527777776</v>
      </c>
      <c r="C304">
        <v>7146.0351561999996</v>
      </c>
      <c r="D304">
        <v>5882.0644530999998</v>
      </c>
      <c r="E304">
        <v>787.82391356999995</v>
      </c>
      <c r="F304">
        <v>101.32499695</v>
      </c>
      <c r="G304">
        <v>80</v>
      </c>
      <c r="H304">
        <v>79.906425475999995</v>
      </c>
      <c r="I304">
        <v>50</v>
      </c>
      <c r="J304">
        <v>15.035051345999999</v>
      </c>
      <c r="K304">
        <v>2400</v>
      </c>
      <c r="L304">
        <v>0</v>
      </c>
      <c r="M304">
        <v>0</v>
      </c>
      <c r="N304">
        <v>475.26156615999997</v>
      </c>
    </row>
    <row r="305" spans="1:14" x14ac:dyDescent="0.25">
      <c r="A305">
        <v>122.04915200000001</v>
      </c>
      <c r="B305" s="1">
        <f>DATE(2010,8,31) + TIME(1,10,46)</f>
        <v>40421.049143518518</v>
      </c>
      <c r="C305">
        <v>7138.6567383000001</v>
      </c>
      <c r="D305">
        <v>5874.7001952999999</v>
      </c>
      <c r="E305">
        <v>787.89123534999999</v>
      </c>
      <c r="F305">
        <v>101.32499695</v>
      </c>
      <c r="G305">
        <v>80</v>
      </c>
      <c r="H305">
        <v>79.906639099000003</v>
      </c>
      <c r="I305">
        <v>50</v>
      </c>
      <c r="J305">
        <v>15.035342216</v>
      </c>
      <c r="K305">
        <v>2400</v>
      </c>
      <c r="L305">
        <v>0</v>
      </c>
      <c r="M305">
        <v>0</v>
      </c>
      <c r="N305">
        <v>475.30865478999999</v>
      </c>
    </row>
    <row r="306" spans="1:14" x14ac:dyDescent="0.25">
      <c r="A306">
        <v>123</v>
      </c>
      <c r="B306" s="1">
        <f>DATE(2010,9,1) + TIME(0,0,0)</f>
        <v>40422</v>
      </c>
      <c r="C306">
        <v>7132.1787108999997</v>
      </c>
      <c r="D306">
        <v>5868.2348633000001</v>
      </c>
      <c r="E306">
        <v>787.97698975000003</v>
      </c>
      <c r="F306">
        <v>101.32499695</v>
      </c>
      <c r="G306">
        <v>80</v>
      </c>
      <c r="H306">
        <v>79.906684874999996</v>
      </c>
      <c r="I306">
        <v>50</v>
      </c>
      <c r="J306">
        <v>15.035561562</v>
      </c>
      <c r="K306">
        <v>2400</v>
      </c>
      <c r="L306">
        <v>0</v>
      </c>
      <c r="M306">
        <v>0</v>
      </c>
      <c r="N306">
        <v>475.36599731000001</v>
      </c>
    </row>
    <row r="307" spans="1:14" x14ac:dyDescent="0.25">
      <c r="A307">
        <v>124.37389400000001</v>
      </c>
      <c r="B307" s="1">
        <f>DATE(2010,9,2) + TIME(8,58,24)</f>
        <v>40423.373888888891</v>
      </c>
      <c r="C307">
        <v>7125.9121094000002</v>
      </c>
      <c r="D307">
        <v>5861.9804688000004</v>
      </c>
      <c r="E307">
        <v>788.01971435999997</v>
      </c>
      <c r="F307">
        <v>101.32499695</v>
      </c>
      <c r="G307">
        <v>80</v>
      </c>
      <c r="H307">
        <v>79.907012938999998</v>
      </c>
      <c r="I307">
        <v>50</v>
      </c>
      <c r="J307">
        <v>15.03584671</v>
      </c>
      <c r="K307">
        <v>2400</v>
      </c>
      <c r="L307">
        <v>0</v>
      </c>
      <c r="M307">
        <v>0</v>
      </c>
      <c r="N307">
        <v>475.39764403999999</v>
      </c>
    </row>
    <row r="308" spans="1:14" x14ac:dyDescent="0.25">
      <c r="A308">
        <v>125.772717</v>
      </c>
      <c r="B308" s="1">
        <f>DATE(2010,9,3) + TIME(18,32,42)</f>
        <v>40424.77270833333</v>
      </c>
      <c r="C308">
        <v>7118.8217772999997</v>
      </c>
      <c r="D308">
        <v>5854.9042969000002</v>
      </c>
      <c r="E308">
        <v>788.07556151999995</v>
      </c>
      <c r="F308">
        <v>101.32499695</v>
      </c>
      <c r="G308">
        <v>80</v>
      </c>
      <c r="H308">
        <v>79.907226562000005</v>
      </c>
      <c r="I308">
        <v>50</v>
      </c>
      <c r="J308">
        <v>15.036135674000001</v>
      </c>
      <c r="K308">
        <v>2400</v>
      </c>
      <c r="L308">
        <v>0</v>
      </c>
      <c r="M308">
        <v>0</v>
      </c>
      <c r="N308">
        <v>475.43783568999999</v>
      </c>
    </row>
    <row r="309" spans="1:14" x14ac:dyDescent="0.25">
      <c r="A309">
        <v>127.188715</v>
      </c>
      <c r="B309" s="1">
        <f>DATE(2010,9,5) + TIME(4,31,44)</f>
        <v>40426.188703703701</v>
      </c>
      <c r="C309">
        <v>7111.5605469000002</v>
      </c>
      <c r="D309">
        <v>5847.65625</v>
      </c>
      <c r="E309">
        <v>788.14312743999994</v>
      </c>
      <c r="F309">
        <v>101.32499695</v>
      </c>
      <c r="G309">
        <v>80</v>
      </c>
      <c r="H309">
        <v>79.907432556000003</v>
      </c>
      <c r="I309">
        <v>50</v>
      </c>
      <c r="J309">
        <v>15.036427498</v>
      </c>
      <c r="K309">
        <v>2400</v>
      </c>
      <c r="L309">
        <v>0</v>
      </c>
      <c r="M309">
        <v>0</v>
      </c>
      <c r="N309">
        <v>475.48535156000003</v>
      </c>
    </row>
    <row r="310" spans="1:14" x14ac:dyDescent="0.25">
      <c r="A310">
        <v>128.622917</v>
      </c>
      <c r="B310" s="1">
        <f>DATE(2010,9,6) + TIME(14,56,59)</f>
        <v>40427.62290509259</v>
      </c>
      <c r="C310">
        <v>7104.2543944999998</v>
      </c>
      <c r="D310">
        <v>5840.3637694999998</v>
      </c>
      <c r="E310">
        <v>788.21588135000002</v>
      </c>
      <c r="F310">
        <v>101.32499695</v>
      </c>
      <c r="G310">
        <v>80</v>
      </c>
      <c r="H310">
        <v>79.907638550000001</v>
      </c>
      <c r="I310">
        <v>50</v>
      </c>
      <c r="J310">
        <v>15.036720276</v>
      </c>
      <c r="K310">
        <v>2400</v>
      </c>
      <c r="L310">
        <v>0</v>
      </c>
      <c r="M310">
        <v>0</v>
      </c>
      <c r="N310">
        <v>475.53610228999997</v>
      </c>
    </row>
    <row r="311" spans="1:14" x14ac:dyDescent="0.25">
      <c r="A311">
        <v>130.075762</v>
      </c>
      <c r="B311" s="1">
        <f>DATE(2010,9,8) + TIME(1,49,5)</f>
        <v>40429.075752314813</v>
      </c>
      <c r="C311">
        <v>7096.9252930000002</v>
      </c>
      <c r="D311">
        <v>5833.0483397999997</v>
      </c>
      <c r="E311">
        <v>788.29132079999999</v>
      </c>
      <c r="F311">
        <v>101.32499695</v>
      </c>
      <c r="G311">
        <v>80</v>
      </c>
      <c r="H311">
        <v>79.907852172999995</v>
      </c>
      <c r="I311">
        <v>50</v>
      </c>
      <c r="J311">
        <v>15.037015915</v>
      </c>
      <c r="K311">
        <v>2400</v>
      </c>
      <c r="L311">
        <v>0</v>
      </c>
      <c r="M311">
        <v>0</v>
      </c>
      <c r="N311">
        <v>475.58862305000002</v>
      </c>
    </row>
    <row r="312" spans="1:14" x14ac:dyDescent="0.25">
      <c r="A312">
        <v>131.54956799999999</v>
      </c>
      <c r="B312" s="1">
        <f>DATE(2010,9,9) + TIME(13,11,22)</f>
        <v>40430.549560185187</v>
      </c>
      <c r="C312">
        <v>7089.5751952999999</v>
      </c>
      <c r="D312">
        <v>5825.7114258000001</v>
      </c>
      <c r="E312">
        <v>788.36859131000006</v>
      </c>
      <c r="F312">
        <v>101.32499695</v>
      </c>
      <c r="G312">
        <v>80</v>
      </c>
      <c r="H312">
        <v>79.908073424999998</v>
      </c>
      <c r="I312">
        <v>50</v>
      </c>
      <c r="J312">
        <v>15.037314415000001</v>
      </c>
      <c r="K312">
        <v>2400</v>
      </c>
      <c r="L312">
        <v>0</v>
      </c>
      <c r="M312">
        <v>0</v>
      </c>
      <c r="N312">
        <v>475.64236449999999</v>
      </c>
    </row>
    <row r="313" spans="1:14" x14ac:dyDescent="0.25">
      <c r="A313">
        <v>132.292935</v>
      </c>
      <c r="B313" s="1">
        <f>DATE(2010,9,10) + TIME(7,1,49)</f>
        <v>40431.292928240742</v>
      </c>
      <c r="C313">
        <v>7083.8471680000002</v>
      </c>
      <c r="D313">
        <v>5819.9931641000003</v>
      </c>
      <c r="E313">
        <v>788.47076416000004</v>
      </c>
      <c r="F313">
        <v>101.32499695</v>
      </c>
      <c r="G313">
        <v>80</v>
      </c>
      <c r="H313">
        <v>79.908020019999995</v>
      </c>
      <c r="I313">
        <v>50</v>
      </c>
      <c r="J313">
        <v>15.037487984</v>
      </c>
      <c r="K313">
        <v>2400</v>
      </c>
      <c r="L313">
        <v>0</v>
      </c>
      <c r="M313">
        <v>0</v>
      </c>
      <c r="N313">
        <v>475.70944214000002</v>
      </c>
    </row>
    <row r="314" spans="1:14" x14ac:dyDescent="0.25">
      <c r="A314">
        <v>133.036303</v>
      </c>
      <c r="B314" s="1">
        <f>DATE(2010,9,11) + TIME(0,52,16)</f>
        <v>40432.036296296297</v>
      </c>
      <c r="C314">
        <v>7079.4589844000002</v>
      </c>
      <c r="D314">
        <v>5815.6123047000001</v>
      </c>
      <c r="E314">
        <v>788.54681396000001</v>
      </c>
      <c r="F314">
        <v>101.32499695</v>
      </c>
      <c r="G314">
        <v>80</v>
      </c>
      <c r="H314">
        <v>79.908149718999994</v>
      </c>
      <c r="I314">
        <v>50</v>
      </c>
      <c r="J314">
        <v>15.037658691000001</v>
      </c>
      <c r="K314">
        <v>2400</v>
      </c>
      <c r="L314">
        <v>0</v>
      </c>
      <c r="M314">
        <v>0</v>
      </c>
      <c r="N314">
        <v>475.75967407000002</v>
      </c>
    </row>
    <row r="315" spans="1:14" x14ac:dyDescent="0.25">
      <c r="A315">
        <v>133.77967000000001</v>
      </c>
      <c r="B315" s="1">
        <f>DATE(2010,9,11) + TIME(18,42,43)</f>
        <v>40432.779664351852</v>
      </c>
      <c r="C315">
        <v>7075.4877930000002</v>
      </c>
      <c r="D315">
        <v>5811.6479491999999</v>
      </c>
      <c r="E315">
        <v>788.59844970999995</v>
      </c>
      <c r="F315">
        <v>101.32499695</v>
      </c>
      <c r="G315">
        <v>80</v>
      </c>
      <c r="H315">
        <v>79.908294678000004</v>
      </c>
      <c r="I315">
        <v>50</v>
      </c>
      <c r="J315">
        <v>15.037823677</v>
      </c>
      <c r="K315">
        <v>2400</v>
      </c>
      <c r="L315">
        <v>0</v>
      </c>
      <c r="M315">
        <v>0</v>
      </c>
      <c r="N315">
        <v>475.79483032000002</v>
      </c>
    </row>
    <row r="316" spans="1:14" x14ac:dyDescent="0.25">
      <c r="A316">
        <v>134.52303800000001</v>
      </c>
      <c r="B316" s="1">
        <f>DATE(2010,9,12) + TIME(12,33,10)</f>
        <v>40433.523032407407</v>
      </c>
      <c r="C316">
        <v>7071.6679688000004</v>
      </c>
      <c r="D316">
        <v>5807.8354491999999</v>
      </c>
      <c r="E316">
        <v>788.63824463000003</v>
      </c>
      <c r="F316">
        <v>101.32499695</v>
      </c>
      <c r="G316">
        <v>80</v>
      </c>
      <c r="H316">
        <v>79.908439635999997</v>
      </c>
      <c r="I316">
        <v>50</v>
      </c>
      <c r="J316">
        <v>15.037985802</v>
      </c>
      <c r="K316">
        <v>2400</v>
      </c>
      <c r="L316">
        <v>0</v>
      </c>
      <c r="M316">
        <v>0</v>
      </c>
      <c r="N316">
        <v>475.82272339000002</v>
      </c>
    </row>
    <row r="317" spans="1:14" x14ac:dyDescent="0.25">
      <c r="A317">
        <v>135.26640499999999</v>
      </c>
      <c r="B317" s="1">
        <f>DATE(2010,9,13) + TIME(6,23,37)</f>
        <v>40434.266400462962</v>
      </c>
      <c r="C317">
        <v>7067.9252930000002</v>
      </c>
      <c r="D317">
        <v>5804.0991211</v>
      </c>
      <c r="E317">
        <v>788.67346191000001</v>
      </c>
      <c r="F317">
        <v>101.32499695</v>
      </c>
      <c r="G317">
        <v>80</v>
      </c>
      <c r="H317">
        <v>79.908569335999999</v>
      </c>
      <c r="I317">
        <v>50</v>
      </c>
      <c r="J317">
        <v>15.038146018999999</v>
      </c>
      <c r="K317">
        <v>2400</v>
      </c>
      <c r="L317">
        <v>0</v>
      </c>
      <c r="M317">
        <v>0</v>
      </c>
      <c r="N317">
        <v>475.84780884000003</v>
      </c>
    </row>
    <row r="318" spans="1:14" x14ac:dyDescent="0.25">
      <c r="A318">
        <v>136.75314</v>
      </c>
      <c r="B318" s="1">
        <f>DATE(2010,9,14) + TIME(18,4,31)</f>
        <v>40435.753136574072</v>
      </c>
      <c r="C318">
        <v>7063.0209961</v>
      </c>
      <c r="D318">
        <v>5799.2041016000003</v>
      </c>
      <c r="E318">
        <v>788.65832520000004</v>
      </c>
      <c r="F318">
        <v>101.32499695</v>
      </c>
      <c r="G318">
        <v>80</v>
      </c>
      <c r="H318">
        <v>79.908927917</v>
      </c>
      <c r="I318">
        <v>50</v>
      </c>
      <c r="J318">
        <v>15.03841877</v>
      </c>
      <c r="K318">
        <v>2400</v>
      </c>
      <c r="L318">
        <v>0</v>
      </c>
      <c r="M318">
        <v>0</v>
      </c>
      <c r="N318">
        <v>475.84396362000001</v>
      </c>
    </row>
    <row r="319" spans="1:14" x14ac:dyDescent="0.25">
      <c r="A319">
        <v>138.24102600000001</v>
      </c>
      <c r="B319" s="1">
        <f>DATE(2010,9,16) + TIME(5,47,4)</f>
        <v>40437.241018518522</v>
      </c>
      <c r="C319">
        <v>7056.3979491999999</v>
      </c>
      <c r="D319">
        <v>5792.5922852000003</v>
      </c>
      <c r="E319">
        <v>788.71063231999995</v>
      </c>
      <c r="F319">
        <v>101.32499695</v>
      </c>
      <c r="G319">
        <v>80</v>
      </c>
      <c r="H319">
        <v>79.909103393999999</v>
      </c>
      <c r="I319">
        <v>50</v>
      </c>
      <c r="J319">
        <v>15.038698196</v>
      </c>
      <c r="K319">
        <v>2400</v>
      </c>
      <c r="L319">
        <v>0</v>
      </c>
      <c r="M319">
        <v>0</v>
      </c>
      <c r="N319">
        <v>475.88244629000002</v>
      </c>
    </row>
    <row r="320" spans="1:14" x14ac:dyDescent="0.25">
      <c r="A320">
        <v>139.73742999999999</v>
      </c>
      <c r="B320" s="1">
        <f>DATE(2010,9,17) + TIME(17,41,53)</f>
        <v>40438.73741898148</v>
      </c>
      <c r="C320">
        <v>7049.4824219000002</v>
      </c>
      <c r="D320">
        <v>5785.6879883000001</v>
      </c>
      <c r="E320">
        <v>788.79162598000005</v>
      </c>
      <c r="F320">
        <v>101.32499695</v>
      </c>
      <c r="G320">
        <v>80</v>
      </c>
      <c r="H320">
        <v>79.909286499000004</v>
      </c>
      <c r="I320">
        <v>50</v>
      </c>
      <c r="J320">
        <v>15.038981438</v>
      </c>
      <c r="K320">
        <v>2400</v>
      </c>
      <c r="L320">
        <v>0</v>
      </c>
      <c r="M320">
        <v>0</v>
      </c>
      <c r="N320">
        <v>475.93865966999999</v>
      </c>
    </row>
    <row r="321" spans="1:14" x14ac:dyDescent="0.25">
      <c r="A321">
        <v>141.244788</v>
      </c>
      <c r="B321" s="1">
        <f>DATE(2010,9,19) + TIME(5,52,29)</f>
        <v>40440.244780092595</v>
      </c>
      <c r="C321">
        <v>7042.5083008000001</v>
      </c>
      <c r="D321">
        <v>5778.7255858999997</v>
      </c>
      <c r="E321">
        <v>788.88085937999995</v>
      </c>
      <c r="F321">
        <v>101.32499695</v>
      </c>
      <c r="G321">
        <v>80</v>
      </c>
      <c r="H321">
        <v>79.909484863000003</v>
      </c>
      <c r="I321">
        <v>50</v>
      </c>
      <c r="J321">
        <v>15.039268494</v>
      </c>
      <c r="K321">
        <v>2400</v>
      </c>
      <c r="L321">
        <v>0</v>
      </c>
      <c r="M321">
        <v>0</v>
      </c>
      <c r="N321">
        <v>476.00003052</v>
      </c>
    </row>
    <row r="322" spans="1:14" x14ac:dyDescent="0.25">
      <c r="A322">
        <v>142.76537400000001</v>
      </c>
      <c r="B322" s="1">
        <f>DATE(2010,9,20) + TIME(18,22,8)</f>
        <v>40441.765370370369</v>
      </c>
      <c r="C322">
        <v>7035.5195311999996</v>
      </c>
      <c r="D322">
        <v>5771.7480469000002</v>
      </c>
      <c r="E322">
        <v>788.97229003999996</v>
      </c>
      <c r="F322">
        <v>101.32499695</v>
      </c>
      <c r="G322">
        <v>80</v>
      </c>
      <c r="H322">
        <v>79.909698485999996</v>
      </c>
      <c r="I322">
        <v>50</v>
      </c>
      <c r="J322">
        <v>15.039559364</v>
      </c>
      <c r="K322">
        <v>2400</v>
      </c>
      <c r="L322">
        <v>0</v>
      </c>
      <c r="M322">
        <v>0</v>
      </c>
      <c r="N322">
        <v>476.06289672999998</v>
      </c>
    </row>
    <row r="323" spans="1:14" x14ac:dyDescent="0.25">
      <c r="A323">
        <v>144.301682</v>
      </c>
      <c r="B323" s="1">
        <f>DATE(2010,9,22) + TIME(7,14,25)</f>
        <v>40443.301678240743</v>
      </c>
      <c r="C323">
        <v>7028.5239258000001</v>
      </c>
      <c r="D323">
        <v>5764.7631836</v>
      </c>
      <c r="E323">
        <v>789.06439208999996</v>
      </c>
      <c r="F323">
        <v>101.32499695</v>
      </c>
      <c r="G323">
        <v>80</v>
      </c>
      <c r="H323">
        <v>79.909912109000004</v>
      </c>
      <c r="I323">
        <v>50</v>
      </c>
      <c r="J323">
        <v>15.039852142000001</v>
      </c>
      <c r="K323">
        <v>2400</v>
      </c>
      <c r="L323">
        <v>0</v>
      </c>
      <c r="M323">
        <v>0</v>
      </c>
      <c r="N323">
        <v>476.12628174000002</v>
      </c>
    </row>
    <row r="324" spans="1:14" x14ac:dyDescent="0.25">
      <c r="A324">
        <v>145.856663</v>
      </c>
      <c r="B324" s="1">
        <f>DATE(2010,9,23) + TIME(20,33,35)</f>
        <v>40444.85665509259</v>
      </c>
      <c r="C324">
        <v>7021.5175780999998</v>
      </c>
      <c r="D324">
        <v>5757.7680664</v>
      </c>
      <c r="E324">
        <v>789.15704345999995</v>
      </c>
      <c r="F324">
        <v>101.32499695</v>
      </c>
      <c r="G324">
        <v>80</v>
      </c>
      <c r="H324">
        <v>79.910125731999997</v>
      </c>
      <c r="I324">
        <v>50</v>
      </c>
      <c r="J324">
        <v>15.040148735000001</v>
      </c>
      <c r="K324">
        <v>2400</v>
      </c>
      <c r="L324">
        <v>0</v>
      </c>
      <c r="M324">
        <v>0</v>
      </c>
      <c r="N324">
        <v>476.19015503000003</v>
      </c>
    </row>
    <row r="325" spans="1:14" x14ac:dyDescent="0.25">
      <c r="A325">
        <v>147.43241599999999</v>
      </c>
      <c r="B325" s="1">
        <f>DATE(2010,9,25) + TIME(10,22,40)</f>
        <v>40446.43240740741</v>
      </c>
      <c r="C325">
        <v>7014.4941405999998</v>
      </c>
      <c r="D325">
        <v>5750.7553711</v>
      </c>
      <c r="E325">
        <v>789.25061034999999</v>
      </c>
      <c r="F325">
        <v>101.32499695</v>
      </c>
      <c r="G325">
        <v>80</v>
      </c>
      <c r="H325">
        <v>79.910346985000004</v>
      </c>
      <c r="I325">
        <v>50</v>
      </c>
      <c r="J325">
        <v>15.040447235</v>
      </c>
      <c r="K325">
        <v>2400</v>
      </c>
      <c r="L325">
        <v>0</v>
      </c>
      <c r="M325">
        <v>0</v>
      </c>
      <c r="N325">
        <v>476.25476073999999</v>
      </c>
    </row>
    <row r="326" spans="1:14" x14ac:dyDescent="0.25">
      <c r="A326">
        <v>149.031721</v>
      </c>
      <c r="B326" s="1">
        <f>DATE(2010,9,27) + TIME(0,45,40)</f>
        <v>40448.031712962962</v>
      </c>
      <c r="C326">
        <v>7007.4467772999997</v>
      </c>
      <c r="D326">
        <v>5743.7182616999999</v>
      </c>
      <c r="E326">
        <v>789.34545897999999</v>
      </c>
      <c r="F326">
        <v>101.32499695</v>
      </c>
      <c r="G326">
        <v>80</v>
      </c>
      <c r="H326">
        <v>79.910568237000007</v>
      </c>
      <c r="I326">
        <v>50</v>
      </c>
      <c r="J326">
        <v>15.040749549999999</v>
      </c>
      <c r="K326">
        <v>2400</v>
      </c>
      <c r="L326">
        <v>0</v>
      </c>
      <c r="M326">
        <v>0</v>
      </c>
      <c r="N326">
        <v>476.3203125</v>
      </c>
    </row>
    <row r="327" spans="1:14" x14ac:dyDescent="0.25">
      <c r="A327">
        <v>150.65299899999999</v>
      </c>
      <c r="B327" s="1">
        <f>DATE(2010,9,28) + TIME(15,40,19)</f>
        <v>40449.652997685182</v>
      </c>
      <c r="C327">
        <v>7000.3720702999999</v>
      </c>
      <c r="D327">
        <v>5736.6542969000002</v>
      </c>
      <c r="E327">
        <v>789.44226074000005</v>
      </c>
      <c r="F327">
        <v>101.32499695</v>
      </c>
      <c r="G327">
        <v>80</v>
      </c>
      <c r="H327">
        <v>79.910789489999999</v>
      </c>
      <c r="I327">
        <v>50</v>
      </c>
      <c r="J327">
        <v>15.041054726</v>
      </c>
      <c r="K327">
        <v>2400</v>
      </c>
      <c r="L327">
        <v>0</v>
      </c>
      <c r="M327">
        <v>0</v>
      </c>
      <c r="N327">
        <v>476.38723755000001</v>
      </c>
    </row>
    <row r="328" spans="1:14" x14ac:dyDescent="0.25">
      <c r="A328">
        <v>152.29683800000001</v>
      </c>
      <c r="B328" s="1">
        <f>DATE(2010,9,30) + TIME(7,7,26)</f>
        <v>40451.2968287037</v>
      </c>
      <c r="C328">
        <v>6993.2734375</v>
      </c>
      <c r="D328">
        <v>5729.5664061999996</v>
      </c>
      <c r="E328">
        <v>789.54113770000004</v>
      </c>
      <c r="F328">
        <v>101.32499695</v>
      </c>
      <c r="G328">
        <v>80</v>
      </c>
      <c r="H328">
        <v>79.911018372000001</v>
      </c>
      <c r="I328">
        <v>50</v>
      </c>
      <c r="J328">
        <v>15.041363715999999</v>
      </c>
      <c r="K328">
        <v>2400</v>
      </c>
      <c r="L328">
        <v>0</v>
      </c>
      <c r="M328">
        <v>0</v>
      </c>
      <c r="N328">
        <v>476.45559692</v>
      </c>
    </row>
    <row r="329" spans="1:14" x14ac:dyDescent="0.25">
      <c r="A329">
        <v>153</v>
      </c>
      <c r="B329" s="1">
        <f>DATE(2010,10,1) + TIME(0,0,0)</f>
        <v>40452</v>
      </c>
      <c r="C329">
        <v>6988.140625</v>
      </c>
      <c r="D329">
        <v>5724.4399414</v>
      </c>
      <c r="E329">
        <v>789.66961670000001</v>
      </c>
      <c r="F329">
        <v>101.32499695</v>
      </c>
      <c r="G329">
        <v>80</v>
      </c>
      <c r="H329">
        <v>79.910942078000005</v>
      </c>
      <c r="I329">
        <v>50</v>
      </c>
      <c r="J329">
        <v>15.041524887</v>
      </c>
      <c r="K329">
        <v>2400</v>
      </c>
      <c r="L329">
        <v>0</v>
      </c>
      <c r="M329">
        <v>0</v>
      </c>
      <c r="N329">
        <v>476.53964232999999</v>
      </c>
    </row>
    <row r="330" spans="1:14" x14ac:dyDescent="0.25">
      <c r="A330">
        <v>154.65315799999999</v>
      </c>
      <c r="B330" s="1">
        <f>DATE(2010,10,2) + TIME(15,40,32)</f>
        <v>40453.653148148151</v>
      </c>
      <c r="C330">
        <v>6982.6699219000002</v>
      </c>
      <c r="D330">
        <v>5718.9775391000003</v>
      </c>
      <c r="E330">
        <v>789.70910645000004</v>
      </c>
      <c r="F330">
        <v>101.32499695</v>
      </c>
      <c r="G330">
        <v>80</v>
      </c>
      <c r="H330">
        <v>79.911361693999993</v>
      </c>
      <c r="I330">
        <v>50</v>
      </c>
      <c r="J330">
        <v>15.041825294000001</v>
      </c>
      <c r="K330">
        <v>2400</v>
      </c>
      <c r="L330">
        <v>0</v>
      </c>
      <c r="M330">
        <v>0</v>
      </c>
      <c r="N330">
        <v>476.57028198</v>
      </c>
    </row>
    <row r="331" spans="1:14" x14ac:dyDescent="0.25">
      <c r="A331">
        <v>156.30879100000001</v>
      </c>
      <c r="B331" s="1">
        <f>DATE(2010,10,4) + TIME(7,24,39)</f>
        <v>40455.30878472222</v>
      </c>
      <c r="C331">
        <v>6975.9428711</v>
      </c>
      <c r="D331">
        <v>5712.2602539</v>
      </c>
      <c r="E331">
        <v>789.78875731999995</v>
      </c>
      <c r="F331">
        <v>101.32499695</v>
      </c>
      <c r="G331">
        <v>80</v>
      </c>
      <c r="H331">
        <v>79.911582946999999</v>
      </c>
      <c r="I331">
        <v>50</v>
      </c>
      <c r="J331">
        <v>15.042128563</v>
      </c>
      <c r="K331">
        <v>2400</v>
      </c>
      <c r="L331">
        <v>0</v>
      </c>
      <c r="M331">
        <v>0</v>
      </c>
      <c r="N331">
        <v>476.62701415999999</v>
      </c>
    </row>
    <row r="332" spans="1:14" x14ac:dyDescent="0.25">
      <c r="A332">
        <v>157.96862200000001</v>
      </c>
      <c r="B332" s="1">
        <f>DATE(2010,10,5) + TIME(23,14,48)</f>
        <v>40456.968611111108</v>
      </c>
      <c r="C332">
        <v>6969.0380858999997</v>
      </c>
      <c r="D332">
        <v>5705.3647461</v>
      </c>
      <c r="E332">
        <v>789.88928223000005</v>
      </c>
      <c r="F332">
        <v>101.32499695</v>
      </c>
      <c r="G332">
        <v>80</v>
      </c>
      <c r="H332">
        <v>79.911788939999994</v>
      </c>
      <c r="I332">
        <v>50</v>
      </c>
      <c r="J332">
        <v>15.042434692</v>
      </c>
      <c r="K332">
        <v>2400</v>
      </c>
      <c r="L332">
        <v>0</v>
      </c>
      <c r="M332">
        <v>0</v>
      </c>
      <c r="N332">
        <v>476.69677733999998</v>
      </c>
    </row>
    <row r="333" spans="1:14" x14ac:dyDescent="0.25">
      <c r="A333">
        <v>159.63560100000001</v>
      </c>
      <c r="B333" s="1">
        <f>DATE(2010,10,7) + TIME(15,15,15)</f>
        <v>40458.63559027778</v>
      </c>
      <c r="C333">
        <v>6962.1323241999999</v>
      </c>
      <c r="D333">
        <v>5698.4677733999997</v>
      </c>
      <c r="E333">
        <v>789.99584961000005</v>
      </c>
      <c r="F333">
        <v>101.32499695</v>
      </c>
      <c r="G333">
        <v>80</v>
      </c>
      <c r="H333">
        <v>79.912010193</v>
      </c>
      <c r="I333">
        <v>50</v>
      </c>
      <c r="J333">
        <v>15.042741776</v>
      </c>
      <c r="K333">
        <v>2400</v>
      </c>
      <c r="L333">
        <v>0</v>
      </c>
      <c r="M333">
        <v>0</v>
      </c>
      <c r="N333">
        <v>476.77038573999999</v>
      </c>
    </row>
    <row r="334" spans="1:14" x14ac:dyDescent="0.25">
      <c r="A334">
        <v>161.31241399999999</v>
      </c>
      <c r="B334" s="1">
        <f>DATE(2010,10,9) + TIME(7,29,52)</f>
        <v>40460.312407407408</v>
      </c>
      <c r="C334">
        <v>6955.2485352000003</v>
      </c>
      <c r="D334">
        <v>5691.5932616999999</v>
      </c>
      <c r="E334">
        <v>790.10449218999997</v>
      </c>
      <c r="F334">
        <v>101.32499695</v>
      </c>
      <c r="G334">
        <v>80</v>
      </c>
      <c r="H334">
        <v>79.912231445000003</v>
      </c>
      <c r="I334">
        <v>50</v>
      </c>
      <c r="J334">
        <v>15.043050766</v>
      </c>
      <c r="K334">
        <v>2400</v>
      </c>
      <c r="L334">
        <v>0</v>
      </c>
      <c r="M334">
        <v>0</v>
      </c>
      <c r="N334">
        <v>476.84536743000001</v>
      </c>
    </row>
    <row r="335" spans="1:14" x14ac:dyDescent="0.25">
      <c r="A335">
        <v>163.001746</v>
      </c>
      <c r="B335" s="1">
        <f>DATE(2010,10,11) + TIME(0,2,30)</f>
        <v>40462.001736111109</v>
      </c>
      <c r="C335">
        <v>6948.3857422000001</v>
      </c>
      <c r="D335">
        <v>5684.7392577999999</v>
      </c>
      <c r="E335">
        <v>790.21441649999997</v>
      </c>
      <c r="F335">
        <v>101.32499695</v>
      </c>
      <c r="G335">
        <v>80</v>
      </c>
      <c r="H335">
        <v>79.912452697999996</v>
      </c>
      <c r="I335">
        <v>50</v>
      </c>
      <c r="J335">
        <v>15.04336071</v>
      </c>
      <c r="K335">
        <v>2400</v>
      </c>
      <c r="L335">
        <v>0</v>
      </c>
      <c r="M335">
        <v>0</v>
      </c>
      <c r="N335">
        <v>476.92132568</v>
      </c>
    </row>
    <row r="336" spans="1:14" x14ac:dyDescent="0.25">
      <c r="A336">
        <v>164.70555400000001</v>
      </c>
      <c r="B336" s="1">
        <f>DATE(2010,10,12) + TIME(16,55,59)</f>
        <v>40463.705543981479</v>
      </c>
      <c r="C336">
        <v>6941.5375977000003</v>
      </c>
      <c r="D336">
        <v>5677.8999022999997</v>
      </c>
      <c r="E336">
        <v>790.32574463000003</v>
      </c>
      <c r="F336">
        <v>101.32499695</v>
      </c>
      <c r="G336">
        <v>80</v>
      </c>
      <c r="H336">
        <v>79.912673949999999</v>
      </c>
      <c r="I336">
        <v>50</v>
      </c>
      <c r="J336">
        <v>15.043673515</v>
      </c>
      <c r="K336">
        <v>2400</v>
      </c>
      <c r="L336">
        <v>0</v>
      </c>
      <c r="M336">
        <v>0</v>
      </c>
      <c r="N336">
        <v>476.99835204999999</v>
      </c>
    </row>
    <row r="337" spans="1:14" x14ac:dyDescent="0.25">
      <c r="A337">
        <v>166.42632900000001</v>
      </c>
      <c r="B337" s="1">
        <f>DATE(2010,10,14) + TIME(10,13,54)</f>
        <v>40465.426319444443</v>
      </c>
      <c r="C337">
        <v>6934.6977539</v>
      </c>
      <c r="D337">
        <v>5671.0683594000002</v>
      </c>
      <c r="E337">
        <v>790.43878173999997</v>
      </c>
      <c r="F337">
        <v>101.32499695</v>
      </c>
      <c r="G337">
        <v>80</v>
      </c>
      <c r="H337">
        <v>79.912902832</v>
      </c>
      <c r="I337">
        <v>50</v>
      </c>
      <c r="J337">
        <v>15.043987273999999</v>
      </c>
      <c r="K337">
        <v>2400</v>
      </c>
      <c r="L337">
        <v>0</v>
      </c>
      <c r="M337">
        <v>0</v>
      </c>
      <c r="N337">
        <v>477.07659912000003</v>
      </c>
    </row>
    <row r="338" spans="1:14" x14ac:dyDescent="0.25">
      <c r="A338">
        <v>168.167046</v>
      </c>
      <c r="B338" s="1">
        <f>DATE(2010,10,16) + TIME(4,0,32)</f>
        <v>40467.167037037034</v>
      </c>
      <c r="C338">
        <v>6927.8574219000002</v>
      </c>
      <c r="D338">
        <v>5664.2358397999997</v>
      </c>
      <c r="E338">
        <v>790.55377196999996</v>
      </c>
      <c r="F338">
        <v>101.32499695</v>
      </c>
      <c r="G338">
        <v>80</v>
      </c>
      <c r="H338">
        <v>79.913124084000003</v>
      </c>
      <c r="I338">
        <v>50</v>
      </c>
      <c r="J338">
        <v>15.044304847999999</v>
      </c>
      <c r="K338">
        <v>2400</v>
      </c>
      <c r="L338">
        <v>0</v>
      </c>
      <c r="M338">
        <v>0</v>
      </c>
      <c r="N338">
        <v>477.15625</v>
      </c>
    </row>
    <row r="339" spans="1:14" x14ac:dyDescent="0.25">
      <c r="A339">
        <v>169.92890299999999</v>
      </c>
      <c r="B339" s="1">
        <f>DATE(2010,10,17) + TIME(22,17,37)</f>
        <v>40468.928900462961</v>
      </c>
      <c r="C339">
        <v>6921.0087891000003</v>
      </c>
      <c r="D339">
        <v>5657.3955077999999</v>
      </c>
      <c r="E339">
        <v>790.67114258000004</v>
      </c>
      <c r="F339">
        <v>101.32499695</v>
      </c>
      <c r="G339">
        <v>80</v>
      </c>
      <c r="H339">
        <v>79.913352966000005</v>
      </c>
      <c r="I339">
        <v>50</v>
      </c>
      <c r="J339">
        <v>15.044624328999999</v>
      </c>
      <c r="K339">
        <v>2400</v>
      </c>
      <c r="L339">
        <v>0</v>
      </c>
      <c r="M339">
        <v>0</v>
      </c>
      <c r="N339">
        <v>477.23760986000002</v>
      </c>
    </row>
    <row r="340" spans="1:14" x14ac:dyDescent="0.25">
      <c r="A340">
        <v>171.71143599999999</v>
      </c>
      <c r="B340" s="1">
        <f>DATE(2010,10,19) + TIME(17,4,28)</f>
        <v>40470.711435185185</v>
      </c>
      <c r="C340">
        <v>6914.1499022999997</v>
      </c>
      <c r="D340">
        <v>5650.5444336</v>
      </c>
      <c r="E340">
        <v>790.79132079999999</v>
      </c>
      <c r="F340">
        <v>101.32499695</v>
      </c>
      <c r="G340">
        <v>80</v>
      </c>
      <c r="H340">
        <v>79.913581848000007</v>
      </c>
      <c r="I340">
        <v>50</v>
      </c>
      <c r="J340">
        <v>15.044946671</v>
      </c>
      <c r="K340">
        <v>2400</v>
      </c>
      <c r="L340">
        <v>0</v>
      </c>
      <c r="M340">
        <v>0</v>
      </c>
      <c r="N340">
        <v>477.32095336999998</v>
      </c>
    </row>
    <row r="341" spans="1:14" x14ac:dyDescent="0.25">
      <c r="A341">
        <v>173.51742400000001</v>
      </c>
      <c r="B341" s="1">
        <f>DATE(2010,10,21) + TIME(12,25,5)</f>
        <v>40472.517418981479</v>
      </c>
      <c r="C341">
        <v>6907.2778319999998</v>
      </c>
      <c r="D341">
        <v>5643.6801758000001</v>
      </c>
      <c r="E341">
        <v>790.91424560999997</v>
      </c>
      <c r="F341">
        <v>101.32499695</v>
      </c>
      <c r="G341">
        <v>80</v>
      </c>
      <c r="H341">
        <v>79.913810729999994</v>
      </c>
      <c r="I341">
        <v>50</v>
      </c>
      <c r="J341">
        <v>15.045272827</v>
      </c>
      <c r="K341">
        <v>2400</v>
      </c>
      <c r="L341">
        <v>0</v>
      </c>
      <c r="M341">
        <v>0</v>
      </c>
      <c r="N341">
        <v>477.40618896000001</v>
      </c>
    </row>
    <row r="342" spans="1:14" x14ac:dyDescent="0.25">
      <c r="A342">
        <v>175.33079699999999</v>
      </c>
      <c r="B342" s="1">
        <f>DATE(2010,10,23) + TIME(7,56,20)</f>
        <v>40474.330787037034</v>
      </c>
      <c r="C342">
        <v>6900.4082030999998</v>
      </c>
      <c r="D342">
        <v>5636.8178711</v>
      </c>
      <c r="E342">
        <v>791.04119873000002</v>
      </c>
      <c r="F342">
        <v>101.32499695</v>
      </c>
      <c r="G342">
        <v>80</v>
      </c>
      <c r="H342">
        <v>79.914039611999996</v>
      </c>
      <c r="I342">
        <v>50</v>
      </c>
      <c r="J342">
        <v>15.045600890999999</v>
      </c>
      <c r="K342">
        <v>2400</v>
      </c>
      <c r="L342">
        <v>0</v>
      </c>
      <c r="M342">
        <v>0</v>
      </c>
      <c r="N342">
        <v>477.49417113999999</v>
      </c>
    </row>
    <row r="343" spans="1:14" x14ac:dyDescent="0.25">
      <c r="A343">
        <v>177.145984</v>
      </c>
      <c r="B343" s="1">
        <f>DATE(2010,10,25) + TIME(3,30,12)</f>
        <v>40476.145972222221</v>
      </c>
      <c r="C343">
        <v>6893.5771483999997</v>
      </c>
      <c r="D343">
        <v>5629.9941405999998</v>
      </c>
      <c r="E343">
        <v>791.17071533000001</v>
      </c>
      <c r="F343">
        <v>101.32499695</v>
      </c>
      <c r="G343">
        <v>80</v>
      </c>
      <c r="H343">
        <v>79.914268493999998</v>
      </c>
      <c r="I343">
        <v>50</v>
      </c>
      <c r="J343">
        <v>15.045928955000001</v>
      </c>
      <c r="K343">
        <v>2400</v>
      </c>
      <c r="L343">
        <v>0</v>
      </c>
      <c r="M343">
        <v>0</v>
      </c>
      <c r="N343">
        <v>477.58395386000001</v>
      </c>
    </row>
    <row r="344" spans="1:14" x14ac:dyDescent="0.25">
      <c r="A344">
        <v>178.965889</v>
      </c>
      <c r="B344" s="1">
        <f>DATE(2010,10,26) + TIME(23,10,52)</f>
        <v>40477.965879629628</v>
      </c>
      <c r="C344">
        <v>6886.796875</v>
      </c>
      <c r="D344">
        <v>5623.2207030999998</v>
      </c>
      <c r="E344">
        <v>791.30163574000005</v>
      </c>
      <c r="F344">
        <v>101.32499695</v>
      </c>
      <c r="G344">
        <v>80</v>
      </c>
      <c r="H344">
        <v>79.914497374999996</v>
      </c>
      <c r="I344">
        <v>50</v>
      </c>
      <c r="J344">
        <v>15.046257019</v>
      </c>
      <c r="K344">
        <v>2400</v>
      </c>
      <c r="L344">
        <v>0</v>
      </c>
      <c r="M344">
        <v>0</v>
      </c>
      <c r="N344">
        <v>477.67477416999998</v>
      </c>
    </row>
    <row r="345" spans="1:14" x14ac:dyDescent="0.25">
      <c r="A345">
        <v>180.793395</v>
      </c>
      <c r="B345" s="1">
        <f>DATE(2010,10,28) + TIME(19,2,29)</f>
        <v>40479.793391203704</v>
      </c>
      <c r="C345">
        <v>6880.0610352000003</v>
      </c>
      <c r="D345">
        <v>5616.4921875</v>
      </c>
      <c r="E345">
        <v>791.43377685999997</v>
      </c>
      <c r="F345">
        <v>101.32499695</v>
      </c>
      <c r="G345">
        <v>80</v>
      </c>
      <c r="H345">
        <v>79.914718628000003</v>
      </c>
      <c r="I345">
        <v>50</v>
      </c>
      <c r="J345">
        <v>15.04658699</v>
      </c>
      <c r="K345">
        <v>2400</v>
      </c>
      <c r="L345">
        <v>0</v>
      </c>
      <c r="M345">
        <v>0</v>
      </c>
      <c r="N345">
        <v>477.76657103999997</v>
      </c>
    </row>
    <row r="346" spans="1:14" x14ac:dyDescent="0.25">
      <c r="A346">
        <v>182.631382</v>
      </c>
      <c r="B346" s="1">
        <f>DATE(2010,10,30) + TIME(15,9,11)</f>
        <v>40481.631377314814</v>
      </c>
      <c r="C346">
        <v>6873.3618164</v>
      </c>
      <c r="D346">
        <v>5609.7993164</v>
      </c>
      <c r="E346">
        <v>791.56756591999999</v>
      </c>
      <c r="F346">
        <v>101.32499695</v>
      </c>
      <c r="G346">
        <v>80</v>
      </c>
      <c r="H346">
        <v>79.914947510000005</v>
      </c>
      <c r="I346">
        <v>50</v>
      </c>
      <c r="J346">
        <v>15.046918869000001</v>
      </c>
      <c r="K346">
        <v>2400</v>
      </c>
      <c r="L346">
        <v>0</v>
      </c>
      <c r="M346">
        <v>0</v>
      </c>
      <c r="N346">
        <v>477.85958862000001</v>
      </c>
    </row>
    <row r="347" spans="1:14" x14ac:dyDescent="0.25">
      <c r="A347">
        <v>184</v>
      </c>
      <c r="B347" s="1">
        <f>DATE(2010,11,1) + TIME(0,0,0)</f>
        <v>40483</v>
      </c>
      <c r="C347">
        <v>6867.3608397999997</v>
      </c>
      <c r="D347">
        <v>5603.8037108999997</v>
      </c>
      <c r="E347">
        <v>791.73071288999995</v>
      </c>
      <c r="F347">
        <v>101.32499695</v>
      </c>
      <c r="G347">
        <v>80</v>
      </c>
      <c r="H347">
        <v>79.915061950999998</v>
      </c>
      <c r="I347">
        <v>50</v>
      </c>
      <c r="J347">
        <v>15.047188759000001</v>
      </c>
      <c r="K347">
        <v>2400</v>
      </c>
      <c r="L347">
        <v>0</v>
      </c>
      <c r="M347">
        <v>0</v>
      </c>
      <c r="N347">
        <v>477.96975708000002</v>
      </c>
    </row>
    <row r="348" spans="1:14" x14ac:dyDescent="0.25">
      <c r="A348">
        <v>184.000001</v>
      </c>
      <c r="B348" s="1">
        <f>DATE(2010,11,1) + TIME(0,0,0)</f>
        <v>40483</v>
      </c>
      <c r="C348">
        <v>5602.8759766000003</v>
      </c>
      <c r="D348">
        <v>4332.4711914</v>
      </c>
      <c r="E348">
        <v>4603.2104491999999</v>
      </c>
      <c r="F348">
        <v>792.24188231999995</v>
      </c>
      <c r="G348">
        <v>80</v>
      </c>
      <c r="H348">
        <v>79.914924622000001</v>
      </c>
      <c r="I348">
        <v>50</v>
      </c>
      <c r="J348">
        <v>15.047279358000001</v>
      </c>
      <c r="K348">
        <v>0</v>
      </c>
      <c r="L348">
        <v>2400</v>
      </c>
      <c r="M348">
        <v>2400</v>
      </c>
      <c r="N348">
        <v>0</v>
      </c>
    </row>
    <row r="349" spans="1:14" x14ac:dyDescent="0.25">
      <c r="A349">
        <v>184.00000399999999</v>
      </c>
      <c r="B349" s="1">
        <f>DATE(2010,11,1) + TIME(0,0,0)</f>
        <v>40483</v>
      </c>
      <c r="C349">
        <v>5600.0996094000002</v>
      </c>
      <c r="D349">
        <v>4329.6870116999999</v>
      </c>
      <c r="E349">
        <v>4604.7861327999999</v>
      </c>
      <c r="F349">
        <v>793.77429199000005</v>
      </c>
      <c r="G349">
        <v>80</v>
      </c>
      <c r="H349">
        <v>79.914512634000005</v>
      </c>
      <c r="I349">
        <v>50</v>
      </c>
      <c r="J349">
        <v>15.047551155000001</v>
      </c>
      <c r="K349">
        <v>0</v>
      </c>
      <c r="L349">
        <v>2400</v>
      </c>
      <c r="M349">
        <v>2400</v>
      </c>
      <c r="N349">
        <v>0</v>
      </c>
    </row>
    <row r="350" spans="1:14" x14ac:dyDescent="0.25">
      <c r="A350">
        <v>184.000013</v>
      </c>
      <c r="B350" s="1">
        <f>DATE(2010,11,1) + TIME(0,0,1)</f>
        <v>40483.000011574077</v>
      </c>
      <c r="C350">
        <v>5591.8198241999999</v>
      </c>
      <c r="D350">
        <v>4321.3847655999998</v>
      </c>
      <c r="E350">
        <v>4609.5048827999999</v>
      </c>
      <c r="F350">
        <v>798.36340331999997</v>
      </c>
      <c r="G350">
        <v>80</v>
      </c>
      <c r="H350">
        <v>79.913291931000003</v>
      </c>
      <c r="I350">
        <v>50</v>
      </c>
      <c r="J350">
        <v>15.048364639000001</v>
      </c>
      <c r="K350">
        <v>0</v>
      </c>
      <c r="L350">
        <v>2400</v>
      </c>
      <c r="M350">
        <v>2400</v>
      </c>
      <c r="N350">
        <v>0</v>
      </c>
    </row>
    <row r="351" spans="1:14" x14ac:dyDescent="0.25">
      <c r="A351">
        <v>184.00004000000001</v>
      </c>
      <c r="B351" s="1">
        <f>DATE(2010,11,1) + TIME(0,0,3)</f>
        <v>40483.000034722223</v>
      </c>
      <c r="C351">
        <v>5567.4208983999997</v>
      </c>
      <c r="D351">
        <v>4296.9208983999997</v>
      </c>
      <c r="E351">
        <v>4623.5815430000002</v>
      </c>
      <c r="F351">
        <v>812.05535888999998</v>
      </c>
      <c r="G351">
        <v>80</v>
      </c>
      <c r="H351">
        <v>79.909698485999996</v>
      </c>
      <c r="I351">
        <v>50</v>
      </c>
      <c r="J351">
        <v>15.050796509</v>
      </c>
      <c r="K351">
        <v>0</v>
      </c>
      <c r="L351">
        <v>2400</v>
      </c>
      <c r="M351">
        <v>2400</v>
      </c>
      <c r="N351">
        <v>0</v>
      </c>
    </row>
    <row r="352" spans="1:14" x14ac:dyDescent="0.25">
      <c r="A352">
        <v>184.00012100000001</v>
      </c>
      <c r="B352" s="1">
        <f>DATE(2010,11,1) + TIME(0,0,10)</f>
        <v>40483.000115740739</v>
      </c>
      <c r="C352">
        <v>5497.9272461</v>
      </c>
      <c r="D352">
        <v>4227.2465819999998</v>
      </c>
      <c r="E352">
        <v>4665.1083983999997</v>
      </c>
      <c r="F352">
        <v>852.47106933999999</v>
      </c>
      <c r="G352">
        <v>80</v>
      </c>
      <c r="H352">
        <v>79.899475097999996</v>
      </c>
      <c r="I352">
        <v>50</v>
      </c>
      <c r="J352">
        <v>15.058027267</v>
      </c>
      <c r="K352">
        <v>0</v>
      </c>
      <c r="L352">
        <v>2400</v>
      </c>
      <c r="M352">
        <v>2400</v>
      </c>
      <c r="N352">
        <v>0</v>
      </c>
    </row>
    <row r="353" spans="1:14" x14ac:dyDescent="0.25">
      <c r="A353">
        <v>184.00036399999999</v>
      </c>
      <c r="B353" s="1">
        <f>DATE(2010,11,1) + TIME(0,0,31)</f>
        <v>40483.000358796293</v>
      </c>
      <c r="C353">
        <v>5316.9931641000003</v>
      </c>
      <c r="D353">
        <v>4045.8679198999998</v>
      </c>
      <c r="E353">
        <v>4783.7622069999998</v>
      </c>
      <c r="F353">
        <v>968.14160156000003</v>
      </c>
      <c r="G353">
        <v>80</v>
      </c>
      <c r="H353">
        <v>79.872863769999995</v>
      </c>
      <c r="I353">
        <v>50</v>
      </c>
      <c r="J353">
        <v>15.079168320000001</v>
      </c>
      <c r="K353">
        <v>0</v>
      </c>
      <c r="L353">
        <v>2400</v>
      </c>
      <c r="M353">
        <v>2400</v>
      </c>
      <c r="N353">
        <v>0</v>
      </c>
    </row>
    <row r="354" spans="1:14" x14ac:dyDescent="0.25">
      <c r="A354">
        <v>184.001093</v>
      </c>
      <c r="B354" s="1">
        <f>DATE(2010,11,1) + TIME(0,1,34)</f>
        <v>40483.001087962963</v>
      </c>
      <c r="C354">
        <v>4930.1459961</v>
      </c>
      <c r="D354">
        <v>3658.1750487999998</v>
      </c>
      <c r="E354">
        <v>5095.0864258000001</v>
      </c>
      <c r="F354">
        <v>1272.9675293</v>
      </c>
      <c r="G354">
        <v>80</v>
      </c>
      <c r="H354">
        <v>79.816070557000003</v>
      </c>
      <c r="I354">
        <v>50</v>
      </c>
      <c r="J354">
        <v>15.13837719</v>
      </c>
      <c r="K354">
        <v>0</v>
      </c>
      <c r="L354">
        <v>2400</v>
      </c>
      <c r="M354">
        <v>2400</v>
      </c>
      <c r="N354">
        <v>0</v>
      </c>
    </row>
    <row r="355" spans="1:14" x14ac:dyDescent="0.25">
      <c r="A355">
        <v>184.00297699999999</v>
      </c>
      <c r="B355" s="1">
        <f>DATE(2010,11,1) + TIME(0,4,17)</f>
        <v>40483.002974537034</v>
      </c>
      <c r="C355">
        <v>4375.7373047000001</v>
      </c>
      <c r="D355">
        <v>3102.9997558999999</v>
      </c>
      <c r="E355">
        <v>5696.7109375</v>
      </c>
      <c r="F355">
        <v>1867.4205322</v>
      </c>
      <c r="G355">
        <v>80</v>
      </c>
      <c r="H355">
        <v>79.734924316000004</v>
      </c>
      <c r="I355">
        <v>50</v>
      </c>
      <c r="J355">
        <v>15.272038459999999</v>
      </c>
      <c r="K355">
        <v>0</v>
      </c>
      <c r="L355">
        <v>2400</v>
      </c>
      <c r="M355">
        <v>2400</v>
      </c>
      <c r="N355">
        <v>0</v>
      </c>
    </row>
    <row r="356" spans="1:14" x14ac:dyDescent="0.25">
      <c r="A356">
        <v>184.00592399999999</v>
      </c>
      <c r="B356" s="1">
        <f>DATE(2010,11,1) + TIME(0,8,31)</f>
        <v>40483.005914351852</v>
      </c>
      <c r="C356">
        <v>3910.4172362999998</v>
      </c>
      <c r="D356">
        <v>2637.3393554999998</v>
      </c>
      <c r="E356">
        <v>6343.0170897999997</v>
      </c>
      <c r="F356">
        <v>2513.8022461</v>
      </c>
      <c r="G356">
        <v>80</v>
      </c>
      <c r="H356">
        <v>79.666946410999998</v>
      </c>
      <c r="I356">
        <v>50</v>
      </c>
      <c r="J356">
        <v>15.452222824</v>
      </c>
      <c r="K356">
        <v>0</v>
      </c>
      <c r="L356">
        <v>2400</v>
      </c>
      <c r="M356">
        <v>2400</v>
      </c>
      <c r="N356">
        <v>0</v>
      </c>
    </row>
    <row r="357" spans="1:14" x14ac:dyDescent="0.25">
      <c r="A357">
        <v>184.01021900000001</v>
      </c>
      <c r="B357" s="1">
        <f>DATE(2010,11,1) + TIME(0,14,42)</f>
        <v>40483.010208333333</v>
      </c>
      <c r="C357">
        <v>3530.4726562000001</v>
      </c>
      <c r="D357">
        <v>2257.3188476999999</v>
      </c>
      <c r="E357">
        <v>6953.3637694999998</v>
      </c>
      <c r="F357">
        <v>3133.6853027000002</v>
      </c>
      <c r="G357">
        <v>80</v>
      </c>
      <c r="H357">
        <v>79.611396790000001</v>
      </c>
      <c r="I357">
        <v>50</v>
      </c>
      <c r="J357">
        <v>15.681163787999999</v>
      </c>
      <c r="K357">
        <v>0</v>
      </c>
      <c r="L357">
        <v>2400</v>
      </c>
      <c r="M357">
        <v>2400</v>
      </c>
      <c r="N357">
        <v>0</v>
      </c>
    </row>
    <row r="358" spans="1:14" x14ac:dyDescent="0.25">
      <c r="A358">
        <v>184.01682600000001</v>
      </c>
      <c r="B358" s="1">
        <f>DATE(2010,11,1) + TIME(0,24,13)</f>
        <v>40483.016817129632</v>
      </c>
      <c r="C358">
        <v>3188.8149414</v>
      </c>
      <c r="D358">
        <v>1915.7827147999999</v>
      </c>
      <c r="E358">
        <v>7528.7363280999998</v>
      </c>
      <c r="F358">
        <v>3730.4252929999998</v>
      </c>
      <c r="G358">
        <v>80</v>
      </c>
      <c r="H358">
        <v>79.561286925999994</v>
      </c>
      <c r="I358">
        <v>50</v>
      </c>
      <c r="J358">
        <v>15.994592666999999</v>
      </c>
      <c r="K358">
        <v>0</v>
      </c>
      <c r="L358">
        <v>2400</v>
      </c>
      <c r="M358">
        <v>2400</v>
      </c>
      <c r="N358">
        <v>0</v>
      </c>
    </row>
    <row r="359" spans="1:14" x14ac:dyDescent="0.25">
      <c r="A359">
        <v>184.02749</v>
      </c>
      <c r="B359" s="1">
        <f>DATE(2010,11,1) + TIME(0,39,35)</f>
        <v>40483.027488425927</v>
      </c>
      <c r="C359">
        <v>2858.3298340000001</v>
      </c>
      <c r="D359">
        <v>1585.6213379000001</v>
      </c>
      <c r="E359">
        <v>8071.7412108999997</v>
      </c>
      <c r="F359">
        <v>4311.2895508000001</v>
      </c>
      <c r="G359">
        <v>80</v>
      </c>
      <c r="H359">
        <v>79.512481688999998</v>
      </c>
      <c r="I359">
        <v>50</v>
      </c>
      <c r="J359">
        <v>16.455770492999999</v>
      </c>
      <c r="K359">
        <v>0</v>
      </c>
      <c r="L359">
        <v>2400</v>
      </c>
      <c r="M359">
        <v>2400</v>
      </c>
      <c r="N359">
        <v>0</v>
      </c>
    </row>
    <row r="360" spans="1:14" x14ac:dyDescent="0.25">
      <c r="A360">
        <v>184.04530199999999</v>
      </c>
      <c r="B360" s="1">
        <f>DATE(2010,11,1) + TIME(1,5,14)</f>
        <v>40483.045300925929</v>
      </c>
      <c r="C360">
        <v>2525.2819823999998</v>
      </c>
      <c r="D360">
        <v>1253.1060791</v>
      </c>
      <c r="E360">
        <v>8580.4492188000004</v>
      </c>
      <c r="F360">
        <v>4882.6791991999999</v>
      </c>
      <c r="G360">
        <v>80</v>
      </c>
      <c r="H360">
        <v>79.462684631000002</v>
      </c>
      <c r="I360">
        <v>50</v>
      </c>
      <c r="J360">
        <v>17.171060562000001</v>
      </c>
      <c r="K360">
        <v>0</v>
      </c>
      <c r="L360">
        <v>2400</v>
      </c>
      <c r="M360">
        <v>2400</v>
      </c>
      <c r="N360">
        <v>0</v>
      </c>
    </row>
    <row r="361" spans="1:14" x14ac:dyDescent="0.25">
      <c r="A361">
        <v>184.06990500000001</v>
      </c>
      <c r="B361" s="1">
        <f>DATE(2010,11,1) + TIME(1,40,39)</f>
        <v>40483.069895833331</v>
      </c>
      <c r="C361">
        <v>2230.7055664</v>
      </c>
      <c r="D361">
        <v>959.13342284999999</v>
      </c>
      <c r="E361">
        <v>8985.2861327999999</v>
      </c>
      <c r="F361">
        <v>5369.5874022999997</v>
      </c>
      <c r="G361">
        <v>80</v>
      </c>
      <c r="H361">
        <v>79.417610167999996</v>
      </c>
      <c r="I361">
        <v>50</v>
      </c>
      <c r="J361">
        <v>18.102909088000001</v>
      </c>
      <c r="K361">
        <v>0</v>
      </c>
      <c r="L361">
        <v>2400</v>
      </c>
      <c r="M361">
        <v>2400</v>
      </c>
      <c r="N361">
        <v>0</v>
      </c>
    </row>
    <row r="362" spans="1:14" x14ac:dyDescent="0.25">
      <c r="A362">
        <v>184.09607800000001</v>
      </c>
      <c r="B362" s="1">
        <f>DATE(2010,11,1) + TIME(2,18,21)</f>
        <v>40483.096076388887</v>
      </c>
      <c r="C362">
        <v>2007.3350829999999</v>
      </c>
      <c r="D362">
        <v>736.26123046999999</v>
      </c>
      <c r="E362">
        <v>9257.7900391000003</v>
      </c>
      <c r="F362">
        <v>5723.7924805000002</v>
      </c>
      <c r="G362">
        <v>80</v>
      </c>
      <c r="H362">
        <v>79.382247925000001</v>
      </c>
      <c r="I362">
        <v>50</v>
      </c>
      <c r="J362">
        <v>19.050540924</v>
      </c>
      <c r="K362">
        <v>0</v>
      </c>
      <c r="L362">
        <v>2400</v>
      </c>
      <c r="M362">
        <v>2400</v>
      </c>
      <c r="N362">
        <v>0</v>
      </c>
    </row>
    <row r="363" spans="1:14" x14ac:dyDescent="0.25">
      <c r="A363">
        <v>184.12352100000001</v>
      </c>
      <c r="B363" s="1">
        <f>DATE(2010,11,1) + TIME(2,57,52)</f>
        <v>40483.123518518521</v>
      </c>
      <c r="C363">
        <v>1827.7281493999999</v>
      </c>
      <c r="D363">
        <v>557.04168701000003</v>
      </c>
      <c r="E363">
        <v>9450.3203125</v>
      </c>
      <c r="F363">
        <v>5996.2768555000002</v>
      </c>
      <c r="G363">
        <v>80</v>
      </c>
      <c r="H363">
        <v>79.352752686000002</v>
      </c>
      <c r="I363">
        <v>50</v>
      </c>
      <c r="J363">
        <v>20.005645752</v>
      </c>
      <c r="K363">
        <v>0</v>
      </c>
      <c r="L363">
        <v>2400</v>
      </c>
      <c r="M363">
        <v>2400</v>
      </c>
      <c r="N363">
        <v>0</v>
      </c>
    </row>
    <row r="364" spans="1:14" x14ac:dyDescent="0.25">
      <c r="A364">
        <v>184.15211400000001</v>
      </c>
      <c r="B364" s="1">
        <f>DATE(2010,11,1) + TIME(3,39,2)</f>
        <v>40483.152106481481</v>
      </c>
      <c r="C364">
        <v>1676.5383300999999</v>
      </c>
      <c r="D364">
        <v>406.14337158000001</v>
      </c>
      <c r="E364">
        <v>9591.3339844000002</v>
      </c>
      <c r="F364">
        <v>6215.0253905999998</v>
      </c>
      <c r="G364">
        <v>80</v>
      </c>
      <c r="H364">
        <v>79.326965332</v>
      </c>
      <c r="I364">
        <v>50</v>
      </c>
      <c r="J364">
        <v>20.965328217</v>
      </c>
      <c r="K364">
        <v>0</v>
      </c>
      <c r="L364">
        <v>2400</v>
      </c>
      <c r="M364">
        <v>2400</v>
      </c>
      <c r="N364">
        <v>0</v>
      </c>
    </row>
    <row r="365" spans="1:14" x14ac:dyDescent="0.25">
      <c r="A365">
        <v>184.18179900000001</v>
      </c>
      <c r="B365" s="1">
        <f>DATE(2010,11,1) + TIME(4,21,47)</f>
        <v>40483.181793981479</v>
      </c>
      <c r="C365">
        <v>1544.7670897999999</v>
      </c>
      <c r="D365">
        <v>274.58471680000002</v>
      </c>
      <c r="E365">
        <v>9697.4443358999997</v>
      </c>
      <c r="F365">
        <v>6396.3251952999999</v>
      </c>
      <c r="G365">
        <v>80</v>
      </c>
      <c r="H365">
        <v>79.303634643999999</v>
      </c>
      <c r="I365">
        <v>50</v>
      </c>
      <c r="J365">
        <v>21.926124572999999</v>
      </c>
      <c r="K365">
        <v>0</v>
      </c>
      <c r="L365">
        <v>2400</v>
      </c>
      <c r="M365">
        <v>2400</v>
      </c>
      <c r="N365">
        <v>0</v>
      </c>
    </row>
    <row r="366" spans="1:14" x14ac:dyDescent="0.25">
      <c r="A366">
        <v>184.21260899999999</v>
      </c>
      <c r="B366" s="1">
        <f>DATE(2010,11,1) + TIME(5,6,9)</f>
        <v>40483.212604166663</v>
      </c>
      <c r="C366">
        <v>1426.6245117000001</v>
      </c>
      <c r="D366">
        <v>156.59237671</v>
      </c>
      <c r="E366">
        <v>9778.9882811999996</v>
      </c>
      <c r="F366">
        <v>6550.5292969000002</v>
      </c>
      <c r="G366">
        <v>80</v>
      </c>
      <c r="H366">
        <v>79.281944275000001</v>
      </c>
      <c r="I366">
        <v>50</v>
      </c>
      <c r="J366">
        <v>22.887737273999999</v>
      </c>
      <c r="K366">
        <v>0</v>
      </c>
      <c r="L366">
        <v>2400</v>
      </c>
      <c r="M366">
        <v>2400</v>
      </c>
      <c r="N366">
        <v>0</v>
      </c>
    </row>
    <row r="367" spans="1:14" x14ac:dyDescent="0.25">
      <c r="A367">
        <v>184.244584</v>
      </c>
      <c r="B367" s="1">
        <f>DATE(2010,11,1) + TIME(5,52,12)</f>
        <v>40483.244583333333</v>
      </c>
      <c r="C367">
        <v>1318.3966064000001</v>
      </c>
      <c r="D367">
        <v>48.466308593999997</v>
      </c>
      <c r="E367">
        <v>9842.5976561999996</v>
      </c>
      <c r="F367">
        <v>6684.296875</v>
      </c>
      <c r="G367">
        <v>80</v>
      </c>
      <c r="H367">
        <v>79.261360167999996</v>
      </c>
      <c r="I367">
        <v>50</v>
      </c>
      <c r="J367">
        <v>23.849536896</v>
      </c>
      <c r="K367">
        <v>0</v>
      </c>
      <c r="L367">
        <v>2400</v>
      </c>
      <c r="M367">
        <v>2400</v>
      </c>
      <c r="N367">
        <v>0</v>
      </c>
    </row>
    <row r="368" spans="1:14" x14ac:dyDescent="0.25">
      <c r="A368">
        <v>184.277781</v>
      </c>
      <c r="B368" s="1">
        <f>DATE(2010,11,1) + TIME(6,40,0)</f>
        <v>40483.277777777781</v>
      </c>
      <c r="C368">
        <v>1290.8966064000001</v>
      </c>
      <c r="D368">
        <v>101.32499695</v>
      </c>
      <c r="E368">
        <v>9892.7529297000001</v>
      </c>
      <c r="F368">
        <v>6802.1684569999998</v>
      </c>
      <c r="G368">
        <v>80</v>
      </c>
      <c r="H368">
        <v>79.251640320000007</v>
      </c>
      <c r="I368">
        <v>50</v>
      </c>
      <c r="J368">
        <v>24.811092377000001</v>
      </c>
      <c r="K368">
        <v>0</v>
      </c>
      <c r="L368">
        <v>2456.8493652000002</v>
      </c>
      <c r="M368">
        <v>2400</v>
      </c>
      <c r="N368">
        <v>0</v>
      </c>
    </row>
    <row r="369" spans="1:14" x14ac:dyDescent="0.25">
      <c r="A369">
        <v>184.312274</v>
      </c>
      <c r="B369" s="1">
        <f>DATE(2010,11,1) + TIME(7,29,40)</f>
        <v>40483.312268518515</v>
      </c>
      <c r="C369">
        <v>1230.1245117000001</v>
      </c>
      <c r="D369">
        <v>59.424449920999997</v>
      </c>
      <c r="E369">
        <v>9932.5302733999997</v>
      </c>
      <c r="F369">
        <v>6907.3334961</v>
      </c>
      <c r="G369">
        <v>80</v>
      </c>
      <c r="H369">
        <v>79.236946106000005</v>
      </c>
      <c r="I369">
        <v>50</v>
      </c>
      <c r="J369">
        <v>25.772621155</v>
      </c>
      <c r="K369">
        <v>0</v>
      </c>
      <c r="L369">
        <v>2400</v>
      </c>
      <c r="M369">
        <v>2400</v>
      </c>
      <c r="N369">
        <v>0</v>
      </c>
    </row>
    <row r="370" spans="1:14" x14ac:dyDescent="0.25">
      <c r="A370">
        <v>184.348129</v>
      </c>
      <c r="B370" s="1">
        <f>DATE(2010,11,1) + TIME(8,21,18)</f>
        <v>40483.348124999997</v>
      </c>
      <c r="C370">
        <v>1212.3076172000001</v>
      </c>
      <c r="D370">
        <v>101.32499695</v>
      </c>
      <c r="E370">
        <v>9964.1953125</v>
      </c>
      <c r="F370">
        <v>7002.0693358999997</v>
      </c>
      <c r="G370">
        <v>80</v>
      </c>
      <c r="H370">
        <v>79.227890015</v>
      </c>
      <c r="I370">
        <v>50</v>
      </c>
      <c r="J370">
        <v>26.732887267999999</v>
      </c>
      <c r="K370">
        <v>0</v>
      </c>
      <c r="L370">
        <v>2280.8081054999998</v>
      </c>
      <c r="M370">
        <v>2400</v>
      </c>
      <c r="N370">
        <v>0</v>
      </c>
    </row>
    <row r="371" spans="1:14" x14ac:dyDescent="0.25">
      <c r="A371">
        <v>184.38544999999999</v>
      </c>
      <c r="B371" s="1">
        <f>DATE(2010,11,1) + TIME(9,15,2)</f>
        <v>40483.385439814818</v>
      </c>
      <c r="C371">
        <v>1180.2341309000001</v>
      </c>
      <c r="D371">
        <v>101.32499695</v>
      </c>
      <c r="E371">
        <v>9989.4150391000003</v>
      </c>
      <c r="F371">
        <v>7088.1347655999998</v>
      </c>
      <c r="G371">
        <v>80</v>
      </c>
      <c r="H371">
        <v>79.216506957999997</v>
      </c>
      <c r="I371">
        <v>50</v>
      </c>
      <c r="J371">
        <v>27.691637039</v>
      </c>
      <c r="K371">
        <v>0</v>
      </c>
      <c r="L371">
        <v>2216.9440918</v>
      </c>
      <c r="M371">
        <v>2400</v>
      </c>
      <c r="N371">
        <v>0</v>
      </c>
    </row>
    <row r="372" spans="1:14" x14ac:dyDescent="0.25">
      <c r="A372">
        <v>184.42435699999999</v>
      </c>
      <c r="B372" s="1">
        <f>DATE(2010,11,1) + TIME(10,11,4)</f>
        <v>40483.424351851849</v>
      </c>
      <c r="C372">
        <v>1149.1519774999999</v>
      </c>
      <c r="D372">
        <v>101.32499695</v>
      </c>
      <c r="E372">
        <v>10009.430664</v>
      </c>
      <c r="F372">
        <v>7166.8618164</v>
      </c>
      <c r="G372">
        <v>80</v>
      </c>
      <c r="H372">
        <v>79.204933166999993</v>
      </c>
      <c r="I372">
        <v>50</v>
      </c>
      <c r="J372">
        <v>28.648736954</v>
      </c>
      <c r="K372">
        <v>0</v>
      </c>
      <c r="L372">
        <v>2156.2700195000002</v>
      </c>
      <c r="M372">
        <v>2400</v>
      </c>
      <c r="N372">
        <v>0</v>
      </c>
    </row>
    <row r="373" spans="1:14" x14ac:dyDescent="0.25">
      <c r="A373">
        <v>184.46498500000001</v>
      </c>
      <c r="B373" s="1">
        <f>DATE(2010,11,1) + TIME(11,9,34)</f>
        <v>40483.46497685185</v>
      </c>
      <c r="C373">
        <v>1119.5970459</v>
      </c>
      <c r="D373">
        <v>101.32499695</v>
      </c>
      <c r="E373">
        <v>10025.186523</v>
      </c>
      <c r="F373">
        <v>7239.28125</v>
      </c>
      <c r="G373">
        <v>80</v>
      </c>
      <c r="H373">
        <v>79.193214416999993</v>
      </c>
      <c r="I373">
        <v>50</v>
      </c>
      <c r="J373">
        <v>29.604003905999999</v>
      </c>
      <c r="K373">
        <v>0</v>
      </c>
      <c r="L373">
        <v>2099.1437987999998</v>
      </c>
      <c r="M373">
        <v>2400</v>
      </c>
      <c r="N373">
        <v>0</v>
      </c>
    </row>
    <row r="374" spans="1:14" x14ac:dyDescent="0.25">
      <c r="A374">
        <v>184.50748899999999</v>
      </c>
      <c r="B374" s="1">
        <f>DATE(2010,11,1) + TIME(12,10,47)</f>
        <v>40483.507488425923</v>
      </c>
      <c r="C374">
        <v>1091.4086914</v>
      </c>
      <c r="D374">
        <v>101.32499695</v>
      </c>
      <c r="E374">
        <v>10037.402344</v>
      </c>
      <c r="F374">
        <v>7306.2045897999997</v>
      </c>
      <c r="G374">
        <v>80</v>
      </c>
      <c r="H374">
        <v>79.181320189999994</v>
      </c>
      <c r="I374">
        <v>50</v>
      </c>
      <c r="J374">
        <v>30.557382583999999</v>
      </c>
      <c r="K374">
        <v>0</v>
      </c>
      <c r="L374">
        <v>2044.9819336</v>
      </c>
      <c r="M374">
        <v>2400</v>
      </c>
      <c r="N374">
        <v>0</v>
      </c>
    </row>
    <row r="375" spans="1:14" x14ac:dyDescent="0.25">
      <c r="A375">
        <v>184.552041</v>
      </c>
      <c r="B375" s="1">
        <f>DATE(2010,11,1) + TIME(13,14,56)</f>
        <v>40483.552037037036</v>
      </c>
      <c r="C375">
        <v>1064.4066161999999</v>
      </c>
      <c r="D375">
        <v>101.32499695</v>
      </c>
      <c r="E375">
        <v>10046.65625</v>
      </c>
      <c r="F375">
        <v>7368.2773438000004</v>
      </c>
      <c r="G375">
        <v>80</v>
      </c>
      <c r="H375">
        <v>79.169204711999996</v>
      </c>
      <c r="I375">
        <v>50</v>
      </c>
      <c r="J375">
        <v>31.508502960000001</v>
      </c>
      <c r="K375">
        <v>0</v>
      </c>
      <c r="L375">
        <v>1993.3027344</v>
      </c>
      <c r="M375">
        <v>2400</v>
      </c>
      <c r="N375">
        <v>0</v>
      </c>
    </row>
    <row r="376" spans="1:14" x14ac:dyDescent="0.25">
      <c r="A376">
        <v>184.598848</v>
      </c>
      <c r="B376" s="1">
        <f>DATE(2010,11,1) + TIME(14,22,20)</f>
        <v>40483.59884259259</v>
      </c>
      <c r="C376">
        <v>1038.4343262</v>
      </c>
      <c r="D376">
        <v>101.32499695</v>
      </c>
      <c r="E376">
        <v>10053.412109000001</v>
      </c>
      <c r="F376">
        <v>7426.0371094000002</v>
      </c>
      <c r="G376">
        <v>80</v>
      </c>
      <c r="H376">
        <v>79.156814574999999</v>
      </c>
      <c r="I376">
        <v>50</v>
      </c>
      <c r="J376">
        <v>32.457088470000002</v>
      </c>
      <c r="K376">
        <v>0</v>
      </c>
      <c r="L376">
        <v>1943.7314452999999</v>
      </c>
      <c r="M376">
        <v>2400</v>
      </c>
      <c r="N376">
        <v>0</v>
      </c>
    </row>
    <row r="377" spans="1:14" x14ac:dyDescent="0.25">
      <c r="A377">
        <v>184.64815100000001</v>
      </c>
      <c r="B377" s="1">
        <f>DATE(2010,11,1) + TIME(15,33,20)</f>
        <v>40483.648148148146</v>
      </c>
      <c r="C377">
        <v>1013.3621826</v>
      </c>
      <c r="D377">
        <v>101.32499695</v>
      </c>
      <c r="E377">
        <v>10058.037109000001</v>
      </c>
      <c r="F377">
        <v>7479.9262694999998</v>
      </c>
      <c r="G377">
        <v>80</v>
      </c>
      <c r="H377">
        <v>79.144096375000004</v>
      </c>
      <c r="I377">
        <v>50</v>
      </c>
      <c r="J377">
        <v>33.40296936</v>
      </c>
      <c r="K377">
        <v>0</v>
      </c>
      <c r="L377">
        <v>1895.9746094</v>
      </c>
      <c r="M377">
        <v>2400</v>
      </c>
      <c r="N377">
        <v>0</v>
      </c>
    </row>
    <row r="378" spans="1:14" x14ac:dyDescent="0.25">
      <c r="A378">
        <v>184.70023</v>
      </c>
      <c r="B378" s="1">
        <f>DATE(2010,11,1) + TIME(16,48,19)</f>
        <v>40483.700219907405</v>
      </c>
      <c r="C378">
        <v>989.08343506000006</v>
      </c>
      <c r="D378">
        <v>101.32499695</v>
      </c>
      <c r="E378">
        <v>10060.831055000001</v>
      </c>
      <c r="F378">
        <v>7530.3071289</v>
      </c>
      <c r="G378">
        <v>80</v>
      </c>
      <c r="H378">
        <v>79.130996703999998</v>
      </c>
      <c r="I378">
        <v>50</v>
      </c>
      <c r="J378">
        <v>34.345851897999999</v>
      </c>
      <c r="K378">
        <v>0</v>
      </c>
      <c r="L378">
        <v>1849.7988281</v>
      </c>
      <c r="M378">
        <v>2400</v>
      </c>
      <c r="N378">
        <v>0</v>
      </c>
    </row>
    <row r="379" spans="1:14" x14ac:dyDescent="0.25">
      <c r="A379">
        <v>184.75540899999999</v>
      </c>
      <c r="B379" s="1">
        <f>DATE(2010,11,1) + TIME(18,7,47)</f>
        <v>40483.75540509259</v>
      </c>
      <c r="C379">
        <v>965.50610352000001</v>
      </c>
      <c r="D379">
        <v>101.32499695</v>
      </c>
      <c r="E379">
        <v>10062.035156</v>
      </c>
      <c r="F379">
        <v>7577.484375</v>
      </c>
      <c r="G379">
        <v>80</v>
      </c>
      <c r="H379">
        <v>79.117454529</v>
      </c>
      <c r="I379">
        <v>50</v>
      </c>
      <c r="J379">
        <v>35.285400391000003</v>
      </c>
      <c r="K379">
        <v>0</v>
      </c>
      <c r="L379">
        <v>1805.0089111</v>
      </c>
      <c r="M379">
        <v>2400</v>
      </c>
      <c r="N379">
        <v>0</v>
      </c>
    </row>
    <row r="380" spans="1:14" x14ac:dyDescent="0.25">
      <c r="A380">
        <v>184.814076</v>
      </c>
      <c r="B380" s="1">
        <f>DATE(2010,11,1) + TIME(19,32,16)</f>
        <v>40483.814074074071</v>
      </c>
      <c r="C380">
        <v>942.54876708999996</v>
      </c>
      <c r="D380">
        <v>101.32499695</v>
      </c>
      <c r="E380">
        <v>10061.851562</v>
      </c>
      <c r="F380">
        <v>7621.7143555000002</v>
      </c>
      <c r="G380">
        <v>80</v>
      </c>
      <c r="H380">
        <v>79.103408813000001</v>
      </c>
      <c r="I380">
        <v>50</v>
      </c>
      <c r="J380">
        <v>36.221229553000001</v>
      </c>
      <c r="K380">
        <v>0</v>
      </c>
      <c r="L380">
        <v>1761.4359131000001</v>
      </c>
      <c r="M380">
        <v>2400</v>
      </c>
      <c r="N380">
        <v>0</v>
      </c>
    </row>
    <row r="381" spans="1:14" x14ac:dyDescent="0.25">
      <c r="A381">
        <v>184.87669399999999</v>
      </c>
      <c r="B381" s="1">
        <f>DATE(2010,11,1) + TIME(21,2,26)</f>
        <v>40483.876689814817</v>
      </c>
      <c r="C381">
        <v>920.13751220999995</v>
      </c>
      <c r="D381">
        <v>101.32499695</v>
      </c>
      <c r="E381">
        <v>10060.449219</v>
      </c>
      <c r="F381">
        <v>7663.2153319999998</v>
      </c>
      <c r="G381">
        <v>80</v>
      </c>
      <c r="H381">
        <v>79.088775635000005</v>
      </c>
      <c r="I381">
        <v>50</v>
      </c>
      <c r="J381">
        <v>37.152885437000002</v>
      </c>
      <c r="K381">
        <v>0</v>
      </c>
      <c r="L381">
        <v>1718.9285889</v>
      </c>
      <c r="M381">
        <v>2400</v>
      </c>
      <c r="N381">
        <v>0</v>
      </c>
    </row>
    <row r="382" spans="1:14" x14ac:dyDescent="0.25">
      <c r="A382">
        <v>184.94382100000001</v>
      </c>
      <c r="B382" s="1">
        <f>DATE(2010,11,1) + TIME(22,39,6)</f>
        <v>40483.943819444445</v>
      </c>
      <c r="C382">
        <v>898.20233154000005</v>
      </c>
      <c r="D382">
        <v>101.32499695</v>
      </c>
      <c r="E382">
        <v>10057.969727</v>
      </c>
      <c r="F382">
        <v>7702.1757811999996</v>
      </c>
      <c r="G382">
        <v>80</v>
      </c>
      <c r="H382">
        <v>79.073463439999998</v>
      </c>
      <c r="I382">
        <v>50</v>
      </c>
      <c r="J382">
        <v>38.079830170000001</v>
      </c>
      <c r="K382">
        <v>0</v>
      </c>
      <c r="L382">
        <v>1677.3464355000001</v>
      </c>
      <c r="M382">
        <v>2400</v>
      </c>
      <c r="N382">
        <v>0</v>
      </c>
    </row>
    <row r="383" spans="1:14" x14ac:dyDescent="0.25">
      <c r="A383">
        <v>185.016141</v>
      </c>
      <c r="B383" s="1">
        <f>DATE(2010,11,2) + TIME(0,23,14)</f>
        <v>40484.016134259262</v>
      </c>
      <c r="C383">
        <v>876.67578125</v>
      </c>
      <c r="D383">
        <v>101.32499695</v>
      </c>
      <c r="E383">
        <v>10054.530273</v>
      </c>
      <c r="F383">
        <v>7738.7524414</v>
      </c>
      <c r="G383">
        <v>80</v>
      </c>
      <c r="H383">
        <v>79.057357788000004</v>
      </c>
      <c r="I383">
        <v>50</v>
      </c>
      <c r="J383">
        <v>39.001407622999999</v>
      </c>
      <c r="K383">
        <v>0</v>
      </c>
      <c r="L383">
        <v>1636.5551757999999</v>
      </c>
      <c r="M383">
        <v>2400</v>
      </c>
      <c r="N383">
        <v>0</v>
      </c>
    </row>
    <row r="384" spans="1:14" x14ac:dyDescent="0.25">
      <c r="A384">
        <v>185.09449900000001</v>
      </c>
      <c r="B384" s="1">
        <f>DATE(2010,11,2) + TIME(2,16,4)</f>
        <v>40484.094490740739</v>
      </c>
      <c r="C384">
        <v>855.49078368999994</v>
      </c>
      <c r="D384">
        <v>101.32499695</v>
      </c>
      <c r="E384">
        <v>10050.232421999999</v>
      </c>
      <c r="F384">
        <v>7773.0786133000001</v>
      </c>
      <c r="G384">
        <v>80</v>
      </c>
      <c r="H384">
        <v>79.040328978999995</v>
      </c>
      <c r="I384">
        <v>50</v>
      </c>
      <c r="J384">
        <v>39.916835785000004</v>
      </c>
      <c r="K384">
        <v>0</v>
      </c>
      <c r="L384">
        <v>1596.4230957</v>
      </c>
      <c r="M384">
        <v>2400</v>
      </c>
      <c r="N384">
        <v>0</v>
      </c>
    </row>
    <row r="385" spans="1:14" x14ac:dyDescent="0.25">
      <c r="A385">
        <v>185.17995999999999</v>
      </c>
      <c r="B385" s="1">
        <f>DATE(2010,11,2) + TIME(4,19,8)</f>
        <v>40484.1799537037</v>
      </c>
      <c r="C385">
        <v>834.57910156000003</v>
      </c>
      <c r="D385">
        <v>101.32499695</v>
      </c>
      <c r="E385">
        <v>10045.148438</v>
      </c>
      <c r="F385">
        <v>7805.2607422000001</v>
      </c>
      <c r="G385">
        <v>80</v>
      </c>
      <c r="H385">
        <v>79.022209167</v>
      </c>
      <c r="I385">
        <v>50</v>
      </c>
      <c r="J385">
        <v>40.825355530000003</v>
      </c>
      <c r="K385">
        <v>0</v>
      </c>
      <c r="L385">
        <v>1556.8171387</v>
      </c>
      <c r="M385">
        <v>2400</v>
      </c>
      <c r="N385">
        <v>0</v>
      </c>
    </row>
    <row r="386" spans="1:14" x14ac:dyDescent="0.25">
      <c r="A386">
        <v>185.273864</v>
      </c>
      <c r="B386" s="1">
        <f>DATE(2010,11,2) + TIME(6,34,21)</f>
        <v>40484.273854166669</v>
      </c>
      <c r="C386">
        <v>813.87371826000003</v>
      </c>
      <c r="D386">
        <v>101.32499695</v>
      </c>
      <c r="E386">
        <v>10039.362305000001</v>
      </c>
      <c r="F386">
        <v>7835.3857422000001</v>
      </c>
      <c r="G386">
        <v>80</v>
      </c>
      <c r="H386">
        <v>79.002807617000002</v>
      </c>
      <c r="I386">
        <v>50</v>
      </c>
      <c r="J386">
        <v>41.725399017000001</v>
      </c>
      <c r="K386">
        <v>0</v>
      </c>
      <c r="L386">
        <v>1517.6070557</v>
      </c>
      <c r="M386">
        <v>2400</v>
      </c>
      <c r="N386">
        <v>0</v>
      </c>
    </row>
    <row r="387" spans="1:14" x14ac:dyDescent="0.25">
      <c r="A387">
        <v>185.37800200000001</v>
      </c>
      <c r="B387" s="1">
        <f>DATE(2010,11,2) + TIME(9,4,19)</f>
        <v>40484.377997685187</v>
      </c>
      <c r="C387">
        <v>793.29412841999999</v>
      </c>
      <c r="D387">
        <v>101.32499695</v>
      </c>
      <c r="E387">
        <v>10032.939453000001</v>
      </c>
      <c r="F387">
        <v>7863.5297852000003</v>
      </c>
      <c r="G387">
        <v>80</v>
      </c>
      <c r="H387">
        <v>78.981834411999998</v>
      </c>
      <c r="I387">
        <v>50</v>
      </c>
      <c r="J387">
        <v>42.615585326999998</v>
      </c>
      <c r="K387">
        <v>0</v>
      </c>
      <c r="L387">
        <v>1478.6378173999999</v>
      </c>
      <c r="M387">
        <v>2400</v>
      </c>
      <c r="N387">
        <v>0</v>
      </c>
    </row>
    <row r="388" spans="1:14" x14ac:dyDescent="0.25">
      <c r="A388">
        <v>185.49475000000001</v>
      </c>
      <c r="B388" s="1">
        <f>DATE(2010,11,2) + TIME(11,52,26)</f>
        <v>40484.494745370372</v>
      </c>
      <c r="C388">
        <v>772.75616454999999</v>
      </c>
      <c r="D388">
        <v>101.32499695</v>
      </c>
      <c r="E388">
        <v>10025.923828000001</v>
      </c>
      <c r="F388">
        <v>7889.7294922000001</v>
      </c>
      <c r="G388">
        <v>80</v>
      </c>
      <c r="H388">
        <v>78.958961486999996</v>
      </c>
      <c r="I388">
        <v>50</v>
      </c>
      <c r="J388">
        <v>43.493965148999997</v>
      </c>
      <c r="K388">
        <v>0</v>
      </c>
      <c r="L388">
        <v>1439.7476807</v>
      </c>
      <c r="M388">
        <v>2400</v>
      </c>
      <c r="N388">
        <v>0</v>
      </c>
    </row>
    <row r="389" spans="1:14" x14ac:dyDescent="0.25">
      <c r="A389">
        <v>185.61372299999999</v>
      </c>
      <c r="B389" s="1">
        <f>DATE(2010,11,2) + TIME(14,43,45)</f>
        <v>40484.613715277781</v>
      </c>
      <c r="C389">
        <v>754.05834961000005</v>
      </c>
      <c r="D389">
        <v>101.32499695</v>
      </c>
      <c r="E389">
        <v>10017.528319999999</v>
      </c>
      <c r="F389">
        <v>7910.3183594000002</v>
      </c>
      <c r="G389">
        <v>80</v>
      </c>
      <c r="H389">
        <v>78.936080933</v>
      </c>
      <c r="I389">
        <v>50</v>
      </c>
      <c r="J389">
        <v>44.279716491999999</v>
      </c>
      <c r="K389">
        <v>0</v>
      </c>
      <c r="L389">
        <v>1404.3491211</v>
      </c>
      <c r="M389">
        <v>2400</v>
      </c>
      <c r="N389">
        <v>0</v>
      </c>
    </row>
    <row r="390" spans="1:14" x14ac:dyDescent="0.25">
      <c r="A390">
        <v>185.73372599999999</v>
      </c>
      <c r="B390" s="1">
        <f>DATE(2010,11,2) + TIME(17,36,33)</f>
        <v>40484.733715277776</v>
      </c>
      <c r="C390">
        <v>737.15344238</v>
      </c>
      <c r="D390">
        <v>101.32499695</v>
      </c>
      <c r="E390">
        <v>10008.954102</v>
      </c>
      <c r="F390">
        <v>7926.8291016000003</v>
      </c>
      <c r="G390">
        <v>80</v>
      </c>
      <c r="H390">
        <v>78.913375853999995</v>
      </c>
      <c r="I390">
        <v>50</v>
      </c>
      <c r="J390">
        <v>44.974708557</v>
      </c>
      <c r="K390">
        <v>0</v>
      </c>
      <c r="L390">
        <v>1372.3433838000001</v>
      </c>
      <c r="M390">
        <v>2400</v>
      </c>
      <c r="N390">
        <v>0</v>
      </c>
    </row>
    <row r="391" spans="1:14" x14ac:dyDescent="0.25">
      <c r="A391">
        <v>185.85547399999999</v>
      </c>
      <c r="B391" s="1">
        <f>DATE(2010,11,2) + TIME(20,31,52)</f>
        <v>40484.855462962965</v>
      </c>
      <c r="C391">
        <v>721.74176024999997</v>
      </c>
      <c r="D391">
        <v>101.32499695</v>
      </c>
      <c r="E391">
        <v>10000.563477</v>
      </c>
      <c r="F391">
        <v>7940.2910155999998</v>
      </c>
      <c r="G391">
        <v>80</v>
      </c>
      <c r="H391">
        <v>78.890708923000005</v>
      </c>
      <c r="I391">
        <v>50</v>
      </c>
      <c r="J391">
        <v>45.591846466</v>
      </c>
      <c r="K391">
        <v>0</v>
      </c>
      <c r="L391">
        <v>1343.1611327999999</v>
      </c>
      <c r="M391">
        <v>2400</v>
      </c>
      <c r="N391">
        <v>0</v>
      </c>
    </row>
    <row r="392" spans="1:14" x14ac:dyDescent="0.25">
      <c r="A392">
        <v>185.97950900000001</v>
      </c>
      <c r="B392" s="1">
        <f>DATE(2010,11,2) + TIME(23,30,29)</f>
        <v>40484.979502314818</v>
      </c>
      <c r="C392">
        <v>707.60717772999999</v>
      </c>
      <c r="D392">
        <v>101.32499695</v>
      </c>
      <c r="E392">
        <v>9992.3554688000004</v>
      </c>
      <c r="F392">
        <v>7951.1967772999997</v>
      </c>
      <c r="G392">
        <v>80</v>
      </c>
      <c r="H392">
        <v>78.867973328000005</v>
      </c>
      <c r="I392">
        <v>50</v>
      </c>
      <c r="J392">
        <v>46.140800476000003</v>
      </c>
      <c r="K392">
        <v>0</v>
      </c>
      <c r="L392">
        <v>1316.3930664</v>
      </c>
      <c r="M392">
        <v>2400</v>
      </c>
      <c r="N392">
        <v>0</v>
      </c>
    </row>
    <row r="393" spans="1:14" x14ac:dyDescent="0.25">
      <c r="A393">
        <v>186.10637600000001</v>
      </c>
      <c r="B393" s="1">
        <f>DATE(2010,11,3) + TIME(2,33,10)</f>
        <v>40485.106365740743</v>
      </c>
      <c r="C393">
        <v>694.57818603999999</v>
      </c>
      <c r="D393">
        <v>101.32499695</v>
      </c>
      <c r="E393">
        <v>9984.2958983999997</v>
      </c>
      <c r="F393">
        <v>7959.9042969000002</v>
      </c>
      <c r="G393">
        <v>80</v>
      </c>
      <c r="H393">
        <v>78.845062256000006</v>
      </c>
      <c r="I393">
        <v>50</v>
      </c>
      <c r="J393">
        <v>46.629585265999999</v>
      </c>
      <c r="K393">
        <v>0</v>
      </c>
      <c r="L393">
        <v>1291.7147216999999</v>
      </c>
      <c r="M393">
        <v>2400</v>
      </c>
      <c r="N393">
        <v>0</v>
      </c>
    </row>
    <row r="394" spans="1:14" x14ac:dyDescent="0.25">
      <c r="A394">
        <v>186.23663300000001</v>
      </c>
      <c r="B394" s="1">
        <f>DATE(2010,11,3) + TIME(5,40,45)</f>
        <v>40485.236631944441</v>
      </c>
      <c r="C394">
        <v>682.51763916000004</v>
      </c>
      <c r="D394">
        <v>101.32499695</v>
      </c>
      <c r="E394">
        <v>9976.3320311999996</v>
      </c>
      <c r="F394">
        <v>7966.6796875</v>
      </c>
      <c r="G394">
        <v>80</v>
      </c>
      <c r="H394">
        <v>78.821884155000006</v>
      </c>
      <c r="I394">
        <v>50</v>
      </c>
      <c r="J394">
        <v>47.064907073999997</v>
      </c>
      <c r="K394">
        <v>0</v>
      </c>
      <c r="L394">
        <v>1268.8664550999999</v>
      </c>
      <c r="M394">
        <v>2400</v>
      </c>
      <c r="N394">
        <v>0</v>
      </c>
    </row>
    <row r="395" spans="1:14" x14ac:dyDescent="0.25">
      <c r="A395">
        <v>186.370845</v>
      </c>
      <c r="B395" s="1">
        <f>DATE(2010,11,3) + TIME(8,54,0)</f>
        <v>40485.370833333334</v>
      </c>
      <c r="C395">
        <v>671.31658935999997</v>
      </c>
      <c r="D395">
        <v>101.32499695</v>
      </c>
      <c r="E395">
        <v>9968.4013672000001</v>
      </c>
      <c r="F395">
        <v>7971.7177733999997</v>
      </c>
      <c r="G395">
        <v>80</v>
      </c>
      <c r="H395">
        <v>78.798332213999998</v>
      </c>
      <c r="I395">
        <v>50</v>
      </c>
      <c r="J395">
        <v>47.452415465999998</v>
      </c>
      <c r="K395">
        <v>0</v>
      </c>
      <c r="L395">
        <v>1247.6422118999999</v>
      </c>
      <c r="M395">
        <v>2400</v>
      </c>
      <c r="N395">
        <v>0</v>
      </c>
    </row>
    <row r="396" spans="1:14" x14ac:dyDescent="0.25">
      <c r="A396">
        <v>186.50966500000001</v>
      </c>
      <c r="B396" s="1">
        <f>DATE(2010,11,3) + TIME(12,13,55)</f>
        <v>40485.509664351855</v>
      </c>
      <c r="C396">
        <v>660.88311768000005</v>
      </c>
      <c r="D396">
        <v>101.32499695</v>
      </c>
      <c r="E396">
        <v>9960.4423827999999</v>
      </c>
      <c r="F396">
        <v>7975.1767577999999</v>
      </c>
      <c r="G396">
        <v>80</v>
      </c>
      <c r="H396">
        <v>78.774307250999996</v>
      </c>
      <c r="I396">
        <v>50</v>
      </c>
      <c r="J396">
        <v>47.797069550000003</v>
      </c>
      <c r="K396">
        <v>0</v>
      </c>
      <c r="L396">
        <v>1227.8676757999999</v>
      </c>
      <c r="M396">
        <v>2400</v>
      </c>
      <c r="N396">
        <v>0</v>
      </c>
    </row>
    <row r="397" spans="1:14" x14ac:dyDescent="0.25">
      <c r="A397">
        <v>186.653797</v>
      </c>
      <c r="B397" s="1">
        <f>DATE(2010,11,3) + TIME(15,41,28)</f>
        <v>40485.653796296298</v>
      </c>
      <c r="C397">
        <v>651.14270020000004</v>
      </c>
      <c r="D397">
        <v>101.32499695</v>
      </c>
      <c r="E397">
        <v>9952.3798827999999</v>
      </c>
      <c r="F397">
        <v>7977.1635741999999</v>
      </c>
      <c r="G397">
        <v>80</v>
      </c>
      <c r="H397">
        <v>78.749702454000001</v>
      </c>
      <c r="I397">
        <v>50</v>
      </c>
      <c r="J397">
        <v>48.103130341000004</v>
      </c>
      <c r="K397">
        <v>0</v>
      </c>
      <c r="L397">
        <v>1209.4019774999999</v>
      </c>
      <c r="M397">
        <v>2400</v>
      </c>
      <c r="N397">
        <v>0</v>
      </c>
    </row>
    <row r="398" spans="1:14" x14ac:dyDescent="0.25">
      <c r="A398">
        <v>186.804023</v>
      </c>
      <c r="B398" s="1">
        <f>DATE(2010,11,3) + TIME(19,17,47)</f>
        <v>40485.804016203707</v>
      </c>
      <c r="C398">
        <v>642.03411864999998</v>
      </c>
      <c r="D398">
        <v>101.32499695</v>
      </c>
      <c r="E398">
        <v>9944.1386719000002</v>
      </c>
      <c r="F398">
        <v>7977.7563477000003</v>
      </c>
      <c r="G398">
        <v>80</v>
      </c>
      <c r="H398">
        <v>78.724395752000007</v>
      </c>
      <c r="I398">
        <v>50</v>
      </c>
      <c r="J398">
        <v>48.374317169000001</v>
      </c>
      <c r="K398">
        <v>0</v>
      </c>
      <c r="L398">
        <v>1192.1289062000001</v>
      </c>
      <c r="M398">
        <v>2400</v>
      </c>
      <c r="N398">
        <v>0</v>
      </c>
    </row>
    <row r="399" spans="1:14" x14ac:dyDescent="0.25">
      <c r="A399">
        <v>186.96123700000001</v>
      </c>
      <c r="B399" s="1">
        <f>DATE(2010,11,3) + TIME(23,4,10)</f>
        <v>40485.961226851854</v>
      </c>
      <c r="C399">
        <v>633.50677489999998</v>
      </c>
      <c r="D399">
        <v>101.32499695</v>
      </c>
      <c r="E399">
        <v>9935.6347655999998</v>
      </c>
      <c r="F399">
        <v>7977.0048827999999</v>
      </c>
      <c r="G399">
        <v>80</v>
      </c>
      <c r="H399">
        <v>78.698265075999998</v>
      </c>
      <c r="I399">
        <v>50</v>
      </c>
      <c r="J399">
        <v>48.613918304000002</v>
      </c>
      <c r="K399">
        <v>0</v>
      </c>
      <c r="L399">
        <v>1175.9526367000001</v>
      </c>
      <c r="M399">
        <v>2400</v>
      </c>
      <c r="N399">
        <v>0</v>
      </c>
    </row>
    <row r="400" spans="1:14" x14ac:dyDescent="0.25">
      <c r="A400">
        <v>187.12646699999999</v>
      </c>
      <c r="B400" s="1">
        <f>DATE(2010,11,4) + TIME(3,2,6)</f>
        <v>40486.126458333332</v>
      </c>
      <c r="C400">
        <v>625.51910399999997</v>
      </c>
      <c r="D400">
        <v>101.32499695</v>
      </c>
      <c r="E400">
        <v>9926.7753905999998</v>
      </c>
      <c r="F400">
        <v>7974.9316405999998</v>
      </c>
      <c r="G400">
        <v>80</v>
      </c>
      <c r="H400">
        <v>78.671150208</v>
      </c>
      <c r="I400">
        <v>50</v>
      </c>
      <c r="J400">
        <v>48.824867249</v>
      </c>
      <c r="K400">
        <v>0</v>
      </c>
      <c r="L400">
        <v>1160.7939452999999</v>
      </c>
      <c r="M400">
        <v>2400</v>
      </c>
      <c r="N400">
        <v>0</v>
      </c>
    </row>
    <row r="401" spans="1:14" x14ac:dyDescent="0.25">
      <c r="A401">
        <v>187.30091999999999</v>
      </c>
      <c r="B401" s="1">
        <f>DATE(2010,11,4) + TIME(7,13,19)</f>
        <v>40486.30091435185</v>
      </c>
      <c r="C401">
        <v>618.03686522999999</v>
      </c>
      <c r="D401">
        <v>101.32499695</v>
      </c>
      <c r="E401">
        <v>9917.4638672000001</v>
      </c>
      <c r="F401">
        <v>7971.5400391000003</v>
      </c>
      <c r="G401">
        <v>80</v>
      </c>
      <c r="H401">
        <v>78.642898560000006</v>
      </c>
      <c r="I401">
        <v>50</v>
      </c>
      <c r="J401">
        <v>49.009788512999997</v>
      </c>
      <c r="K401">
        <v>0</v>
      </c>
      <c r="L401">
        <v>1146.5877685999999</v>
      </c>
      <c r="M401">
        <v>2400</v>
      </c>
      <c r="N401">
        <v>0</v>
      </c>
    </row>
    <row r="402" spans="1:14" x14ac:dyDescent="0.25">
      <c r="A402">
        <v>187.486029</v>
      </c>
      <c r="B402" s="1">
        <f>DATE(2010,11,4) + TIME(11,39,52)</f>
        <v>40486.486018518517</v>
      </c>
      <c r="C402">
        <v>611.03173828000001</v>
      </c>
      <c r="D402">
        <v>101.32499695</v>
      </c>
      <c r="E402">
        <v>9907.5898438000004</v>
      </c>
      <c r="F402">
        <v>7966.8081055000002</v>
      </c>
      <c r="G402">
        <v>80</v>
      </c>
      <c r="H402">
        <v>78.613311768000003</v>
      </c>
      <c r="I402">
        <v>50</v>
      </c>
      <c r="J402">
        <v>49.171066283999998</v>
      </c>
      <c r="K402">
        <v>0</v>
      </c>
      <c r="L402">
        <v>1133.2801514</v>
      </c>
      <c r="M402">
        <v>2400</v>
      </c>
      <c r="N402">
        <v>0</v>
      </c>
    </row>
    <row r="403" spans="1:14" x14ac:dyDescent="0.25">
      <c r="A403">
        <v>187.68202700000001</v>
      </c>
      <c r="B403" s="1">
        <f>DATE(2010,11,4) + TIME(16,22,7)</f>
        <v>40486.682025462964</v>
      </c>
      <c r="C403">
        <v>604.52374268000005</v>
      </c>
      <c r="D403">
        <v>101.32499695</v>
      </c>
      <c r="E403">
        <v>9896.9853516000003</v>
      </c>
      <c r="F403">
        <v>7960.6191405999998</v>
      </c>
      <c r="G403">
        <v>80</v>
      </c>
      <c r="H403">
        <v>78.582366942999997</v>
      </c>
      <c r="I403">
        <v>50</v>
      </c>
      <c r="J403">
        <v>49.309989928999997</v>
      </c>
      <c r="K403">
        <v>0</v>
      </c>
      <c r="L403">
        <v>1120.909668</v>
      </c>
      <c r="M403">
        <v>2400</v>
      </c>
      <c r="N403">
        <v>0</v>
      </c>
    </row>
    <row r="404" spans="1:14" x14ac:dyDescent="0.25">
      <c r="A404">
        <v>187.88956300000001</v>
      </c>
      <c r="B404" s="1">
        <f>DATE(2010,11,4) + TIME(21,20,58)</f>
        <v>40486.889560185184</v>
      </c>
      <c r="C404">
        <v>598.51446533000001</v>
      </c>
      <c r="D404">
        <v>101.32499695</v>
      </c>
      <c r="E404">
        <v>9885.6083983999997</v>
      </c>
      <c r="F404">
        <v>7952.9970702999999</v>
      </c>
      <c r="G404">
        <v>80</v>
      </c>
      <c r="H404">
        <v>78.549995421999995</v>
      </c>
      <c r="I404">
        <v>50</v>
      </c>
      <c r="J404">
        <v>49.428405761999997</v>
      </c>
      <c r="K404">
        <v>0</v>
      </c>
      <c r="L404">
        <v>1109.4785156</v>
      </c>
      <c r="M404">
        <v>2400</v>
      </c>
      <c r="N404">
        <v>0</v>
      </c>
    </row>
    <row r="405" spans="1:14" x14ac:dyDescent="0.25">
      <c r="A405">
        <v>188.110534</v>
      </c>
      <c r="B405" s="1">
        <f>DATE(2010,11,5) + TIME(2,39,10)</f>
        <v>40487.110532407409</v>
      </c>
      <c r="C405">
        <v>592.97631836000005</v>
      </c>
      <c r="D405">
        <v>101.32499695</v>
      </c>
      <c r="E405">
        <v>9873.4306641000003</v>
      </c>
      <c r="F405">
        <v>7943.9960938000004</v>
      </c>
      <c r="G405">
        <v>80</v>
      </c>
      <c r="H405">
        <v>78.515937804999993</v>
      </c>
      <c r="I405">
        <v>50</v>
      </c>
      <c r="J405">
        <v>49.528701781999999</v>
      </c>
      <c r="K405">
        <v>0</v>
      </c>
      <c r="L405">
        <v>1098.9333495999999</v>
      </c>
      <c r="M405">
        <v>2400</v>
      </c>
      <c r="N405">
        <v>0</v>
      </c>
    </row>
    <row r="406" spans="1:14" x14ac:dyDescent="0.25">
      <c r="A406">
        <v>188.34716900000001</v>
      </c>
      <c r="B406" s="1">
        <f>DATE(2010,11,5) + TIME(8,19,55)</f>
        <v>40487.34716435185</v>
      </c>
      <c r="C406">
        <v>587.88745116999996</v>
      </c>
      <c r="D406">
        <v>101.32499695</v>
      </c>
      <c r="E406">
        <v>9860.3310547000001</v>
      </c>
      <c r="F406">
        <v>7933.5634766000003</v>
      </c>
      <c r="G406">
        <v>80</v>
      </c>
      <c r="H406">
        <v>78.479911803999997</v>
      </c>
      <c r="I406">
        <v>50</v>
      </c>
      <c r="J406">
        <v>49.612972259999999</v>
      </c>
      <c r="K406">
        <v>0</v>
      </c>
      <c r="L406">
        <v>1089.2318115</v>
      </c>
      <c r="M406">
        <v>2400</v>
      </c>
      <c r="N406">
        <v>0</v>
      </c>
    </row>
    <row r="407" spans="1:14" x14ac:dyDescent="0.25">
      <c r="A407">
        <v>188.60222899999999</v>
      </c>
      <c r="B407" s="1">
        <f>DATE(2010,11,5) + TIME(14,27,12)</f>
        <v>40487.602222222224</v>
      </c>
      <c r="C407">
        <v>583.22924805000002</v>
      </c>
      <c r="D407">
        <v>101.32499695</v>
      </c>
      <c r="E407">
        <v>9846.1650391000003</v>
      </c>
      <c r="F407">
        <v>7921.6201172000001</v>
      </c>
      <c r="G407">
        <v>80</v>
      </c>
      <c r="H407">
        <v>78.441566467000001</v>
      </c>
      <c r="I407">
        <v>50</v>
      </c>
      <c r="J407">
        <v>49.683135986000003</v>
      </c>
      <c r="K407">
        <v>0</v>
      </c>
      <c r="L407">
        <v>1080.3380127</v>
      </c>
      <c r="M407">
        <v>2400</v>
      </c>
      <c r="N407">
        <v>0</v>
      </c>
    </row>
    <row r="408" spans="1:14" x14ac:dyDescent="0.25">
      <c r="A408">
        <v>188.86336900000001</v>
      </c>
      <c r="B408" s="1">
        <f>DATE(2010,11,5) + TIME(20,43,15)</f>
        <v>40487.863368055558</v>
      </c>
      <c r="C408">
        <v>579.18365478999999</v>
      </c>
      <c r="D408">
        <v>101.32499695</v>
      </c>
      <c r="E408">
        <v>9830.5449219000002</v>
      </c>
      <c r="F408">
        <v>7907.7529297000001</v>
      </c>
      <c r="G408">
        <v>80</v>
      </c>
      <c r="H408">
        <v>78.402542113999999</v>
      </c>
      <c r="I408">
        <v>50</v>
      </c>
      <c r="J408">
        <v>49.738269805999998</v>
      </c>
      <c r="K408">
        <v>0</v>
      </c>
      <c r="L408">
        <v>1072.6069336</v>
      </c>
      <c r="M408">
        <v>2400</v>
      </c>
      <c r="N408">
        <v>0</v>
      </c>
    </row>
    <row r="409" spans="1:14" x14ac:dyDescent="0.25">
      <c r="A409">
        <v>189.12540899999999</v>
      </c>
      <c r="B409" s="1">
        <f>DATE(2010,11,6) + TIME(3,0,35)</f>
        <v>40488.125405092593</v>
      </c>
      <c r="C409">
        <v>575.74237060999997</v>
      </c>
      <c r="D409">
        <v>101.32499695</v>
      </c>
      <c r="E409">
        <v>9814.3935547000001</v>
      </c>
      <c r="F409">
        <v>7892.9584961</v>
      </c>
      <c r="G409">
        <v>80</v>
      </c>
      <c r="H409">
        <v>78.363525390999996</v>
      </c>
      <c r="I409">
        <v>50</v>
      </c>
      <c r="J409">
        <v>49.780796051000003</v>
      </c>
      <c r="K409">
        <v>0</v>
      </c>
      <c r="L409">
        <v>1066.0192870999999</v>
      </c>
      <c r="M409">
        <v>2400</v>
      </c>
      <c r="N409">
        <v>0</v>
      </c>
    </row>
    <row r="410" spans="1:14" x14ac:dyDescent="0.25">
      <c r="A410">
        <v>189.389816</v>
      </c>
      <c r="B410" s="1">
        <f>DATE(2010,11,6) + TIME(9,21,20)</f>
        <v>40488.389814814815</v>
      </c>
      <c r="C410">
        <v>572.80456543000003</v>
      </c>
      <c r="D410">
        <v>101.32499695</v>
      </c>
      <c r="E410">
        <v>9798.2265625</v>
      </c>
      <c r="F410">
        <v>7877.8520508000001</v>
      </c>
      <c r="G410">
        <v>80</v>
      </c>
      <c r="H410">
        <v>78.324317932</v>
      </c>
      <c r="I410">
        <v>50</v>
      </c>
      <c r="J410">
        <v>49.813816070999998</v>
      </c>
      <c r="K410">
        <v>0</v>
      </c>
      <c r="L410">
        <v>1060.3809814000001</v>
      </c>
      <c r="M410">
        <v>2400</v>
      </c>
      <c r="N410">
        <v>0</v>
      </c>
    </row>
    <row r="411" spans="1:14" x14ac:dyDescent="0.25">
      <c r="A411">
        <v>189.65794399999999</v>
      </c>
      <c r="B411" s="1">
        <f>DATE(2010,11,6) + TIME(15,47,26)</f>
        <v>40488.657939814817</v>
      </c>
      <c r="C411">
        <v>570.2890625</v>
      </c>
      <c r="D411">
        <v>101.32499695</v>
      </c>
      <c r="E411">
        <v>9782.0410155999998</v>
      </c>
      <c r="F411">
        <v>7862.4985352000003</v>
      </c>
      <c r="G411">
        <v>80</v>
      </c>
      <c r="H411">
        <v>78.284729003999999</v>
      </c>
      <c r="I411">
        <v>50</v>
      </c>
      <c r="J411">
        <v>49.839553832999997</v>
      </c>
      <c r="K411">
        <v>0</v>
      </c>
      <c r="L411">
        <v>1055.5380858999999</v>
      </c>
      <c r="M411">
        <v>2400</v>
      </c>
      <c r="N411">
        <v>0</v>
      </c>
    </row>
    <row r="412" spans="1:14" x14ac:dyDescent="0.25">
      <c r="A412">
        <v>189.93105399999999</v>
      </c>
      <c r="B412" s="1">
        <f>DATE(2010,11,6) + TIME(22,20,43)</f>
        <v>40488.93105324074</v>
      </c>
      <c r="C412">
        <v>568.13116454999999</v>
      </c>
      <c r="D412">
        <v>101.32499695</v>
      </c>
      <c r="E412">
        <v>9765.7919922000001</v>
      </c>
      <c r="F412">
        <v>7846.9072266000003</v>
      </c>
      <c r="G412">
        <v>80</v>
      </c>
      <c r="H412">
        <v>78.244590759000005</v>
      </c>
      <c r="I412">
        <v>50</v>
      </c>
      <c r="J412">
        <v>49.859672545999999</v>
      </c>
      <c r="K412">
        <v>0</v>
      </c>
      <c r="L412">
        <v>1051.3682861</v>
      </c>
      <c r="M412">
        <v>2400</v>
      </c>
      <c r="N412">
        <v>0</v>
      </c>
    </row>
    <row r="413" spans="1:14" x14ac:dyDescent="0.25">
      <c r="A413">
        <v>190.21047899999999</v>
      </c>
      <c r="B413" s="1">
        <f>DATE(2010,11,7) + TIME(5,3,5)</f>
        <v>40489.210474537038</v>
      </c>
      <c r="C413">
        <v>566.27795409999999</v>
      </c>
      <c r="D413">
        <v>101.32499695</v>
      </c>
      <c r="E413">
        <v>9749.4365233999997</v>
      </c>
      <c r="F413">
        <v>7831.0737305000002</v>
      </c>
      <c r="G413">
        <v>80</v>
      </c>
      <c r="H413">
        <v>78.203727721999996</v>
      </c>
      <c r="I413">
        <v>50</v>
      </c>
      <c r="J413">
        <v>49.875431061</v>
      </c>
      <c r="K413">
        <v>0</v>
      </c>
      <c r="L413">
        <v>1047.7712402</v>
      </c>
      <c r="M413">
        <v>2400</v>
      </c>
      <c r="N413">
        <v>0</v>
      </c>
    </row>
    <row r="414" spans="1:14" x14ac:dyDescent="0.25">
      <c r="A414">
        <v>190.49759800000001</v>
      </c>
      <c r="B414" s="1">
        <f>DATE(2010,11,7) + TIME(11,56,32)</f>
        <v>40489.49759259259</v>
      </c>
      <c r="C414">
        <v>564.68615723000005</v>
      </c>
      <c r="D414">
        <v>101.32499695</v>
      </c>
      <c r="E414">
        <v>9732.9326172000001</v>
      </c>
      <c r="F414">
        <v>7814.9858397999997</v>
      </c>
      <c r="G414">
        <v>80</v>
      </c>
      <c r="H414">
        <v>78.161956786999994</v>
      </c>
      <c r="I414">
        <v>50</v>
      </c>
      <c r="J414">
        <v>49.887798308999997</v>
      </c>
      <c r="K414">
        <v>0</v>
      </c>
      <c r="L414">
        <v>1044.6646728999999</v>
      </c>
      <c r="M414">
        <v>2400</v>
      </c>
      <c r="N414">
        <v>0</v>
      </c>
    </row>
    <row r="415" spans="1:14" x14ac:dyDescent="0.25">
      <c r="A415">
        <v>190.79387700000001</v>
      </c>
      <c r="B415" s="1">
        <f>DATE(2010,11,7) + TIME(19,3,10)</f>
        <v>40489.793865740743</v>
      </c>
      <c r="C415">
        <v>563.31964111000002</v>
      </c>
      <c r="D415">
        <v>101.32499695</v>
      </c>
      <c r="E415">
        <v>9716.2382811999996</v>
      </c>
      <c r="F415">
        <v>7798.6269530999998</v>
      </c>
      <c r="G415">
        <v>80</v>
      </c>
      <c r="H415">
        <v>78.119094849000007</v>
      </c>
      <c r="I415">
        <v>50</v>
      </c>
      <c r="J415">
        <v>49.897518157999997</v>
      </c>
      <c r="K415">
        <v>0</v>
      </c>
      <c r="L415">
        <v>1041.9799805</v>
      </c>
      <c r="M415">
        <v>2400</v>
      </c>
      <c r="N415">
        <v>0</v>
      </c>
    </row>
    <row r="416" spans="1:14" x14ac:dyDescent="0.25">
      <c r="A416">
        <v>191.10092900000001</v>
      </c>
      <c r="B416" s="1">
        <f>DATE(2010,11,8) + TIME(2,25,20)</f>
        <v>40490.100925925923</v>
      </c>
      <c r="C416">
        <v>562.14807128999996</v>
      </c>
      <c r="D416">
        <v>101.32499695</v>
      </c>
      <c r="E416">
        <v>9699.3154297000001</v>
      </c>
      <c r="F416">
        <v>7781.9750977000003</v>
      </c>
      <c r="G416">
        <v>80</v>
      </c>
      <c r="H416">
        <v>78.074920653999996</v>
      </c>
      <c r="I416">
        <v>50</v>
      </c>
      <c r="J416">
        <v>49.905170441000003</v>
      </c>
      <c r="K416">
        <v>0</v>
      </c>
      <c r="L416">
        <v>1039.6593018000001</v>
      </c>
      <c r="M416">
        <v>2400</v>
      </c>
      <c r="N416">
        <v>0</v>
      </c>
    </row>
    <row r="417" spans="1:14" x14ac:dyDescent="0.25">
      <c r="A417">
        <v>191.42057</v>
      </c>
      <c r="B417" s="1">
        <f>DATE(2010,11,8) + TIME(10,5,37)</f>
        <v>40490.420567129629</v>
      </c>
      <c r="C417">
        <v>561.14562988</v>
      </c>
      <c r="D417">
        <v>101.32499695</v>
      </c>
      <c r="E417">
        <v>9682.1201172000001</v>
      </c>
      <c r="F417">
        <v>7765.0024414</v>
      </c>
      <c r="G417">
        <v>80</v>
      </c>
      <c r="H417">
        <v>78.029205321999996</v>
      </c>
      <c r="I417">
        <v>50</v>
      </c>
      <c r="J417">
        <v>49.911209106000001</v>
      </c>
      <c r="K417">
        <v>0</v>
      </c>
      <c r="L417">
        <v>1037.6534423999999</v>
      </c>
      <c r="M417">
        <v>2400</v>
      </c>
      <c r="N417">
        <v>0</v>
      </c>
    </row>
    <row r="418" spans="1:14" x14ac:dyDescent="0.25">
      <c r="A418">
        <v>191.75488899999999</v>
      </c>
      <c r="B418" s="1">
        <f>DATE(2010,11,8) + TIME(18,7,2)</f>
        <v>40490.754884259259</v>
      </c>
      <c r="C418">
        <v>560.29016113</v>
      </c>
      <c r="D418">
        <v>101.32499695</v>
      </c>
      <c r="E418">
        <v>9664.609375</v>
      </c>
      <c r="F418">
        <v>7747.6752930000002</v>
      </c>
      <c r="G418">
        <v>80</v>
      </c>
      <c r="H418">
        <v>77.981697083</v>
      </c>
      <c r="I418">
        <v>50</v>
      </c>
      <c r="J418">
        <v>49.915985106999997</v>
      </c>
      <c r="K418">
        <v>0</v>
      </c>
      <c r="L418">
        <v>1035.9199219</v>
      </c>
      <c r="M418">
        <v>2400</v>
      </c>
      <c r="N418">
        <v>0</v>
      </c>
    </row>
    <row r="419" spans="1:14" x14ac:dyDescent="0.25">
      <c r="A419">
        <v>192.10633000000001</v>
      </c>
      <c r="B419" s="1">
        <f>DATE(2010,11,9) + TIME(2,33,6)</f>
        <v>40491.106319444443</v>
      </c>
      <c r="C419">
        <v>559.56256103999999</v>
      </c>
      <c r="D419">
        <v>101.32499695</v>
      </c>
      <c r="E419">
        <v>9646.7304688000004</v>
      </c>
      <c r="F419">
        <v>7729.9506836</v>
      </c>
      <c r="G419">
        <v>80</v>
      </c>
      <c r="H419">
        <v>77.932090759000005</v>
      </c>
      <c r="I419">
        <v>50</v>
      </c>
      <c r="J419">
        <v>49.919780731000003</v>
      </c>
      <c r="K419">
        <v>0</v>
      </c>
      <c r="L419">
        <v>1034.4216309000001</v>
      </c>
      <c r="M419">
        <v>2400</v>
      </c>
      <c r="N419">
        <v>0</v>
      </c>
    </row>
    <row r="420" spans="1:14" x14ac:dyDescent="0.25">
      <c r="A420">
        <v>192.477811</v>
      </c>
      <c r="B420" s="1">
        <f>DATE(2010,11,9) + TIME(11,28,2)</f>
        <v>40491.477800925924</v>
      </c>
      <c r="C420">
        <v>558.94610595999995</v>
      </c>
      <c r="D420">
        <v>101.32499695</v>
      </c>
      <c r="E420">
        <v>9628.4238280999998</v>
      </c>
      <c r="F420">
        <v>7711.7768555000002</v>
      </c>
      <c r="G420">
        <v>80</v>
      </c>
      <c r="H420">
        <v>77.880035399999997</v>
      </c>
      <c r="I420">
        <v>50</v>
      </c>
      <c r="J420">
        <v>49.92281723</v>
      </c>
      <c r="K420">
        <v>0</v>
      </c>
      <c r="L420">
        <v>1033.1263428</v>
      </c>
      <c r="M420">
        <v>2400</v>
      </c>
      <c r="N420">
        <v>0</v>
      </c>
    </row>
    <row r="421" spans="1:14" x14ac:dyDescent="0.25">
      <c r="A421">
        <v>192.86863399999999</v>
      </c>
      <c r="B421" s="1">
        <f>DATE(2010,11,9) + TIME(20,50,49)</f>
        <v>40491.868622685186</v>
      </c>
      <c r="C421">
        <v>558.42877196999996</v>
      </c>
      <c r="D421">
        <v>101.32499695</v>
      </c>
      <c r="E421">
        <v>9609.6396483999997</v>
      </c>
      <c r="F421">
        <v>7693.1064452999999</v>
      </c>
      <c r="G421">
        <v>80</v>
      </c>
      <c r="H421">
        <v>77.825599670000003</v>
      </c>
      <c r="I421">
        <v>50</v>
      </c>
      <c r="J421">
        <v>49.925224303999997</v>
      </c>
      <c r="K421">
        <v>0</v>
      </c>
      <c r="L421">
        <v>1032.0128173999999</v>
      </c>
      <c r="M421">
        <v>2400</v>
      </c>
      <c r="N421">
        <v>0</v>
      </c>
    </row>
    <row r="422" spans="1:14" x14ac:dyDescent="0.25">
      <c r="A422">
        <v>193.28159600000001</v>
      </c>
      <c r="B422" s="1">
        <f>DATE(2010,11,10) + TIME(6,45,29)</f>
        <v>40492.281585648147</v>
      </c>
      <c r="C422">
        <v>557.99737548999997</v>
      </c>
      <c r="D422">
        <v>101.32499695</v>
      </c>
      <c r="E422">
        <v>9590.4648438000004</v>
      </c>
      <c r="F422">
        <v>7674.0336914</v>
      </c>
      <c r="G422">
        <v>80</v>
      </c>
      <c r="H422">
        <v>77.768463135000005</v>
      </c>
      <c r="I422">
        <v>50</v>
      </c>
      <c r="J422">
        <v>49.927165985000002</v>
      </c>
      <c r="K422">
        <v>0</v>
      </c>
      <c r="L422">
        <v>1031.0540771000001</v>
      </c>
      <c r="M422">
        <v>2400</v>
      </c>
      <c r="N422">
        <v>0</v>
      </c>
    </row>
    <row r="423" spans="1:14" x14ac:dyDescent="0.25">
      <c r="A423">
        <v>193.701829</v>
      </c>
      <c r="B423" s="1">
        <f>DATE(2010,11,10) + TIME(16,50,38)</f>
        <v>40492.701828703706</v>
      </c>
      <c r="C423">
        <v>557.64263916000004</v>
      </c>
      <c r="D423">
        <v>101.32499695</v>
      </c>
      <c r="E423">
        <v>9570.9609375</v>
      </c>
      <c r="F423">
        <v>7654.6176758000001</v>
      </c>
      <c r="G423">
        <v>80</v>
      </c>
      <c r="H423">
        <v>77.710342406999999</v>
      </c>
      <c r="I423">
        <v>50</v>
      </c>
      <c r="J423">
        <v>49.928634643999999</v>
      </c>
      <c r="K423">
        <v>0</v>
      </c>
      <c r="L423">
        <v>1030.2441406</v>
      </c>
      <c r="M423">
        <v>2400</v>
      </c>
      <c r="N423">
        <v>0</v>
      </c>
    </row>
    <row r="424" spans="1:14" x14ac:dyDescent="0.25">
      <c r="A424">
        <v>194.12337500000001</v>
      </c>
      <c r="B424" s="1">
        <f>DATE(2010,11,11) + TIME(2,57,39)</f>
        <v>40493.123368055552</v>
      </c>
      <c r="C424">
        <v>557.35559081999997</v>
      </c>
      <c r="D424">
        <v>101.32499695</v>
      </c>
      <c r="E424">
        <v>9551.7685547000001</v>
      </c>
      <c r="F424">
        <v>7635.5039061999996</v>
      </c>
      <c r="G424">
        <v>80</v>
      </c>
      <c r="H424">
        <v>77.651947020999998</v>
      </c>
      <c r="I424">
        <v>50</v>
      </c>
      <c r="J424">
        <v>49.929786682</v>
      </c>
      <c r="K424">
        <v>0</v>
      </c>
      <c r="L424">
        <v>1029.5626221</v>
      </c>
      <c r="M424">
        <v>2400</v>
      </c>
      <c r="N424">
        <v>0</v>
      </c>
    </row>
    <row r="425" spans="1:14" x14ac:dyDescent="0.25">
      <c r="A425">
        <v>194.54853800000001</v>
      </c>
      <c r="B425" s="1">
        <f>DATE(2010,11,11) + TIME(13,9,53)</f>
        <v>40493.548530092594</v>
      </c>
      <c r="C425">
        <v>557.12408446999996</v>
      </c>
      <c r="D425">
        <v>101.32499695</v>
      </c>
      <c r="E425">
        <v>9533.1416016000003</v>
      </c>
      <c r="F425">
        <v>7616.9487305000002</v>
      </c>
      <c r="G425">
        <v>80</v>
      </c>
      <c r="H425">
        <v>77.593055724999999</v>
      </c>
      <c r="I425">
        <v>50</v>
      </c>
      <c r="J425">
        <v>49.930736541999998</v>
      </c>
      <c r="K425">
        <v>0</v>
      </c>
      <c r="L425">
        <v>1028.9822998</v>
      </c>
      <c r="M425">
        <v>2400</v>
      </c>
      <c r="N425">
        <v>0</v>
      </c>
    </row>
    <row r="426" spans="1:14" x14ac:dyDescent="0.25">
      <c r="A426">
        <v>194.979422</v>
      </c>
      <c r="B426" s="1">
        <f>DATE(2010,11,11) + TIME(23,30,22)</f>
        <v>40493.979421296295</v>
      </c>
      <c r="C426">
        <v>556.93572998000002</v>
      </c>
      <c r="D426">
        <v>101.32499695</v>
      </c>
      <c r="E426">
        <v>9515</v>
      </c>
      <c r="F426">
        <v>7598.8745116999999</v>
      </c>
      <c r="G426">
        <v>80</v>
      </c>
      <c r="H426">
        <v>77.533454895000006</v>
      </c>
      <c r="I426">
        <v>50</v>
      </c>
      <c r="J426">
        <v>49.931537628000001</v>
      </c>
      <c r="K426">
        <v>0</v>
      </c>
      <c r="L426">
        <v>1028.4794922000001</v>
      </c>
      <c r="M426">
        <v>2400</v>
      </c>
      <c r="N426">
        <v>0</v>
      </c>
    </row>
    <row r="427" spans="1:14" x14ac:dyDescent="0.25">
      <c r="A427">
        <v>195.41823299999999</v>
      </c>
      <c r="B427" s="1">
        <f>DATE(2010,11,12) + TIME(10,2,15)</f>
        <v>40494.418229166666</v>
      </c>
      <c r="C427">
        <v>556.78057861000002</v>
      </c>
      <c r="D427">
        <v>101.32499695</v>
      </c>
      <c r="E427">
        <v>9497.2509766000003</v>
      </c>
      <c r="F427">
        <v>7581.1875</v>
      </c>
      <c r="G427">
        <v>80</v>
      </c>
      <c r="H427">
        <v>77.472900390999996</v>
      </c>
      <c r="I427">
        <v>50</v>
      </c>
      <c r="J427">
        <v>49.932231903000002</v>
      </c>
      <c r="K427">
        <v>0</v>
      </c>
      <c r="L427">
        <v>1028.0351562000001</v>
      </c>
      <c r="M427">
        <v>2400</v>
      </c>
      <c r="N427">
        <v>0</v>
      </c>
    </row>
    <row r="428" spans="1:14" x14ac:dyDescent="0.25">
      <c r="A428">
        <v>195.86718400000001</v>
      </c>
      <c r="B428" s="1">
        <f>DATE(2010,11,12) + TIME(20,48,44)</f>
        <v>40494.867175925923</v>
      </c>
      <c r="C428">
        <v>556.65112305000002</v>
      </c>
      <c r="D428">
        <v>101.32499695</v>
      </c>
      <c r="E428">
        <v>9479.8017577999999</v>
      </c>
      <c r="F428">
        <v>7563.7998047000001</v>
      </c>
      <c r="G428">
        <v>80</v>
      </c>
      <c r="H428">
        <v>77.411148071</v>
      </c>
      <c r="I428">
        <v>50</v>
      </c>
      <c r="J428">
        <v>49.932834624999998</v>
      </c>
      <c r="K428">
        <v>0</v>
      </c>
      <c r="L428">
        <v>1027.6346435999999</v>
      </c>
      <c r="M428">
        <v>2400</v>
      </c>
      <c r="N428">
        <v>0</v>
      </c>
    </row>
    <row r="429" spans="1:14" x14ac:dyDescent="0.25">
      <c r="A429">
        <v>196.328596</v>
      </c>
      <c r="B429" s="1">
        <f>DATE(2010,11,13) + TIME(7,53,10)</f>
        <v>40495.328587962962</v>
      </c>
      <c r="C429">
        <v>556.54138183999999</v>
      </c>
      <c r="D429">
        <v>101.32499695</v>
      </c>
      <c r="E429">
        <v>9462.5703125</v>
      </c>
      <c r="F429">
        <v>7546.6264647999997</v>
      </c>
      <c r="G429">
        <v>80</v>
      </c>
      <c r="H429">
        <v>77.347938537999994</v>
      </c>
      <c r="I429">
        <v>50</v>
      </c>
      <c r="J429">
        <v>49.933372497999997</v>
      </c>
      <c r="K429">
        <v>0</v>
      </c>
      <c r="L429">
        <v>1027.2662353999999</v>
      </c>
      <c r="M429">
        <v>2400</v>
      </c>
      <c r="N429">
        <v>0</v>
      </c>
    </row>
    <row r="430" spans="1:14" x14ac:dyDescent="0.25">
      <c r="A430">
        <v>196.80499699999999</v>
      </c>
      <c r="B430" s="1">
        <f>DATE(2010,11,13) + TIME(19,19,11)</f>
        <v>40495.804988425924</v>
      </c>
      <c r="C430">
        <v>556.44665526999995</v>
      </c>
      <c r="D430">
        <v>101.32499695</v>
      </c>
      <c r="E430">
        <v>9445.4785155999998</v>
      </c>
      <c r="F430">
        <v>7529.5908202999999</v>
      </c>
      <c r="G430">
        <v>80</v>
      </c>
      <c r="H430">
        <v>77.282981872999997</v>
      </c>
      <c r="I430">
        <v>50</v>
      </c>
      <c r="J430">
        <v>49.933853149000001</v>
      </c>
      <c r="K430">
        <v>0</v>
      </c>
      <c r="L430">
        <v>1026.9204102000001</v>
      </c>
      <c r="M430">
        <v>2400</v>
      </c>
      <c r="N430">
        <v>0</v>
      </c>
    </row>
    <row r="431" spans="1:14" x14ac:dyDescent="0.25">
      <c r="A431">
        <v>197.29920300000001</v>
      </c>
      <c r="B431" s="1">
        <f>DATE(2010,11,14) + TIME(7,10,51)</f>
        <v>40496.299201388887</v>
      </c>
      <c r="C431">
        <v>556.36334228999999</v>
      </c>
      <c r="D431">
        <v>101.32499695</v>
      </c>
      <c r="E431">
        <v>9428.4482422000001</v>
      </c>
      <c r="F431">
        <v>7512.6176758000001</v>
      </c>
      <c r="G431">
        <v>80</v>
      </c>
      <c r="H431">
        <v>77.215972899999997</v>
      </c>
      <c r="I431">
        <v>50</v>
      </c>
      <c r="J431">
        <v>49.93429184</v>
      </c>
      <c r="K431">
        <v>0</v>
      </c>
      <c r="L431">
        <v>1026.5893555</v>
      </c>
      <c r="M431">
        <v>2400</v>
      </c>
      <c r="N431">
        <v>0</v>
      </c>
    </row>
    <row r="432" spans="1:14" x14ac:dyDescent="0.25">
      <c r="A432">
        <v>197.81442200000001</v>
      </c>
      <c r="B432" s="1">
        <f>DATE(2010,11,14) + TIME(19,32,46)</f>
        <v>40496.814421296294</v>
      </c>
      <c r="C432">
        <v>556.28839111000002</v>
      </c>
      <c r="D432">
        <v>101.32499695</v>
      </c>
      <c r="E432">
        <v>9411.40625</v>
      </c>
      <c r="F432">
        <v>7495.6313477000003</v>
      </c>
      <c r="G432">
        <v>80</v>
      </c>
      <c r="H432">
        <v>77.146537781000006</v>
      </c>
      <c r="I432">
        <v>50</v>
      </c>
      <c r="J432">
        <v>49.934692382999998</v>
      </c>
      <c r="K432">
        <v>0</v>
      </c>
      <c r="L432">
        <v>1026.2666016000001</v>
      </c>
      <c r="M432">
        <v>2400</v>
      </c>
      <c r="N432">
        <v>0</v>
      </c>
    </row>
    <row r="433" spans="1:14" x14ac:dyDescent="0.25">
      <c r="A433">
        <v>198.35439299999999</v>
      </c>
      <c r="B433" s="1">
        <f>DATE(2010,11,15) + TIME(8,30,19)</f>
        <v>40497.354386574072</v>
      </c>
      <c r="C433">
        <v>556.21936034999999</v>
      </c>
      <c r="D433">
        <v>101.32499695</v>
      </c>
      <c r="E433">
        <v>9394.2744141000003</v>
      </c>
      <c r="F433">
        <v>7478.5551758000001</v>
      </c>
      <c r="G433">
        <v>80</v>
      </c>
      <c r="H433">
        <v>77.074264525999993</v>
      </c>
      <c r="I433">
        <v>50</v>
      </c>
      <c r="J433">
        <v>49.935062408</v>
      </c>
      <c r="K433">
        <v>0</v>
      </c>
      <c r="L433">
        <v>1025.9464111</v>
      </c>
      <c r="M433">
        <v>2400</v>
      </c>
      <c r="N433">
        <v>0</v>
      </c>
    </row>
    <row r="434" spans="1:14" x14ac:dyDescent="0.25">
      <c r="A434">
        <v>198.92356699999999</v>
      </c>
      <c r="B434" s="1">
        <f>DATE(2010,11,15) + TIME(22,9,56)</f>
        <v>40497.923564814817</v>
      </c>
      <c r="C434">
        <v>556.15417479999996</v>
      </c>
      <c r="D434">
        <v>101.32499695</v>
      </c>
      <c r="E434">
        <v>9376.9697266000003</v>
      </c>
      <c r="F434">
        <v>7461.3066405999998</v>
      </c>
      <c r="G434">
        <v>80</v>
      </c>
      <c r="H434">
        <v>76.998664856000005</v>
      </c>
      <c r="I434">
        <v>50</v>
      </c>
      <c r="J434">
        <v>49.935413361000002</v>
      </c>
      <c r="K434">
        <v>0</v>
      </c>
      <c r="L434">
        <v>1025.6235352000001</v>
      </c>
      <c r="M434">
        <v>2400</v>
      </c>
      <c r="N434">
        <v>0</v>
      </c>
    </row>
    <row r="435" spans="1:14" x14ac:dyDescent="0.25">
      <c r="A435">
        <v>199.508003</v>
      </c>
      <c r="B435" s="1">
        <f>DATE(2010,11,16) + TIME(12,11,31)</f>
        <v>40498.507997685185</v>
      </c>
      <c r="C435">
        <v>556.08459473000005</v>
      </c>
      <c r="D435">
        <v>101.32499695</v>
      </c>
      <c r="E435">
        <v>9359.4853516000003</v>
      </c>
      <c r="F435">
        <v>7443.8779297000001</v>
      </c>
      <c r="G435">
        <v>80</v>
      </c>
      <c r="H435">
        <v>76.921173096000004</v>
      </c>
      <c r="I435">
        <v>50</v>
      </c>
      <c r="J435">
        <v>49.935695647999999</v>
      </c>
      <c r="K435">
        <v>0</v>
      </c>
      <c r="L435">
        <v>1025.2930908000001</v>
      </c>
      <c r="M435">
        <v>2400</v>
      </c>
      <c r="N435">
        <v>0</v>
      </c>
    </row>
    <row r="436" spans="1:14" x14ac:dyDescent="0.25">
      <c r="A436">
        <v>200.09321600000001</v>
      </c>
      <c r="B436" s="1">
        <f>DATE(2010,11,17) + TIME(2,14,13)</f>
        <v>40499.093206018515</v>
      </c>
      <c r="C436">
        <v>556.01159668000003</v>
      </c>
      <c r="D436">
        <v>101.32499695</v>
      </c>
      <c r="E436">
        <v>9342.2246094000002</v>
      </c>
      <c r="F436">
        <v>7426.6723633000001</v>
      </c>
      <c r="G436">
        <v>80</v>
      </c>
      <c r="H436">
        <v>76.843353270999998</v>
      </c>
      <c r="I436">
        <v>50</v>
      </c>
      <c r="J436">
        <v>49.935928345000001</v>
      </c>
      <c r="K436">
        <v>0</v>
      </c>
      <c r="L436">
        <v>1024.9598389</v>
      </c>
      <c r="M436">
        <v>2400</v>
      </c>
      <c r="N436">
        <v>0</v>
      </c>
    </row>
    <row r="437" spans="1:14" x14ac:dyDescent="0.25">
      <c r="A437">
        <v>200.68235899999999</v>
      </c>
      <c r="B437" s="1">
        <f>DATE(2010,11,17) + TIME(16,22,35)</f>
        <v>40499.682349537034</v>
      </c>
      <c r="C437">
        <v>555.94317626999998</v>
      </c>
      <c r="D437">
        <v>101.32499695</v>
      </c>
      <c r="E437">
        <v>9325.5117188000004</v>
      </c>
      <c r="F437">
        <v>7410.0126952999999</v>
      </c>
      <c r="G437">
        <v>80</v>
      </c>
      <c r="H437">
        <v>76.764976501000007</v>
      </c>
      <c r="I437">
        <v>50</v>
      </c>
      <c r="J437">
        <v>49.936161040999998</v>
      </c>
      <c r="K437">
        <v>0</v>
      </c>
      <c r="L437">
        <v>1024.630249</v>
      </c>
      <c r="M437">
        <v>2400</v>
      </c>
      <c r="N437">
        <v>0</v>
      </c>
    </row>
    <row r="438" spans="1:14" x14ac:dyDescent="0.25">
      <c r="A438">
        <v>201.278448</v>
      </c>
      <c r="B438" s="1">
        <f>DATE(2010,11,18) + TIME(6,40,57)</f>
        <v>40500.278437499997</v>
      </c>
      <c r="C438">
        <v>555.87823486000002</v>
      </c>
      <c r="D438">
        <v>101.32499695</v>
      </c>
      <c r="E438">
        <v>9309.2734375</v>
      </c>
      <c r="F438">
        <v>7393.8271483999997</v>
      </c>
      <c r="G438">
        <v>80</v>
      </c>
      <c r="H438">
        <v>76.685798645000006</v>
      </c>
      <c r="I438">
        <v>50</v>
      </c>
      <c r="J438">
        <v>49.936389923</v>
      </c>
      <c r="K438">
        <v>0</v>
      </c>
      <c r="L438">
        <v>1024.3018798999999</v>
      </c>
      <c r="M438">
        <v>2400</v>
      </c>
      <c r="N438">
        <v>0</v>
      </c>
    </row>
    <row r="439" spans="1:14" x14ac:dyDescent="0.25">
      <c r="A439">
        <v>201.884592</v>
      </c>
      <c r="B439" s="1">
        <f>DATE(2010,11,18) + TIME(21,13,48)</f>
        <v>40500.884583333333</v>
      </c>
      <c r="C439">
        <v>555.81542968999997</v>
      </c>
      <c r="D439">
        <v>101.32499695</v>
      </c>
      <c r="E439">
        <v>9293.4130858999997</v>
      </c>
      <c r="F439">
        <v>7378.0185547000001</v>
      </c>
      <c r="G439">
        <v>80</v>
      </c>
      <c r="H439">
        <v>76.605529785000002</v>
      </c>
      <c r="I439">
        <v>50</v>
      </c>
      <c r="J439">
        <v>49.936614990000002</v>
      </c>
      <c r="K439">
        <v>0</v>
      </c>
      <c r="L439">
        <v>1023.972168</v>
      </c>
      <c r="M439">
        <v>2400</v>
      </c>
      <c r="N439">
        <v>0</v>
      </c>
    </row>
    <row r="440" spans="1:14" x14ac:dyDescent="0.25">
      <c r="A440">
        <v>202.50384600000001</v>
      </c>
      <c r="B440" s="1">
        <f>DATE(2010,11,19) + TIME(12,5,32)</f>
        <v>40501.503842592596</v>
      </c>
      <c r="C440">
        <v>555.75360106999995</v>
      </c>
      <c r="D440">
        <v>101.32499695</v>
      </c>
      <c r="E440">
        <v>9277.8378905999998</v>
      </c>
      <c r="F440">
        <v>7362.4951172000001</v>
      </c>
      <c r="G440">
        <v>80</v>
      </c>
      <c r="H440">
        <v>76.523864746000001</v>
      </c>
      <c r="I440">
        <v>50</v>
      </c>
      <c r="J440">
        <v>49.936836243000002</v>
      </c>
      <c r="K440">
        <v>0</v>
      </c>
      <c r="L440">
        <v>1023.6384277</v>
      </c>
      <c r="M440">
        <v>2400</v>
      </c>
      <c r="N440">
        <v>0</v>
      </c>
    </row>
    <row r="441" spans="1:14" x14ac:dyDescent="0.25">
      <c r="A441">
        <v>203.139476</v>
      </c>
      <c r="B441" s="1">
        <f>DATE(2010,11,20) + TIME(3,20,50)</f>
        <v>40502.139467592591</v>
      </c>
      <c r="C441">
        <v>555.69189453000001</v>
      </c>
      <c r="D441">
        <v>101.32499695</v>
      </c>
      <c r="E441">
        <v>9262.4658202999999</v>
      </c>
      <c r="F441">
        <v>7347.1748047000001</v>
      </c>
      <c r="G441">
        <v>80</v>
      </c>
      <c r="H441">
        <v>76.440483092999997</v>
      </c>
      <c r="I441">
        <v>50</v>
      </c>
      <c r="J441">
        <v>49.937046051000003</v>
      </c>
      <c r="K441">
        <v>0</v>
      </c>
      <c r="L441">
        <v>1023.2984619</v>
      </c>
      <c r="M441">
        <v>2400</v>
      </c>
      <c r="N441">
        <v>0</v>
      </c>
    </row>
    <row r="442" spans="1:14" x14ac:dyDescent="0.25">
      <c r="A442">
        <v>203.79503600000001</v>
      </c>
      <c r="B442" s="1">
        <f>DATE(2010,11,20) + TIME(19,4,51)</f>
        <v>40502.795034722221</v>
      </c>
      <c r="C442">
        <v>555.62976074000005</v>
      </c>
      <c r="D442">
        <v>101.32499695</v>
      </c>
      <c r="E442">
        <v>9247.2197266000003</v>
      </c>
      <c r="F442">
        <v>7331.9799805000002</v>
      </c>
      <c r="G442">
        <v>80</v>
      </c>
      <c r="H442">
        <v>76.355018615999995</v>
      </c>
      <c r="I442">
        <v>50</v>
      </c>
      <c r="J442">
        <v>49.937252045000001</v>
      </c>
      <c r="K442">
        <v>0</v>
      </c>
      <c r="L442">
        <v>1022.9501342999999</v>
      </c>
      <c r="M442">
        <v>2400</v>
      </c>
      <c r="N442">
        <v>0</v>
      </c>
    </row>
    <row r="443" spans="1:14" x14ac:dyDescent="0.25">
      <c r="A443">
        <v>204.47449900000001</v>
      </c>
      <c r="B443" s="1">
        <f>DATE(2010,11,21) + TIME(11,23,16)</f>
        <v>40503.474490740744</v>
      </c>
      <c r="C443">
        <v>555.56646728999999</v>
      </c>
      <c r="D443">
        <v>101.32499695</v>
      </c>
      <c r="E443">
        <v>9232.0244141000003</v>
      </c>
      <c r="F443">
        <v>7316.8354491999999</v>
      </c>
      <c r="G443">
        <v>80</v>
      </c>
      <c r="H443">
        <v>76.267051696999999</v>
      </c>
      <c r="I443">
        <v>50</v>
      </c>
      <c r="J443">
        <v>49.937454224</v>
      </c>
      <c r="K443">
        <v>0</v>
      </c>
      <c r="L443">
        <v>1022.5911255</v>
      </c>
      <c r="M443">
        <v>2400</v>
      </c>
      <c r="N443">
        <v>0</v>
      </c>
    </row>
    <row r="444" spans="1:14" x14ac:dyDescent="0.25">
      <c r="A444">
        <v>205.182413</v>
      </c>
      <c r="B444" s="1">
        <f>DATE(2010,11,22) + TIME(4,22,40)</f>
        <v>40504.18240740741</v>
      </c>
      <c r="C444">
        <v>555.50146484000004</v>
      </c>
      <c r="D444">
        <v>101.32499695</v>
      </c>
      <c r="E444">
        <v>9216.8046875</v>
      </c>
      <c r="F444">
        <v>7301.6679688000004</v>
      </c>
      <c r="G444">
        <v>80</v>
      </c>
      <c r="H444">
        <v>76.176101685000006</v>
      </c>
      <c r="I444">
        <v>50</v>
      </c>
      <c r="J444">
        <v>49.937652587999999</v>
      </c>
      <c r="K444">
        <v>0</v>
      </c>
      <c r="L444">
        <v>1022.2191772</v>
      </c>
      <c r="M444">
        <v>2400</v>
      </c>
      <c r="N444">
        <v>0</v>
      </c>
    </row>
    <row r="445" spans="1:14" x14ac:dyDescent="0.25">
      <c r="A445">
        <v>205.92215300000001</v>
      </c>
      <c r="B445" s="1">
        <f>DATE(2010,11,22) + TIME(22,7,54)</f>
        <v>40504.922152777777</v>
      </c>
      <c r="C445">
        <v>555.43359375</v>
      </c>
      <c r="D445">
        <v>101.32499695</v>
      </c>
      <c r="E445">
        <v>9201.4912108999997</v>
      </c>
      <c r="F445">
        <v>7286.4072266000003</v>
      </c>
      <c r="G445">
        <v>80</v>
      </c>
      <c r="H445">
        <v>76.081817627000007</v>
      </c>
      <c r="I445">
        <v>50</v>
      </c>
      <c r="J445">
        <v>49.937847136999999</v>
      </c>
      <c r="K445">
        <v>0</v>
      </c>
      <c r="L445">
        <v>1021.831543</v>
      </c>
      <c r="M445">
        <v>2400</v>
      </c>
      <c r="N445">
        <v>0</v>
      </c>
    </row>
    <row r="446" spans="1:14" x14ac:dyDescent="0.25">
      <c r="A446">
        <v>206.30648299999999</v>
      </c>
      <c r="B446" s="1">
        <f>DATE(2010,11,23) + TIME(7,21,20)</f>
        <v>40505.306481481479</v>
      </c>
      <c r="C446">
        <v>555.22052001999998</v>
      </c>
      <c r="D446">
        <v>101.32499695</v>
      </c>
      <c r="E446">
        <v>9187.9023438000004</v>
      </c>
      <c r="F446">
        <v>7272.8520508000001</v>
      </c>
      <c r="G446">
        <v>80</v>
      </c>
      <c r="H446">
        <v>76.026222228999998</v>
      </c>
      <c r="I446">
        <v>50</v>
      </c>
      <c r="J446">
        <v>49.937416077000002</v>
      </c>
      <c r="K446">
        <v>0</v>
      </c>
      <c r="L446">
        <v>1021.4273682</v>
      </c>
      <c r="M446">
        <v>2400</v>
      </c>
      <c r="N446">
        <v>0</v>
      </c>
    </row>
    <row r="447" spans="1:14" x14ac:dyDescent="0.25">
      <c r="A447">
        <v>206.690696</v>
      </c>
      <c r="B447" s="1">
        <f>DATE(2010,11,23) + TIME(16,34,36)</f>
        <v>40505.690694444442</v>
      </c>
      <c r="C447">
        <v>555.18328856999995</v>
      </c>
      <c r="D447">
        <v>101.32499695</v>
      </c>
      <c r="E447">
        <v>9178.9960938000004</v>
      </c>
      <c r="F447">
        <v>7263.9741211</v>
      </c>
      <c r="G447">
        <v>80</v>
      </c>
      <c r="H447">
        <v>75.971519470000004</v>
      </c>
      <c r="I447">
        <v>50</v>
      </c>
      <c r="J447">
        <v>49.937561035000002</v>
      </c>
      <c r="K447">
        <v>0</v>
      </c>
      <c r="L447">
        <v>1021.1915283</v>
      </c>
      <c r="M447">
        <v>2400</v>
      </c>
      <c r="N447">
        <v>0</v>
      </c>
    </row>
    <row r="448" spans="1:14" x14ac:dyDescent="0.25">
      <c r="A448">
        <v>207.45912200000001</v>
      </c>
      <c r="B448" s="1">
        <f>DATE(2010,11,24) + TIME(11,1,8)</f>
        <v>40506.459120370368</v>
      </c>
      <c r="C448">
        <v>555.30255126999998</v>
      </c>
      <c r="D448">
        <v>101.32499695</v>
      </c>
      <c r="E448">
        <v>9169.7714844000002</v>
      </c>
      <c r="F448">
        <v>7254.7978516000003</v>
      </c>
      <c r="G448">
        <v>80</v>
      </c>
      <c r="H448">
        <v>75.876991271999998</v>
      </c>
      <c r="I448">
        <v>50</v>
      </c>
      <c r="J448">
        <v>49.938354492000002</v>
      </c>
      <c r="K448">
        <v>0</v>
      </c>
      <c r="L448">
        <v>1020.99646</v>
      </c>
      <c r="M448">
        <v>2400</v>
      </c>
      <c r="N448">
        <v>0</v>
      </c>
    </row>
    <row r="449" spans="1:14" x14ac:dyDescent="0.25">
      <c r="A449">
        <v>208.22851199999999</v>
      </c>
      <c r="B449" s="1">
        <f>DATE(2010,11,25) + TIME(5,29,3)</f>
        <v>40507.228506944448</v>
      </c>
      <c r="C449">
        <v>555.21746826000003</v>
      </c>
      <c r="D449">
        <v>101.32499695</v>
      </c>
      <c r="E449">
        <v>9155.5517577999999</v>
      </c>
      <c r="F449">
        <v>7240.6279297000001</v>
      </c>
      <c r="G449">
        <v>80</v>
      </c>
      <c r="H449">
        <v>75.781394958000007</v>
      </c>
      <c r="I449">
        <v>50</v>
      </c>
      <c r="J449">
        <v>49.938465118000003</v>
      </c>
      <c r="K449">
        <v>0</v>
      </c>
      <c r="L449">
        <v>1020.5876465</v>
      </c>
      <c r="M449">
        <v>2400</v>
      </c>
      <c r="N449">
        <v>0</v>
      </c>
    </row>
    <row r="450" spans="1:14" x14ac:dyDescent="0.25">
      <c r="A450">
        <v>209.005889</v>
      </c>
      <c r="B450" s="1">
        <f>DATE(2010,11,26) + TIME(0,8,28)</f>
        <v>40508.005879629629</v>
      </c>
      <c r="C450">
        <v>555.12902831999997</v>
      </c>
      <c r="D450">
        <v>101.32499695</v>
      </c>
      <c r="E450">
        <v>9141.2050780999998</v>
      </c>
      <c r="F450">
        <v>7226.3305664</v>
      </c>
      <c r="G450">
        <v>80</v>
      </c>
      <c r="H450">
        <v>75.684448242000002</v>
      </c>
      <c r="I450">
        <v>50</v>
      </c>
      <c r="J450">
        <v>49.938568115000002</v>
      </c>
      <c r="K450">
        <v>0</v>
      </c>
      <c r="L450">
        <v>1020.161377</v>
      </c>
      <c r="M450">
        <v>2400</v>
      </c>
      <c r="N450">
        <v>0</v>
      </c>
    </row>
    <row r="451" spans="1:14" x14ac:dyDescent="0.25">
      <c r="A451">
        <v>209.79516699999999</v>
      </c>
      <c r="B451" s="1">
        <f>DATE(2010,11,26) + TIME(19,5,2)</f>
        <v>40508.795162037037</v>
      </c>
      <c r="C451">
        <v>555.04351807</v>
      </c>
      <c r="D451">
        <v>101.32499695</v>
      </c>
      <c r="E451">
        <v>9127.0859375</v>
      </c>
      <c r="F451">
        <v>7212.2607422000001</v>
      </c>
      <c r="G451">
        <v>80</v>
      </c>
      <c r="H451">
        <v>75.585975646999998</v>
      </c>
      <c r="I451">
        <v>50</v>
      </c>
      <c r="J451">
        <v>49.938697814999998</v>
      </c>
      <c r="K451">
        <v>0</v>
      </c>
      <c r="L451">
        <v>1019.7314453</v>
      </c>
      <c r="M451">
        <v>2400</v>
      </c>
      <c r="N451">
        <v>0</v>
      </c>
    </row>
    <row r="452" spans="1:14" x14ac:dyDescent="0.25">
      <c r="A452">
        <v>210.600369</v>
      </c>
      <c r="B452" s="1">
        <f>DATE(2010,11,27) + TIME(14,24,31)</f>
        <v>40509.600358796299</v>
      </c>
      <c r="C452">
        <v>554.96002196999996</v>
      </c>
      <c r="D452">
        <v>101.32499695</v>
      </c>
      <c r="E452">
        <v>9113.1826172000001</v>
      </c>
      <c r="F452">
        <v>7198.4067383000001</v>
      </c>
      <c r="G452">
        <v>80</v>
      </c>
      <c r="H452">
        <v>75.485740661999998</v>
      </c>
      <c r="I452">
        <v>50</v>
      </c>
      <c r="J452">
        <v>49.938842772999998</v>
      </c>
      <c r="K452">
        <v>0</v>
      </c>
      <c r="L452">
        <v>1019.2960815</v>
      </c>
      <c r="M452">
        <v>2400</v>
      </c>
      <c r="N452">
        <v>0</v>
      </c>
    </row>
    <row r="453" spans="1:14" x14ac:dyDescent="0.25">
      <c r="A453">
        <v>211.42573899999999</v>
      </c>
      <c r="B453" s="1">
        <f>DATE(2010,11,28) + TIME(10,13,3)</f>
        <v>40510.425729166665</v>
      </c>
      <c r="C453">
        <v>554.87713623000002</v>
      </c>
      <c r="D453">
        <v>101.32499695</v>
      </c>
      <c r="E453">
        <v>9099.4384766000003</v>
      </c>
      <c r="F453">
        <v>7184.7109375</v>
      </c>
      <c r="G453">
        <v>80</v>
      </c>
      <c r="H453">
        <v>75.383415221999996</v>
      </c>
      <c r="I453">
        <v>50</v>
      </c>
      <c r="J453">
        <v>49.938995361000003</v>
      </c>
      <c r="K453">
        <v>0</v>
      </c>
      <c r="L453">
        <v>1018.852356</v>
      </c>
      <c r="M453">
        <v>2400</v>
      </c>
      <c r="N453">
        <v>0</v>
      </c>
    </row>
    <row r="454" spans="1:14" x14ac:dyDescent="0.25">
      <c r="A454">
        <v>212.27588900000001</v>
      </c>
      <c r="B454" s="1">
        <f>DATE(2010,11,29) + TIME(6,37,16)</f>
        <v>40511.275879629633</v>
      </c>
      <c r="C454">
        <v>554.79376220999995</v>
      </c>
      <c r="D454">
        <v>101.32499695</v>
      </c>
      <c r="E454">
        <v>9085.7880858999997</v>
      </c>
      <c r="F454">
        <v>7171.109375</v>
      </c>
      <c r="G454">
        <v>80</v>
      </c>
      <c r="H454">
        <v>75.278625488000003</v>
      </c>
      <c r="I454">
        <v>50</v>
      </c>
      <c r="J454">
        <v>49.939155579000001</v>
      </c>
      <c r="K454">
        <v>0</v>
      </c>
      <c r="L454">
        <v>1018.3974609000001</v>
      </c>
      <c r="M454">
        <v>2400</v>
      </c>
      <c r="N454">
        <v>0</v>
      </c>
    </row>
    <row r="455" spans="1:14" x14ac:dyDescent="0.25">
      <c r="A455">
        <v>213.15596199999999</v>
      </c>
      <c r="B455" s="1">
        <f>DATE(2010,11,30) + TIME(3,44,35)</f>
        <v>40512.155960648146</v>
      </c>
      <c r="C455">
        <v>554.70904541000004</v>
      </c>
      <c r="D455">
        <v>101.32499695</v>
      </c>
      <c r="E455">
        <v>9072.1660155999998</v>
      </c>
      <c r="F455">
        <v>7157.5371094000002</v>
      </c>
      <c r="G455">
        <v>80</v>
      </c>
      <c r="H455">
        <v>75.170913696</v>
      </c>
      <c r="I455">
        <v>50</v>
      </c>
      <c r="J455">
        <v>49.939319611000002</v>
      </c>
      <c r="K455">
        <v>0</v>
      </c>
      <c r="L455">
        <v>1017.928772</v>
      </c>
      <c r="M455">
        <v>2400</v>
      </c>
      <c r="N455">
        <v>0</v>
      </c>
    </row>
    <row r="456" spans="1:14" x14ac:dyDescent="0.25">
      <c r="A456">
        <v>214</v>
      </c>
      <c r="B456" s="1">
        <f>DATE(2010,12,1) + TIME(0,0,0)</f>
        <v>40513</v>
      </c>
      <c r="C456">
        <v>554.59899901999995</v>
      </c>
      <c r="D456">
        <v>101.32499695</v>
      </c>
      <c r="E456">
        <v>9058.6796875</v>
      </c>
      <c r="F456">
        <v>7144.0986327999999</v>
      </c>
      <c r="G456">
        <v>80</v>
      </c>
      <c r="H456">
        <v>75.066169739000003</v>
      </c>
      <c r="I456">
        <v>50</v>
      </c>
      <c r="J456">
        <v>49.939414978000002</v>
      </c>
      <c r="K456">
        <v>0</v>
      </c>
      <c r="L456">
        <v>1017.440979</v>
      </c>
      <c r="M456">
        <v>2400</v>
      </c>
      <c r="N456">
        <v>0</v>
      </c>
    </row>
    <row r="457" spans="1:14" x14ac:dyDescent="0.25">
      <c r="A457">
        <v>214.91587799999999</v>
      </c>
      <c r="B457" s="1">
        <f>DATE(2010,12,1) + TIME(21,58,51)</f>
        <v>40513.915868055556</v>
      </c>
      <c r="C457">
        <v>554.53240966999999</v>
      </c>
      <c r="D457">
        <v>101.32499695</v>
      </c>
      <c r="E457">
        <v>9045.7792969000002</v>
      </c>
      <c r="F457">
        <v>7131.2470702999999</v>
      </c>
      <c r="G457">
        <v>80</v>
      </c>
      <c r="H457">
        <v>74.955230713000006</v>
      </c>
      <c r="I457">
        <v>50</v>
      </c>
      <c r="J457">
        <v>49.939628601000003</v>
      </c>
      <c r="K457">
        <v>0</v>
      </c>
      <c r="L457">
        <v>1016.9750977</v>
      </c>
      <c r="M457">
        <v>2400</v>
      </c>
      <c r="N457">
        <v>0</v>
      </c>
    </row>
    <row r="458" spans="1:14" x14ac:dyDescent="0.25">
      <c r="A458">
        <v>215.88190800000001</v>
      </c>
      <c r="B458" s="1">
        <f>DATE(2010,12,2) + TIME(21,9,56)</f>
        <v>40514.881898148145</v>
      </c>
      <c r="C458">
        <v>554.44677734000004</v>
      </c>
      <c r="D458">
        <v>101.32499695</v>
      </c>
      <c r="E458">
        <v>9032.4355469000002</v>
      </c>
      <c r="F458">
        <v>7117.9521483999997</v>
      </c>
      <c r="G458">
        <v>80</v>
      </c>
      <c r="H458">
        <v>74.839584350999999</v>
      </c>
      <c r="I458">
        <v>50</v>
      </c>
      <c r="J458">
        <v>49.939807891999997</v>
      </c>
      <c r="K458">
        <v>0</v>
      </c>
      <c r="L458">
        <v>1016.47052</v>
      </c>
      <c r="M458">
        <v>2400</v>
      </c>
      <c r="N458">
        <v>0</v>
      </c>
    </row>
    <row r="459" spans="1:14" x14ac:dyDescent="0.25">
      <c r="A459">
        <v>216.85024000000001</v>
      </c>
      <c r="B459" s="1">
        <f>DATE(2010,12,3) + TIME(20,24,20)</f>
        <v>40515.850231481483</v>
      </c>
      <c r="C459">
        <v>554.33789062000005</v>
      </c>
      <c r="D459">
        <v>101.32499695</v>
      </c>
      <c r="E459">
        <v>9018.8974608999997</v>
      </c>
      <c r="F459">
        <v>7104.4633789</v>
      </c>
      <c r="G459">
        <v>80</v>
      </c>
      <c r="H459">
        <v>74.723159789999997</v>
      </c>
      <c r="I459">
        <v>50</v>
      </c>
      <c r="J459">
        <v>49.939933777</v>
      </c>
      <c r="K459">
        <v>0</v>
      </c>
      <c r="L459">
        <v>1015.9345092999999</v>
      </c>
      <c r="M459">
        <v>2400</v>
      </c>
      <c r="N459">
        <v>0</v>
      </c>
    </row>
    <row r="460" spans="1:14" x14ac:dyDescent="0.25">
      <c r="A460">
        <v>217.825884</v>
      </c>
      <c r="B460" s="1">
        <f>DATE(2010,12,4) + TIME(19,49,16)</f>
        <v>40516.825879629629</v>
      </c>
      <c r="C460">
        <v>554.23291015999996</v>
      </c>
      <c r="D460">
        <v>101.32499695</v>
      </c>
      <c r="E460">
        <v>9005.671875</v>
      </c>
      <c r="F460">
        <v>7091.2861327999999</v>
      </c>
      <c r="G460">
        <v>80</v>
      </c>
      <c r="H460">
        <v>74.605873107999997</v>
      </c>
      <c r="I460">
        <v>50</v>
      </c>
      <c r="J460">
        <v>49.940078735</v>
      </c>
      <c r="K460">
        <v>0</v>
      </c>
      <c r="L460">
        <v>1015.3960571</v>
      </c>
      <c r="M460">
        <v>2400</v>
      </c>
      <c r="N460">
        <v>0</v>
      </c>
    </row>
    <row r="461" spans="1:14" x14ac:dyDescent="0.25">
      <c r="A461">
        <v>218.81408400000001</v>
      </c>
      <c r="B461" s="1">
        <f>DATE(2010,12,5) + TIME(19,32,16)</f>
        <v>40517.814074074071</v>
      </c>
      <c r="C461">
        <v>554.13073729999996</v>
      </c>
      <c r="D461">
        <v>101.32499695</v>
      </c>
      <c r="E461">
        <v>8992.7382811999996</v>
      </c>
      <c r="F461">
        <v>7078.4003905999998</v>
      </c>
      <c r="G461">
        <v>80</v>
      </c>
      <c r="H461">
        <v>74.487457274999997</v>
      </c>
      <c r="I461">
        <v>50</v>
      </c>
      <c r="J461">
        <v>49.940231322999999</v>
      </c>
      <c r="K461">
        <v>0</v>
      </c>
      <c r="L461">
        <v>1014.8536377</v>
      </c>
      <c r="M461">
        <v>2400</v>
      </c>
      <c r="N461">
        <v>0</v>
      </c>
    </row>
    <row r="462" spans="1:14" x14ac:dyDescent="0.25">
      <c r="A462">
        <v>219.81988999999999</v>
      </c>
      <c r="B462" s="1">
        <f>DATE(2010,12,6) + TIME(19,40,38)</f>
        <v>40518.819884259261</v>
      </c>
      <c r="C462">
        <v>554.02972411999997</v>
      </c>
      <c r="D462">
        <v>101.32499695</v>
      </c>
      <c r="E462">
        <v>8980.0302733999997</v>
      </c>
      <c r="F462">
        <v>7065.7392577999999</v>
      </c>
      <c r="G462">
        <v>80</v>
      </c>
      <c r="H462">
        <v>74.367591857999997</v>
      </c>
      <c r="I462">
        <v>50</v>
      </c>
      <c r="J462">
        <v>49.940387725999997</v>
      </c>
      <c r="K462">
        <v>0</v>
      </c>
      <c r="L462">
        <v>1014.303894</v>
      </c>
      <c r="M462">
        <v>2400</v>
      </c>
      <c r="N462">
        <v>0</v>
      </c>
    </row>
    <row r="463" spans="1:14" x14ac:dyDescent="0.25">
      <c r="A463">
        <v>220.848636</v>
      </c>
      <c r="B463" s="1">
        <f>DATE(2010,12,7) + TIME(20,22,2)</f>
        <v>40519.848634259259</v>
      </c>
      <c r="C463">
        <v>553.92858887</v>
      </c>
      <c r="D463">
        <v>101.32499695</v>
      </c>
      <c r="E463">
        <v>8967.4814452999999</v>
      </c>
      <c r="F463">
        <v>7053.2373047000001</v>
      </c>
      <c r="G463">
        <v>80</v>
      </c>
      <c r="H463">
        <v>74.245849609000004</v>
      </c>
      <c r="I463">
        <v>50</v>
      </c>
      <c r="J463">
        <v>49.940544127999999</v>
      </c>
      <c r="K463">
        <v>0</v>
      </c>
      <c r="L463">
        <v>1013.7437134</v>
      </c>
      <c r="M463">
        <v>2400</v>
      </c>
      <c r="N463">
        <v>0</v>
      </c>
    </row>
    <row r="464" spans="1:14" x14ac:dyDescent="0.25">
      <c r="A464">
        <v>221.906083</v>
      </c>
      <c r="B464" s="1">
        <f>DATE(2010,12,8) + TIME(21,44,45)</f>
        <v>40520.906076388892</v>
      </c>
      <c r="C464">
        <v>553.82635498000002</v>
      </c>
      <c r="D464">
        <v>101.32499695</v>
      </c>
      <c r="E464">
        <v>8955.0273438000004</v>
      </c>
      <c r="F464">
        <v>7040.8295897999997</v>
      </c>
      <c r="G464">
        <v>80</v>
      </c>
      <c r="H464">
        <v>74.121734618999994</v>
      </c>
      <c r="I464">
        <v>50</v>
      </c>
      <c r="J464">
        <v>49.94070816</v>
      </c>
      <c r="K464">
        <v>0</v>
      </c>
      <c r="L464">
        <v>1013.1699829</v>
      </c>
      <c r="M464">
        <v>2400</v>
      </c>
      <c r="N464">
        <v>0</v>
      </c>
    </row>
    <row r="465" spans="1:14" x14ac:dyDescent="0.25">
      <c r="A465">
        <v>222.99860100000001</v>
      </c>
      <c r="B465" s="1">
        <f>DATE(2010,12,9) + TIME(23,57,59)</f>
        <v>40521.998599537037</v>
      </c>
      <c r="C465">
        <v>553.72222899999997</v>
      </c>
      <c r="D465">
        <v>101.32499695</v>
      </c>
      <c r="E465">
        <v>8942.6054688000004</v>
      </c>
      <c r="F465">
        <v>7028.4545897999997</v>
      </c>
      <c r="G465">
        <v>80</v>
      </c>
      <c r="H465">
        <v>73.994674683</v>
      </c>
      <c r="I465">
        <v>50</v>
      </c>
      <c r="J465">
        <v>49.940872192</v>
      </c>
      <c r="K465">
        <v>0</v>
      </c>
      <c r="L465">
        <v>1012.5792236</v>
      </c>
      <c r="M465">
        <v>2400</v>
      </c>
      <c r="N465">
        <v>0</v>
      </c>
    </row>
    <row r="466" spans="1:14" x14ac:dyDescent="0.25">
      <c r="A466">
        <v>224.132126</v>
      </c>
      <c r="B466" s="1">
        <f>DATE(2010,12,11) + TIME(3,10,15)</f>
        <v>40523.132118055553</v>
      </c>
      <c r="C466">
        <v>553.61505126999998</v>
      </c>
      <c r="D466">
        <v>101.32499695</v>
      </c>
      <c r="E466">
        <v>8930.15625</v>
      </c>
      <c r="F466">
        <v>7016.0517577999999</v>
      </c>
      <c r="G466">
        <v>80</v>
      </c>
      <c r="H466">
        <v>73.864128113000007</v>
      </c>
      <c r="I466">
        <v>50</v>
      </c>
      <c r="J466">
        <v>49.941036224000001</v>
      </c>
      <c r="K466">
        <v>0</v>
      </c>
      <c r="L466">
        <v>1011.9676514</v>
      </c>
      <c r="M466">
        <v>2400</v>
      </c>
      <c r="N466">
        <v>0</v>
      </c>
    </row>
    <row r="467" spans="1:14" x14ac:dyDescent="0.25">
      <c r="A467">
        <v>225.30065300000001</v>
      </c>
      <c r="B467" s="1">
        <f>DATE(2010,12,12) + TIME(7,12,56)</f>
        <v>40524.30064814815</v>
      </c>
      <c r="C467">
        <v>553.50061034999999</v>
      </c>
      <c r="D467">
        <v>101.32499695</v>
      </c>
      <c r="E467">
        <v>8917.6484375</v>
      </c>
      <c r="F467">
        <v>7003.5908202999999</v>
      </c>
      <c r="G467">
        <v>80</v>
      </c>
      <c r="H467">
        <v>73.730453491000006</v>
      </c>
      <c r="I467">
        <v>50</v>
      </c>
      <c r="J467">
        <v>49.941196441999999</v>
      </c>
      <c r="K467">
        <v>0</v>
      </c>
      <c r="L467">
        <v>1011.3312988</v>
      </c>
      <c r="M467">
        <v>2400</v>
      </c>
      <c r="N467">
        <v>0</v>
      </c>
    </row>
    <row r="468" spans="1:14" x14ac:dyDescent="0.25">
      <c r="A468">
        <v>226.46966</v>
      </c>
      <c r="B468" s="1">
        <f>DATE(2010,12,13) + TIME(11,16,18)</f>
        <v>40525.469652777778</v>
      </c>
      <c r="C468">
        <v>553.37237548999997</v>
      </c>
      <c r="D468">
        <v>101.32499695</v>
      </c>
      <c r="E468">
        <v>8905.1933594000002</v>
      </c>
      <c r="F468">
        <v>6991.1821289</v>
      </c>
      <c r="G468">
        <v>80</v>
      </c>
      <c r="H468">
        <v>73.596282959000007</v>
      </c>
      <c r="I468">
        <v>50</v>
      </c>
      <c r="J468">
        <v>49.941337584999999</v>
      </c>
      <c r="K468">
        <v>0</v>
      </c>
      <c r="L468">
        <v>1010.6723022</v>
      </c>
      <c r="M468">
        <v>2400</v>
      </c>
      <c r="N468">
        <v>0</v>
      </c>
    </row>
    <row r="469" spans="1:14" x14ac:dyDescent="0.25">
      <c r="A469">
        <v>227.64443800000001</v>
      </c>
      <c r="B469" s="1">
        <f>DATE(2010,12,14) + TIME(15,27,59)</f>
        <v>40526.644432870373</v>
      </c>
      <c r="C469">
        <v>553.24914550999995</v>
      </c>
      <c r="D469">
        <v>101.32499695</v>
      </c>
      <c r="E469">
        <v>8893.0576172000001</v>
      </c>
      <c r="F469">
        <v>6979.0913086</v>
      </c>
      <c r="G469">
        <v>80</v>
      </c>
      <c r="H469">
        <v>73.461639403999996</v>
      </c>
      <c r="I469">
        <v>50</v>
      </c>
      <c r="J469">
        <v>49.941490172999998</v>
      </c>
      <c r="K469">
        <v>0</v>
      </c>
      <c r="L469">
        <v>1010.0115356</v>
      </c>
      <c r="M469">
        <v>2400</v>
      </c>
      <c r="N469">
        <v>0</v>
      </c>
    </row>
    <row r="470" spans="1:14" x14ac:dyDescent="0.25">
      <c r="A470">
        <v>228.83140599999999</v>
      </c>
      <c r="B470" s="1">
        <f>DATE(2010,12,15) + TIME(19,57,13)</f>
        <v>40527.831400462965</v>
      </c>
      <c r="C470">
        <v>553.12939453000001</v>
      </c>
      <c r="D470">
        <v>101.32499695</v>
      </c>
      <c r="E470">
        <v>8881.2070311999996</v>
      </c>
      <c r="F470">
        <v>6967.2851561999996</v>
      </c>
      <c r="G470">
        <v>80</v>
      </c>
      <c r="H470">
        <v>73.326225281000006</v>
      </c>
      <c r="I470">
        <v>50</v>
      </c>
      <c r="J470">
        <v>49.941650391000003</v>
      </c>
      <c r="K470">
        <v>0</v>
      </c>
      <c r="L470">
        <v>1009.3463135</v>
      </c>
      <c r="M470">
        <v>2400</v>
      </c>
      <c r="N470">
        <v>0</v>
      </c>
    </row>
    <row r="471" spans="1:14" x14ac:dyDescent="0.25">
      <c r="A471">
        <v>230.03674899999999</v>
      </c>
      <c r="B471" s="1">
        <f>DATE(2010,12,17) + TIME(0,52,55)</f>
        <v>40529.036747685182</v>
      </c>
      <c r="C471">
        <v>553.01123046999999</v>
      </c>
      <c r="D471">
        <v>101.32499695</v>
      </c>
      <c r="E471">
        <v>8869.5761719000002</v>
      </c>
      <c r="F471">
        <v>6955.6972655999998</v>
      </c>
      <c r="G471">
        <v>80</v>
      </c>
      <c r="H471">
        <v>73.189651488999999</v>
      </c>
      <c r="I471">
        <v>50</v>
      </c>
      <c r="J471">
        <v>49.941810607999997</v>
      </c>
      <c r="K471">
        <v>0</v>
      </c>
      <c r="L471">
        <v>1008.6724854</v>
      </c>
      <c r="M471">
        <v>2400</v>
      </c>
      <c r="N471">
        <v>0</v>
      </c>
    </row>
    <row r="472" spans="1:14" x14ac:dyDescent="0.25">
      <c r="A472">
        <v>231.266853</v>
      </c>
      <c r="B472" s="1">
        <f>DATE(2010,12,18) + TIME(6,24,16)</f>
        <v>40530.266851851855</v>
      </c>
      <c r="C472">
        <v>552.89331055000002</v>
      </c>
      <c r="D472">
        <v>101.32499695</v>
      </c>
      <c r="E472">
        <v>8858.1005858999997</v>
      </c>
      <c r="F472">
        <v>6944.2641602000003</v>
      </c>
      <c r="G472">
        <v>80</v>
      </c>
      <c r="H472">
        <v>73.051414489999999</v>
      </c>
      <c r="I472">
        <v>50</v>
      </c>
      <c r="J472">
        <v>49.941974639999998</v>
      </c>
      <c r="K472">
        <v>0</v>
      </c>
      <c r="L472">
        <v>1007.986145</v>
      </c>
      <c r="M472">
        <v>2400</v>
      </c>
      <c r="N472">
        <v>0</v>
      </c>
    </row>
    <row r="473" spans="1:14" x14ac:dyDescent="0.25">
      <c r="A473">
        <v>232.52849900000001</v>
      </c>
      <c r="B473" s="1">
        <f>DATE(2010,12,19) + TIME(12,41,2)</f>
        <v>40531.528495370374</v>
      </c>
      <c r="C473">
        <v>552.77465819999998</v>
      </c>
      <c r="D473">
        <v>101.32499695</v>
      </c>
      <c r="E473">
        <v>8846.7197266000003</v>
      </c>
      <c r="F473">
        <v>6932.9262694999998</v>
      </c>
      <c r="G473">
        <v>80</v>
      </c>
      <c r="H473">
        <v>72.910942078000005</v>
      </c>
      <c r="I473">
        <v>50</v>
      </c>
      <c r="J473">
        <v>49.942138671999999</v>
      </c>
      <c r="K473">
        <v>0</v>
      </c>
      <c r="L473">
        <v>1007.2832642</v>
      </c>
      <c r="M473">
        <v>2400</v>
      </c>
      <c r="N473">
        <v>0</v>
      </c>
    </row>
    <row r="474" spans="1:14" x14ac:dyDescent="0.25">
      <c r="A474">
        <v>233.829126</v>
      </c>
      <c r="B474" s="1">
        <f>DATE(2010,12,20) + TIME(19,53,56)</f>
        <v>40532.82912037037</v>
      </c>
      <c r="C474">
        <v>552.65441895000004</v>
      </c>
      <c r="D474">
        <v>101.32499695</v>
      </c>
      <c r="E474">
        <v>8835.3779297000001</v>
      </c>
      <c r="F474">
        <v>6921.6264647999997</v>
      </c>
      <c r="G474">
        <v>80</v>
      </c>
      <c r="H474">
        <v>72.767593383999994</v>
      </c>
      <c r="I474">
        <v>50</v>
      </c>
      <c r="J474">
        <v>49.942306518999999</v>
      </c>
      <c r="K474">
        <v>0</v>
      </c>
      <c r="L474">
        <v>1006.5597534</v>
      </c>
      <c r="M474">
        <v>2400</v>
      </c>
      <c r="N474">
        <v>0</v>
      </c>
    </row>
    <row r="475" spans="1:14" x14ac:dyDescent="0.25">
      <c r="A475">
        <v>235.177111</v>
      </c>
      <c r="B475" s="1">
        <f>DATE(2010,12,22) + TIME(4,15,2)</f>
        <v>40534.177106481482</v>
      </c>
      <c r="C475">
        <v>552.53192138999998</v>
      </c>
      <c r="D475">
        <v>101.32499695</v>
      </c>
      <c r="E475">
        <v>8824.0175780999998</v>
      </c>
      <c r="F475">
        <v>6910.3076172000001</v>
      </c>
      <c r="G475">
        <v>80</v>
      </c>
      <c r="H475">
        <v>72.620613098000007</v>
      </c>
      <c r="I475">
        <v>50</v>
      </c>
      <c r="J475">
        <v>49.942478180000002</v>
      </c>
      <c r="K475">
        <v>0</v>
      </c>
      <c r="L475">
        <v>1005.8108521</v>
      </c>
      <c r="M475">
        <v>2400</v>
      </c>
      <c r="N475">
        <v>0</v>
      </c>
    </row>
    <row r="476" spans="1:14" x14ac:dyDescent="0.25">
      <c r="A476">
        <v>236.560971</v>
      </c>
      <c r="B476" s="1">
        <f>DATE(2010,12,23) + TIME(13,27,47)</f>
        <v>40535.560960648145</v>
      </c>
      <c r="C476">
        <v>552.40075683999999</v>
      </c>
      <c r="D476">
        <v>101.32499695</v>
      </c>
      <c r="E476">
        <v>8812.6064452999999</v>
      </c>
      <c r="F476">
        <v>6898.9379883000001</v>
      </c>
      <c r="G476">
        <v>80</v>
      </c>
      <c r="H476">
        <v>72.470611571999996</v>
      </c>
      <c r="I476">
        <v>50</v>
      </c>
      <c r="J476">
        <v>49.942642212000003</v>
      </c>
      <c r="K476">
        <v>0</v>
      </c>
      <c r="L476">
        <v>1005.0303955000001</v>
      </c>
      <c r="M476">
        <v>2400</v>
      </c>
      <c r="N476">
        <v>0</v>
      </c>
    </row>
    <row r="477" spans="1:14" x14ac:dyDescent="0.25">
      <c r="A477">
        <v>237.95742999999999</v>
      </c>
      <c r="B477" s="1">
        <f>DATE(2010,12,24) + TIME(22,58,41)</f>
        <v>40536.957418981481</v>
      </c>
      <c r="C477">
        <v>552.26098633000004</v>
      </c>
      <c r="D477">
        <v>101.32499695</v>
      </c>
      <c r="E477">
        <v>8801.2480469000002</v>
      </c>
      <c r="F477">
        <v>6887.6210938000004</v>
      </c>
      <c r="G477">
        <v>80</v>
      </c>
      <c r="H477">
        <v>72.319244385000005</v>
      </c>
      <c r="I477">
        <v>50</v>
      </c>
      <c r="J477">
        <v>49.942802428999997</v>
      </c>
      <c r="K477">
        <v>0</v>
      </c>
      <c r="L477">
        <v>1004.2241821</v>
      </c>
      <c r="M477">
        <v>2400</v>
      </c>
      <c r="N477">
        <v>0</v>
      </c>
    </row>
    <row r="478" spans="1:14" x14ac:dyDescent="0.25">
      <c r="A478">
        <v>239.35975099999999</v>
      </c>
      <c r="B478" s="1">
        <f>DATE(2010,12,26) + TIME(8,38,2)</f>
        <v>40538.35974537037</v>
      </c>
      <c r="C478">
        <v>552.12213135000002</v>
      </c>
      <c r="D478">
        <v>101.32499695</v>
      </c>
      <c r="E478">
        <v>8790.0996094000002</v>
      </c>
      <c r="F478">
        <v>6876.5131836</v>
      </c>
      <c r="G478">
        <v>80</v>
      </c>
      <c r="H478">
        <v>72.167289733999993</v>
      </c>
      <c r="I478">
        <v>50</v>
      </c>
      <c r="J478">
        <v>49.942962645999998</v>
      </c>
      <c r="K478">
        <v>0</v>
      </c>
      <c r="L478">
        <v>1003.40625</v>
      </c>
      <c r="M478">
        <v>2400</v>
      </c>
      <c r="N478">
        <v>0</v>
      </c>
    </row>
    <row r="479" spans="1:14" x14ac:dyDescent="0.25">
      <c r="A479">
        <v>240.77564000000001</v>
      </c>
      <c r="B479" s="1">
        <f>DATE(2010,12,27) + TIME(18,36,55)</f>
        <v>40539.775636574072</v>
      </c>
      <c r="C479">
        <v>551.98889159999999</v>
      </c>
      <c r="D479">
        <v>101.32499695</v>
      </c>
      <c r="E479">
        <v>8779.2001952999999</v>
      </c>
      <c r="F479">
        <v>6865.6538086</v>
      </c>
      <c r="G479">
        <v>80</v>
      </c>
      <c r="H479">
        <v>72.014549255000006</v>
      </c>
      <c r="I479">
        <v>50</v>
      </c>
      <c r="J479">
        <v>49.943126677999999</v>
      </c>
      <c r="K479">
        <v>0</v>
      </c>
      <c r="L479">
        <v>1002.5809326</v>
      </c>
      <c r="M479">
        <v>2400</v>
      </c>
      <c r="N479">
        <v>0</v>
      </c>
    </row>
    <row r="480" spans="1:14" x14ac:dyDescent="0.25">
      <c r="A480">
        <v>242.21253400000001</v>
      </c>
      <c r="B480" s="1">
        <f>DATE(2010,12,29) + TIME(5,6,2)</f>
        <v>40541.212523148148</v>
      </c>
      <c r="C480">
        <v>551.85894774999997</v>
      </c>
      <c r="D480">
        <v>101.32499695</v>
      </c>
      <c r="E480">
        <v>8768.4970702999999</v>
      </c>
      <c r="F480">
        <v>6854.9892577999999</v>
      </c>
      <c r="G480">
        <v>80</v>
      </c>
      <c r="H480">
        <v>71.860588074000006</v>
      </c>
      <c r="I480">
        <v>50</v>
      </c>
      <c r="J480">
        <v>49.943294524999999</v>
      </c>
      <c r="K480">
        <v>0</v>
      </c>
      <c r="L480">
        <v>1001.7429198999999</v>
      </c>
      <c r="M480">
        <v>2400</v>
      </c>
      <c r="N480">
        <v>0</v>
      </c>
    </row>
    <row r="481" spans="1:14" x14ac:dyDescent="0.25">
      <c r="A481">
        <v>243.67800399999999</v>
      </c>
      <c r="B481" s="1">
        <f>DATE(2010,12,30) + TIME(16,16,19)</f>
        <v>40542.677997685183</v>
      </c>
      <c r="C481">
        <v>551.73089600000003</v>
      </c>
      <c r="D481">
        <v>101.32499695</v>
      </c>
      <c r="E481">
        <v>8757.9335938000004</v>
      </c>
      <c r="F481">
        <v>6844.4633789</v>
      </c>
      <c r="G481">
        <v>80</v>
      </c>
      <c r="H481">
        <v>71.704856872999997</v>
      </c>
      <c r="I481">
        <v>50</v>
      </c>
      <c r="J481">
        <v>49.943466186999999</v>
      </c>
      <c r="K481">
        <v>0</v>
      </c>
      <c r="L481">
        <v>1000.8873291</v>
      </c>
      <c r="M481">
        <v>2400</v>
      </c>
      <c r="N481">
        <v>0</v>
      </c>
    </row>
    <row r="482" spans="1:14" x14ac:dyDescent="0.25">
      <c r="A482">
        <v>245</v>
      </c>
      <c r="B482" s="1">
        <f>DATE(2011,1,1) + TIME(0,0,0)</f>
        <v>40544</v>
      </c>
      <c r="C482">
        <v>551.55303954999999</v>
      </c>
      <c r="D482">
        <v>101.32499695</v>
      </c>
      <c r="E482">
        <v>8747.6611327999999</v>
      </c>
      <c r="F482">
        <v>6834.2265625</v>
      </c>
      <c r="G482">
        <v>80</v>
      </c>
      <c r="H482">
        <v>71.559112549000005</v>
      </c>
      <c r="I482">
        <v>50</v>
      </c>
      <c r="J482">
        <v>49.943569183000001</v>
      </c>
      <c r="K482">
        <v>0</v>
      </c>
      <c r="L482">
        <v>1000.0009155</v>
      </c>
      <c r="M482">
        <v>2400</v>
      </c>
      <c r="N482">
        <v>0</v>
      </c>
    </row>
    <row r="483" spans="1:14" x14ac:dyDescent="0.25">
      <c r="A483">
        <v>246.50198700000001</v>
      </c>
      <c r="B483" s="1">
        <f>DATE(2011,1,2) + TIME(12,2,51)</f>
        <v>40545.501979166664</v>
      </c>
      <c r="C483">
        <v>551.49786376999998</v>
      </c>
      <c r="D483">
        <v>101.32499695</v>
      </c>
      <c r="E483">
        <v>8738.1464844000002</v>
      </c>
      <c r="F483">
        <v>6824.7470702999999</v>
      </c>
      <c r="G483">
        <v>80</v>
      </c>
      <c r="H483">
        <v>71.403205872000001</v>
      </c>
      <c r="I483">
        <v>50</v>
      </c>
      <c r="J483">
        <v>49.943805695000002</v>
      </c>
      <c r="K483">
        <v>0</v>
      </c>
      <c r="L483">
        <v>999.21099853999999</v>
      </c>
      <c r="M483">
        <v>2400</v>
      </c>
      <c r="N483">
        <v>0</v>
      </c>
    </row>
    <row r="484" spans="1:14" x14ac:dyDescent="0.25">
      <c r="A484">
        <v>248.093816</v>
      </c>
      <c r="B484" s="1">
        <f>DATE(2011,1,4) + TIME(2,15,5)</f>
        <v>40547.093807870369</v>
      </c>
      <c r="C484">
        <v>551.38201904000005</v>
      </c>
      <c r="D484">
        <v>101.32499695</v>
      </c>
      <c r="E484">
        <v>8727.9931641000003</v>
      </c>
      <c r="F484">
        <v>6814.6298827999999</v>
      </c>
      <c r="G484">
        <v>80</v>
      </c>
      <c r="H484">
        <v>71.240791321000003</v>
      </c>
      <c r="I484">
        <v>50</v>
      </c>
      <c r="J484">
        <v>49.943992614999999</v>
      </c>
      <c r="K484">
        <v>0</v>
      </c>
      <c r="L484">
        <v>998.30035399999997</v>
      </c>
      <c r="M484">
        <v>2400</v>
      </c>
      <c r="N484">
        <v>0</v>
      </c>
    </row>
    <row r="485" spans="1:14" x14ac:dyDescent="0.25">
      <c r="A485">
        <v>249.71069299999999</v>
      </c>
      <c r="B485" s="1">
        <f>DATE(2011,1,5) + TIME(17,3,23)</f>
        <v>40548.710682870369</v>
      </c>
      <c r="C485">
        <v>551.23876953000001</v>
      </c>
      <c r="D485">
        <v>101.32499695</v>
      </c>
      <c r="E485">
        <v>8717.5615233999997</v>
      </c>
      <c r="F485">
        <v>6804.2338866999999</v>
      </c>
      <c r="G485">
        <v>80</v>
      </c>
      <c r="H485">
        <v>71.075210571</v>
      </c>
      <c r="I485">
        <v>50</v>
      </c>
      <c r="J485">
        <v>49.944152832</v>
      </c>
      <c r="K485">
        <v>0</v>
      </c>
      <c r="L485">
        <v>997.32214354999996</v>
      </c>
      <c r="M485">
        <v>2400</v>
      </c>
      <c r="N485">
        <v>0</v>
      </c>
    </row>
    <row r="486" spans="1:14" x14ac:dyDescent="0.25">
      <c r="A486">
        <v>251.329992</v>
      </c>
      <c r="B486" s="1">
        <f>DATE(2011,1,7) + TIME(7,55,11)</f>
        <v>40550.329988425925</v>
      </c>
      <c r="C486">
        <v>551.09552001999998</v>
      </c>
      <c r="D486">
        <v>101.32499695</v>
      </c>
      <c r="E486">
        <v>8707.2294922000001</v>
      </c>
      <c r="F486">
        <v>6793.9375</v>
      </c>
      <c r="G486">
        <v>80</v>
      </c>
      <c r="H486">
        <v>70.908454895000006</v>
      </c>
      <c r="I486">
        <v>50</v>
      </c>
      <c r="J486">
        <v>49.944313049000002</v>
      </c>
      <c r="K486">
        <v>0</v>
      </c>
      <c r="L486">
        <v>996.31970215000001</v>
      </c>
      <c r="M486">
        <v>2400</v>
      </c>
      <c r="N486">
        <v>0</v>
      </c>
    </row>
    <row r="487" spans="1:14" x14ac:dyDescent="0.25">
      <c r="A487">
        <v>252.960714</v>
      </c>
      <c r="B487" s="1">
        <f>DATE(2011,1,8) + TIME(23,3,25)</f>
        <v>40551.960706018515</v>
      </c>
      <c r="C487">
        <v>550.96386718999997</v>
      </c>
      <c r="D487">
        <v>101.32499695</v>
      </c>
      <c r="E487">
        <v>8697.1318358999997</v>
      </c>
      <c r="F487">
        <v>6783.8745116999999</v>
      </c>
      <c r="G487">
        <v>80</v>
      </c>
      <c r="H487">
        <v>70.740638732999997</v>
      </c>
      <c r="I487">
        <v>50</v>
      </c>
      <c r="J487">
        <v>49.944484711000001</v>
      </c>
      <c r="K487">
        <v>0</v>
      </c>
      <c r="L487">
        <v>995.30792236000002</v>
      </c>
      <c r="M487">
        <v>2400</v>
      </c>
      <c r="N487">
        <v>0</v>
      </c>
    </row>
    <row r="488" spans="1:14" x14ac:dyDescent="0.25">
      <c r="A488">
        <v>254.61153400000001</v>
      </c>
      <c r="B488" s="1">
        <f>DATE(2011,1,10) + TIME(14,40,36)</f>
        <v>40553.611527777779</v>
      </c>
      <c r="C488">
        <v>550.84020996000004</v>
      </c>
      <c r="D488">
        <v>101.32499695</v>
      </c>
      <c r="E488">
        <v>8687.2314452999999</v>
      </c>
      <c r="F488">
        <v>6774.0073241999999</v>
      </c>
      <c r="G488">
        <v>80</v>
      </c>
      <c r="H488">
        <v>70.571517943999993</v>
      </c>
      <c r="I488">
        <v>50</v>
      </c>
      <c r="J488">
        <v>49.944664001</v>
      </c>
      <c r="K488">
        <v>0</v>
      </c>
      <c r="L488">
        <v>994.27990723000005</v>
      </c>
      <c r="M488">
        <v>2400</v>
      </c>
      <c r="N488">
        <v>0</v>
      </c>
    </row>
    <row r="489" spans="1:14" x14ac:dyDescent="0.25">
      <c r="A489">
        <v>256.29121600000002</v>
      </c>
      <c r="B489" s="1">
        <f>DATE(2011,1,12) + TIME(6,59,21)</f>
        <v>40555.291215277779</v>
      </c>
      <c r="C489">
        <v>550.72259521000001</v>
      </c>
      <c r="D489">
        <v>101.32499695</v>
      </c>
      <c r="E489">
        <v>8677.4746094000002</v>
      </c>
      <c r="F489">
        <v>6764.2832030999998</v>
      </c>
      <c r="G489">
        <v>80</v>
      </c>
      <c r="H489">
        <v>70.400550842000001</v>
      </c>
      <c r="I489">
        <v>50</v>
      </c>
      <c r="J489">
        <v>49.944843292000002</v>
      </c>
      <c r="K489">
        <v>0</v>
      </c>
      <c r="L489">
        <v>993.22912598000005</v>
      </c>
      <c r="M489">
        <v>2400</v>
      </c>
      <c r="N489">
        <v>0</v>
      </c>
    </row>
    <row r="490" spans="1:14" x14ac:dyDescent="0.25">
      <c r="A490">
        <v>258.00892499999998</v>
      </c>
      <c r="B490" s="1">
        <f>DATE(2011,1,14) + TIME(0,12,51)</f>
        <v>40557.008923611109</v>
      </c>
      <c r="C490">
        <v>550.61010741999996</v>
      </c>
      <c r="D490">
        <v>101.32499695</v>
      </c>
      <c r="E490">
        <v>8667.8105469000002</v>
      </c>
      <c r="F490">
        <v>6754.6518555000002</v>
      </c>
      <c r="G490">
        <v>80</v>
      </c>
      <c r="H490">
        <v>70.227050781000003</v>
      </c>
      <c r="I490">
        <v>50</v>
      </c>
      <c r="J490">
        <v>49.945022582999997</v>
      </c>
      <c r="K490">
        <v>0</v>
      </c>
      <c r="L490">
        <v>992.14886475000003</v>
      </c>
      <c r="M490">
        <v>2400</v>
      </c>
      <c r="N490">
        <v>0</v>
      </c>
    </row>
    <row r="491" spans="1:14" x14ac:dyDescent="0.25">
      <c r="A491">
        <v>259.774565</v>
      </c>
      <c r="B491" s="1">
        <f>DATE(2011,1,15) + TIME(18,35,22)</f>
        <v>40558.774560185186</v>
      </c>
      <c r="C491">
        <v>550.50219727000001</v>
      </c>
      <c r="D491">
        <v>101.32499695</v>
      </c>
      <c r="E491">
        <v>8658.1914061999996</v>
      </c>
      <c r="F491">
        <v>6745.0639647999997</v>
      </c>
      <c r="G491">
        <v>80</v>
      </c>
      <c r="H491">
        <v>70.050209045000003</v>
      </c>
      <c r="I491">
        <v>50</v>
      </c>
      <c r="J491">
        <v>49.945209503000001</v>
      </c>
      <c r="K491">
        <v>0</v>
      </c>
      <c r="L491">
        <v>991.03222656000003</v>
      </c>
      <c r="M491">
        <v>2400</v>
      </c>
      <c r="N491">
        <v>0</v>
      </c>
    </row>
    <row r="492" spans="1:14" x14ac:dyDescent="0.25">
      <c r="A492">
        <v>261.59917000000002</v>
      </c>
      <c r="B492" s="1">
        <f>DATE(2011,1,17) + TIME(14,22,48)</f>
        <v>40560.599166666667</v>
      </c>
      <c r="C492">
        <v>550.39923095999995</v>
      </c>
      <c r="D492">
        <v>101.32499695</v>
      </c>
      <c r="E492">
        <v>8648.5683594000002</v>
      </c>
      <c r="F492">
        <v>6735.4721680000002</v>
      </c>
      <c r="G492">
        <v>80</v>
      </c>
      <c r="H492">
        <v>69.868942261000001</v>
      </c>
      <c r="I492">
        <v>50</v>
      </c>
      <c r="J492">
        <v>49.945396422999998</v>
      </c>
      <c r="K492">
        <v>0</v>
      </c>
      <c r="L492">
        <v>989.87127685999997</v>
      </c>
      <c r="M492">
        <v>2400</v>
      </c>
      <c r="N492">
        <v>0</v>
      </c>
    </row>
    <row r="493" spans="1:14" x14ac:dyDescent="0.25">
      <c r="A493">
        <v>263.45994400000001</v>
      </c>
      <c r="B493" s="1">
        <f>DATE(2011,1,19) + TIME(11,2,19)</f>
        <v>40562.45994212963</v>
      </c>
      <c r="C493">
        <v>550.29223633000004</v>
      </c>
      <c r="D493">
        <v>101.32499695</v>
      </c>
      <c r="E493">
        <v>8638.9189452999999</v>
      </c>
      <c r="F493">
        <v>6725.8535155999998</v>
      </c>
      <c r="G493">
        <v>80</v>
      </c>
      <c r="H493">
        <v>69.684234618999994</v>
      </c>
      <c r="I493">
        <v>50</v>
      </c>
      <c r="J493">
        <v>49.945583343999999</v>
      </c>
      <c r="K493">
        <v>0</v>
      </c>
      <c r="L493">
        <v>988.65557861000002</v>
      </c>
      <c r="M493">
        <v>2400</v>
      </c>
      <c r="N493">
        <v>0</v>
      </c>
    </row>
    <row r="494" spans="1:14" x14ac:dyDescent="0.25">
      <c r="A494">
        <v>265.32230600000003</v>
      </c>
      <c r="B494" s="1">
        <f>DATE(2011,1,21) + TIME(7,44,7)</f>
        <v>40564.32230324074</v>
      </c>
      <c r="C494">
        <v>550.18395996000004</v>
      </c>
      <c r="D494">
        <v>101.32499695</v>
      </c>
      <c r="E494">
        <v>8629.3583983999997</v>
      </c>
      <c r="F494">
        <v>6716.3237305000002</v>
      </c>
      <c r="G494">
        <v>80</v>
      </c>
      <c r="H494">
        <v>69.498260497999993</v>
      </c>
      <c r="I494">
        <v>50</v>
      </c>
      <c r="J494">
        <v>49.945758820000002</v>
      </c>
      <c r="K494">
        <v>0</v>
      </c>
      <c r="L494">
        <v>987.39862060999997</v>
      </c>
      <c r="M494">
        <v>2400</v>
      </c>
      <c r="N494">
        <v>0</v>
      </c>
    </row>
    <row r="495" spans="1:14" x14ac:dyDescent="0.25">
      <c r="A495">
        <v>267.19658299999998</v>
      </c>
      <c r="B495" s="1">
        <f>DATE(2011,1,23) + TIME(4,43,4)</f>
        <v>40566.196574074071</v>
      </c>
      <c r="C495">
        <v>550.09234618999994</v>
      </c>
      <c r="D495">
        <v>101.32499695</v>
      </c>
      <c r="E495">
        <v>8620.0185547000001</v>
      </c>
      <c r="F495">
        <v>6707.0122069999998</v>
      </c>
      <c r="G495">
        <v>80</v>
      </c>
      <c r="H495">
        <v>69.311080933</v>
      </c>
      <c r="I495">
        <v>50</v>
      </c>
      <c r="J495">
        <v>49.945945739999999</v>
      </c>
      <c r="K495">
        <v>0</v>
      </c>
      <c r="L495">
        <v>986.12530518000005</v>
      </c>
      <c r="M495">
        <v>2400</v>
      </c>
      <c r="N495">
        <v>0</v>
      </c>
    </row>
    <row r="496" spans="1:14" x14ac:dyDescent="0.25">
      <c r="A496">
        <v>269.09282400000001</v>
      </c>
      <c r="B496" s="1">
        <f>DATE(2011,1,25) + TIME(2,13,39)</f>
        <v>40568.092812499999</v>
      </c>
      <c r="C496">
        <v>550.01428223000005</v>
      </c>
      <c r="D496">
        <v>101.32499695</v>
      </c>
      <c r="E496">
        <v>8610.8632811999996</v>
      </c>
      <c r="F496">
        <v>6697.8847655999998</v>
      </c>
      <c r="G496">
        <v>80</v>
      </c>
      <c r="H496">
        <v>69.122314453000001</v>
      </c>
      <c r="I496">
        <v>50</v>
      </c>
      <c r="J496">
        <v>49.946132660000004</v>
      </c>
      <c r="K496">
        <v>0</v>
      </c>
      <c r="L496">
        <v>984.82745361000002</v>
      </c>
      <c r="M496">
        <v>2400</v>
      </c>
      <c r="N496">
        <v>0</v>
      </c>
    </row>
    <row r="497" spans="1:14" x14ac:dyDescent="0.25">
      <c r="A497">
        <v>271.02112</v>
      </c>
      <c r="B497" s="1">
        <f>DATE(2011,1,27) + TIME(0,30,24)</f>
        <v>40570.021111111113</v>
      </c>
      <c r="C497">
        <v>549.94818114999998</v>
      </c>
      <c r="D497">
        <v>101.32499695</v>
      </c>
      <c r="E497">
        <v>8601.8427733999997</v>
      </c>
      <c r="F497">
        <v>6688.8920897999997</v>
      </c>
      <c r="G497">
        <v>80</v>
      </c>
      <c r="H497">
        <v>68.931274414000001</v>
      </c>
      <c r="I497">
        <v>50</v>
      </c>
      <c r="J497">
        <v>49.946319580000001</v>
      </c>
      <c r="K497">
        <v>0</v>
      </c>
      <c r="L497">
        <v>983.49676513999998</v>
      </c>
      <c r="M497">
        <v>2400</v>
      </c>
      <c r="N497">
        <v>0</v>
      </c>
    </row>
    <row r="498" spans="1:14" x14ac:dyDescent="0.25">
      <c r="A498">
        <v>272.99203499999999</v>
      </c>
      <c r="B498" s="1">
        <f>DATE(2011,1,28) + TIME(23,48,31)</f>
        <v>40571.992025462961</v>
      </c>
      <c r="C498">
        <v>549.89361571999996</v>
      </c>
      <c r="D498">
        <v>101.32499695</v>
      </c>
      <c r="E498">
        <v>8592.9111327999999</v>
      </c>
      <c r="F498">
        <v>6679.9868164</v>
      </c>
      <c r="G498">
        <v>80</v>
      </c>
      <c r="H498">
        <v>68.737129210999996</v>
      </c>
      <c r="I498">
        <v>50</v>
      </c>
      <c r="J498">
        <v>49.946514129999997</v>
      </c>
      <c r="K498">
        <v>0</v>
      </c>
      <c r="L498">
        <v>982.12512206999997</v>
      </c>
      <c r="M498">
        <v>2400</v>
      </c>
      <c r="N498">
        <v>0</v>
      </c>
    </row>
    <row r="499" spans="1:14" x14ac:dyDescent="0.25">
      <c r="A499">
        <v>275.01693799999998</v>
      </c>
      <c r="B499" s="1">
        <f>DATE(2011,1,31) + TIME(0,24,23)</f>
        <v>40574.016932870371</v>
      </c>
      <c r="C499">
        <v>549.85101318</v>
      </c>
      <c r="D499">
        <v>101.32499695</v>
      </c>
      <c r="E499">
        <v>8584.0214844000002</v>
      </c>
      <c r="F499">
        <v>6671.1235352000003</v>
      </c>
      <c r="G499">
        <v>80</v>
      </c>
      <c r="H499">
        <v>68.538856506000002</v>
      </c>
      <c r="I499">
        <v>50</v>
      </c>
      <c r="J499">
        <v>49.946708678999997</v>
      </c>
      <c r="K499">
        <v>0</v>
      </c>
      <c r="L499">
        <v>980.70343018000005</v>
      </c>
      <c r="M499">
        <v>2400</v>
      </c>
      <c r="N499">
        <v>0</v>
      </c>
    </row>
    <row r="500" spans="1:14" x14ac:dyDescent="0.25">
      <c r="A500">
        <v>276</v>
      </c>
      <c r="B500" s="1">
        <f>DATE(2011,2,1) + TIME(0,0,0)</f>
        <v>40575</v>
      </c>
      <c r="C500">
        <v>549.42822265999996</v>
      </c>
      <c r="D500">
        <v>101.32499695</v>
      </c>
      <c r="E500">
        <v>8576.2890625</v>
      </c>
      <c r="F500">
        <v>6663.4086914</v>
      </c>
      <c r="G500">
        <v>80</v>
      </c>
      <c r="H500">
        <v>68.413848877000007</v>
      </c>
      <c r="I500">
        <v>50</v>
      </c>
      <c r="J500">
        <v>49.946590424</v>
      </c>
      <c r="K500">
        <v>0</v>
      </c>
      <c r="L500">
        <v>979.15588378999996</v>
      </c>
      <c r="M500">
        <v>2400</v>
      </c>
      <c r="N500">
        <v>0</v>
      </c>
    </row>
    <row r="501" spans="1:14" x14ac:dyDescent="0.25">
      <c r="A501">
        <v>278.08825899999999</v>
      </c>
      <c r="B501" s="1">
        <f>DATE(2011,2,3) + TIME(2,7,5)</f>
        <v>40577.088252314818</v>
      </c>
      <c r="C501">
        <v>549.88726807</v>
      </c>
      <c r="D501">
        <v>101.32499695</v>
      </c>
      <c r="E501">
        <v>8570.4794922000001</v>
      </c>
      <c r="F501">
        <v>6657.6206055000002</v>
      </c>
      <c r="G501">
        <v>80</v>
      </c>
      <c r="H501">
        <v>68.222297667999996</v>
      </c>
      <c r="I501">
        <v>50</v>
      </c>
      <c r="J501">
        <v>49.947052002</v>
      </c>
      <c r="K501">
        <v>0</v>
      </c>
      <c r="L501">
        <v>978.50335693</v>
      </c>
      <c r="M501">
        <v>2400</v>
      </c>
      <c r="N501">
        <v>0</v>
      </c>
    </row>
    <row r="502" spans="1:14" x14ac:dyDescent="0.25">
      <c r="A502">
        <v>280.20468599999998</v>
      </c>
      <c r="B502" s="1">
        <f>DATE(2011,2,5) + TIME(4,54,44)</f>
        <v>40579.204675925925</v>
      </c>
      <c r="C502">
        <v>549.82977295000001</v>
      </c>
      <c r="D502">
        <v>101.32499695</v>
      </c>
      <c r="E502">
        <v>8562.0458983999997</v>
      </c>
      <c r="F502">
        <v>6649.2109375</v>
      </c>
      <c r="G502">
        <v>80</v>
      </c>
      <c r="H502">
        <v>68.021858214999995</v>
      </c>
      <c r="I502">
        <v>50</v>
      </c>
      <c r="J502">
        <v>49.947219849</v>
      </c>
      <c r="K502">
        <v>0</v>
      </c>
      <c r="L502">
        <v>976.93414307</v>
      </c>
      <c r="M502">
        <v>2400</v>
      </c>
      <c r="N502">
        <v>0</v>
      </c>
    </row>
    <row r="503" spans="1:14" x14ac:dyDescent="0.25">
      <c r="A503">
        <v>282.33026799999999</v>
      </c>
      <c r="B503" s="1">
        <f>DATE(2011,2,7) + TIME(7,55,35)</f>
        <v>40581.330266203702</v>
      </c>
      <c r="C503">
        <v>549.80114746000004</v>
      </c>
      <c r="D503">
        <v>101.32499695</v>
      </c>
      <c r="E503">
        <v>8553.4326172000001</v>
      </c>
      <c r="F503">
        <v>6640.6206055000002</v>
      </c>
      <c r="G503">
        <v>80</v>
      </c>
      <c r="H503">
        <v>67.816184997999997</v>
      </c>
      <c r="I503">
        <v>50</v>
      </c>
      <c r="J503">
        <v>49.947391510000003</v>
      </c>
      <c r="K503">
        <v>0</v>
      </c>
      <c r="L503">
        <v>975.31909180000002</v>
      </c>
      <c r="M503">
        <v>2400</v>
      </c>
      <c r="N503">
        <v>0</v>
      </c>
    </row>
    <row r="504" spans="1:14" x14ac:dyDescent="0.25">
      <c r="A504">
        <v>284.47681399999999</v>
      </c>
      <c r="B504" s="1">
        <f>DATE(2011,2,9) + TIME(11,26,36)</f>
        <v>40583.476805555554</v>
      </c>
      <c r="C504">
        <v>549.80682373000002</v>
      </c>
      <c r="D504">
        <v>101.32499695</v>
      </c>
      <c r="E504">
        <v>8544.9511719000002</v>
      </c>
      <c r="F504">
        <v>6632.1606444999998</v>
      </c>
      <c r="G504">
        <v>80</v>
      </c>
      <c r="H504">
        <v>67.606475829999994</v>
      </c>
      <c r="I504">
        <v>50</v>
      </c>
      <c r="J504">
        <v>49.947582245</v>
      </c>
      <c r="K504">
        <v>0</v>
      </c>
      <c r="L504">
        <v>973.67712401999995</v>
      </c>
      <c r="M504">
        <v>2400</v>
      </c>
      <c r="N504">
        <v>0</v>
      </c>
    </row>
    <row r="505" spans="1:14" x14ac:dyDescent="0.25">
      <c r="A505">
        <v>286.65576900000002</v>
      </c>
      <c r="B505" s="1">
        <f>DATE(2011,2,11) + TIME(15,44,18)</f>
        <v>40585.655763888892</v>
      </c>
      <c r="C505">
        <v>549.83874512</v>
      </c>
      <c r="D505">
        <v>101.32499695</v>
      </c>
      <c r="E505">
        <v>8536.5966797000001</v>
      </c>
      <c r="F505">
        <v>6623.8286133000001</v>
      </c>
      <c r="G505">
        <v>80</v>
      </c>
      <c r="H505">
        <v>67.392845154</v>
      </c>
      <c r="I505">
        <v>50</v>
      </c>
      <c r="J505">
        <v>49.947776793999999</v>
      </c>
      <c r="K505">
        <v>0</v>
      </c>
      <c r="L505">
        <v>971.99505614999998</v>
      </c>
      <c r="M505">
        <v>2400</v>
      </c>
      <c r="N505">
        <v>0</v>
      </c>
    </row>
    <row r="506" spans="1:14" x14ac:dyDescent="0.25">
      <c r="A506">
        <v>288.87900000000002</v>
      </c>
      <c r="B506" s="1">
        <f>DATE(2011,2,13) + TIME(21,5,45)</f>
        <v>40587.878993055558</v>
      </c>
      <c r="C506">
        <v>549.89422606999995</v>
      </c>
      <c r="D506">
        <v>101.32499695</v>
      </c>
      <c r="E506">
        <v>8528.3330077999999</v>
      </c>
      <c r="F506">
        <v>6615.5864258000001</v>
      </c>
      <c r="G506">
        <v>80</v>
      </c>
      <c r="H506">
        <v>67.174789429</v>
      </c>
      <c r="I506">
        <v>50</v>
      </c>
      <c r="J506">
        <v>49.947978972999998</v>
      </c>
      <c r="K506">
        <v>0</v>
      </c>
      <c r="L506">
        <v>970.26196288999995</v>
      </c>
      <c r="M506">
        <v>2400</v>
      </c>
      <c r="N506">
        <v>0</v>
      </c>
    </row>
    <row r="507" spans="1:14" x14ac:dyDescent="0.25">
      <c r="A507">
        <v>291.15917300000001</v>
      </c>
      <c r="B507" s="1">
        <f>DATE(2011,2,16) + TIME(3,49,12)</f>
        <v>40590.159166666665</v>
      </c>
      <c r="C507">
        <v>549.97283935999997</v>
      </c>
      <c r="D507">
        <v>101.32499695</v>
      </c>
      <c r="E507">
        <v>8520.1210938000004</v>
      </c>
      <c r="F507">
        <v>6607.3950194999998</v>
      </c>
      <c r="G507">
        <v>80</v>
      </c>
      <c r="H507">
        <v>66.951408385999997</v>
      </c>
      <c r="I507">
        <v>50</v>
      </c>
      <c r="J507">
        <v>49.948181151999997</v>
      </c>
      <c r="K507">
        <v>0</v>
      </c>
      <c r="L507">
        <v>968.46691895000004</v>
      </c>
      <c r="M507">
        <v>2400</v>
      </c>
      <c r="N507">
        <v>0</v>
      </c>
    </row>
    <row r="508" spans="1:14" x14ac:dyDescent="0.25">
      <c r="A508">
        <v>293.510063</v>
      </c>
      <c r="B508" s="1">
        <f>DATE(2011,2,18) + TIME(12,14,29)</f>
        <v>40592.510057870371</v>
      </c>
      <c r="C508">
        <v>550.07574463000003</v>
      </c>
      <c r="D508">
        <v>101.32499695</v>
      </c>
      <c r="E508">
        <v>8511.9199219000002</v>
      </c>
      <c r="F508">
        <v>6599.2133789</v>
      </c>
      <c r="G508">
        <v>80</v>
      </c>
      <c r="H508">
        <v>66.721557617000002</v>
      </c>
      <c r="I508">
        <v>50</v>
      </c>
      <c r="J508">
        <v>49.948390961000001</v>
      </c>
      <c r="K508">
        <v>0</v>
      </c>
      <c r="L508">
        <v>966.59790038999995</v>
      </c>
      <c r="M508">
        <v>2400</v>
      </c>
      <c r="N508">
        <v>0</v>
      </c>
    </row>
    <row r="509" spans="1:14" x14ac:dyDescent="0.25">
      <c r="A509">
        <v>295.88561499999997</v>
      </c>
      <c r="B509" s="1">
        <f>DATE(2011,2,20) + TIME(21,15,17)</f>
        <v>40594.885613425926</v>
      </c>
      <c r="C509">
        <v>550.18719481999995</v>
      </c>
      <c r="D509">
        <v>101.32499695</v>
      </c>
      <c r="E509">
        <v>8503.7138672000001</v>
      </c>
      <c r="F509">
        <v>6591.0268555000002</v>
      </c>
      <c r="G509">
        <v>80</v>
      </c>
      <c r="H509">
        <v>66.486999511999997</v>
      </c>
      <c r="I509">
        <v>50</v>
      </c>
      <c r="J509">
        <v>49.948589325</v>
      </c>
      <c r="K509">
        <v>0</v>
      </c>
      <c r="L509">
        <v>964.63842772999999</v>
      </c>
      <c r="M509">
        <v>2400</v>
      </c>
      <c r="N509">
        <v>0</v>
      </c>
    </row>
    <row r="510" spans="1:14" x14ac:dyDescent="0.25">
      <c r="A510">
        <v>298.26691399999999</v>
      </c>
      <c r="B510" s="1">
        <f>DATE(2011,2,23) + TIME(6,24,21)</f>
        <v>40597.266909722224</v>
      </c>
      <c r="C510">
        <v>550.32244873000002</v>
      </c>
      <c r="D510">
        <v>101.32499695</v>
      </c>
      <c r="E510">
        <v>8495.6318358999997</v>
      </c>
      <c r="F510">
        <v>6582.9628905999998</v>
      </c>
      <c r="G510">
        <v>80</v>
      </c>
      <c r="H510">
        <v>66.249389648000005</v>
      </c>
      <c r="I510">
        <v>50</v>
      </c>
      <c r="J510">
        <v>49.948791503999999</v>
      </c>
      <c r="K510">
        <v>0</v>
      </c>
      <c r="L510">
        <v>962.62756348000005</v>
      </c>
      <c r="M510">
        <v>2400</v>
      </c>
      <c r="N510">
        <v>0</v>
      </c>
    </row>
    <row r="511" spans="1:14" x14ac:dyDescent="0.25">
      <c r="A511">
        <v>300.667148</v>
      </c>
      <c r="B511" s="1">
        <f>DATE(2011,2,25) + TIME(16,0,41)</f>
        <v>40599.667141203703</v>
      </c>
      <c r="C511">
        <v>550.49096680000002</v>
      </c>
      <c r="D511">
        <v>101.32499695</v>
      </c>
      <c r="E511">
        <v>8487.7255858999997</v>
      </c>
      <c r="F511">
        <v>6575.0751952999999</v>
      </c>
      <c r="G511">
        <v>80</v>
      </c>
      <c r="H511">
        <v>66.008728027000004</v>
      </c>
      <c r="I511">
        <v>50</v>
      </c>
      <c r="J511">
        <v>49.948997497999997</v>
      </c>
      <c r="K511">
        <v>0</v>
      </c>
      <c r="L511">
        <v>960.58251953000001</v>
      </c>
      <c r="M511">
        <v>2400</v>
      </c>
      <c r="N511">
        <v>0</v>
      </c>
    </row>
    <row r="512" spans="1:14" x14ac:dyDescent="0.25">
      <c r="A512">
        <v>303.09915100000001</v>
      </c>
      <c r="B512" s="1">
        <f>DATE(2011,2,28) + TIME(2,22,46)</f>
        <v>40602.099143518521</v>
      </c>
      <c r="C512">
        <v>550.68981933999999</v>
      </c>
      <c r="D512">
        <v>101.32499695</v>
      </c>
      <c r="E512">
        <v>8479.9609375</v>
      </c>
      <c r="F512">
        <v>6567.3271483999997</v>
      </c>
      <c r="G512">
        <v>80</v>
      </c>
      <c r="H512">
        <v>65.764381408999995</v>
      </c>
      <c r="I512">
        <v>50</v>
      </c>
      <c r="J512">
        <v>49.949203490999999</v>
      </c>
      <c r="K512">
        <v>0</v>
      </c>
      <c r="L512">
        <v>958.49133300999995</v>
      </c>
      <c r="M512">
        <v>2400</v>
      </c>
      <c r="N512">
        <v>0</v>
      </c>
    </row>
    <row r="513" spans="1:14" x14ac:dyDescent="0.25">
      <c r="A513">
        <v>304</v>
      </c>
      <c r="B513" s="1">
        <f>DATE(2011,3,1) + TIME(0,0,0)</f>
        <v>40603</v>
      </c>
      <c r="C513">
        <v>550.20318603999999</v>
      </c>
      <c r="D513">
        <v>101.32499695</v>
      </c>
      <c r="E513">
        <v>8473.6826172000001</v>
      </c>
      <c r="F513">
        <v>6561.0566405999998</v>
      </c>
      <c r="G513">
        <v>80</v>
      </c>
      <c r="H513">
        <v>65.634574889999996</v>
      </c>
      <c r="I513">
        <v>50</v>
      </c>
      <c r="J513">
        <v>49.949058532999999</v>
      </c>
      <c r="K513">
        <v>0</v>
      </c>
      <c r="L513">
        <v>956.24224853999999</v>
      </c>
      <c r="M513">
        <v>2400</v>
      </c>
      <c r="N513">
        <v>0</v>
      </c>
    </row>
    <row r="514" spans="1:14" x14ac:dyDescent="0.25">
      <c r="A514">
        <v>306.47691200000003</v>
      </c>
      <c r="B514" s="1">
        <f>DATE(2011,3,3) + TIME(11,26,45)</f>
        <v>40605.476909722223</v>
      </c>
      <c r="C514">
        <v>551.13714600000003</v>
      </c>
      <c r="D514">
        <v>101.32499695</v>
      </c>
      <c r="E514">
        <v>8469.0791016000003</v>
      </c>
      <c r="F514">
        <v>6556.46875</v>
      </c>
      <c r="G514">
        <v>80</v>
      </c>
      <c r="H514">
        <v>65.402961731000005</v>
      </c>
      <c r="I514">
        <v>50</v>
      </c>
      <c r="J514">
        <v>49.949531555</v>
      </c>
      <c r="K514">
        <v>0</v>
      </c>
      <c r="L514">
        <v>955.55139159999999</v>
      </c>
      <c r="M514">
        <v>2400</v>
      </c>
      <c r="N514">
        <v>0</v>
      </c>
    </row>
    <row r="515" spans="1:14" x14ac:dyDescent="0.25">
      <c r="A515">
        <v>309.03899799999999</v>
      </c>
      <c r="B515" s="1">
        <f>DATE(2011,3,6) + TIME(0,56,9)</f>
        <v>40608.038993055554</v>
      </c>
      <c r="C515">
        <v>551.35083008000004</v>
      </c>
      <c r="D515">
        <v>101.32499695</v>
      </c>
      <c r="E515">
        <v>8461.8945311999996</v>
      </c>
      <c r="F515">
        <v>6549.2983397999997</v>
      </c>
      <c r="G515">
        <v>80</v>
      </c>
      <c r="H515">
        <v>65.155632018999995</v>
      </c>
      <c r="I515">
        <v>50</v>
      </c>
      <c r="J515">
        <v>49.949722289999997</v>
      </c>
      <c r="K515">
        <v>0</v>
      </c>
      <c r="L515">
        <v>953.31231689000003</v>
      </c>
      <c r="M515">
        <v>2400</v>
      </c>
      <c r="N515">
        <v>0</v>
      </c>
    </row>
    <row r="516" spans="1:14" x14ac:dyDescent="0.25">
      <c r="A516">
        <v>311.672459</v>
      </c>
      <c r="B516" s="1">
        <f>DATE(2011,3,8) + TIME(16,8,20)</f>
        <v>40610.672453703701</v>
      </c>
      <c r="C516">
        <v>551.62200928000004</v>
      </c>
      <c r="D516">
        <v>101.32499695</v>
      </c>
      <c r="E516">
        <v>8454.3652344000002</v>
      </c>
      <c r="F516">
        <v>6541.7832030999998</v>
      </c>
      <c r="G516">
        <v>80</v>
      </c>
      <c r="H516">
        <v>64.895851135000001</v>
      </c>
      <c r="I516">
        <v>50</v>
      </c>
      <c r="J516">
        <v>49.949920654000003</v>
      </c>
      <c r="K516">
        <v>0</v>
      </c>
      <c r="L516">
        <v>950.96856689000003</v>
      </c>
      <c r="M516">
        <v>2400</v>
      </c>
      <c r="N516">
        <v>0</v>
      </c>
    </row>
    <row r="517" spans="1:14" x14ac:dyDescent="0.25">
      <c r="A517">
        <v>314.33341300000001</v>
      </c>
      <c r="B517" s="1">
        <f>DATE(2011,3,11) + TIME(8,0,6)</f>
        <v>40613.333402777775</v>
      </c>
      <c r="C517">
        <v>551.93164062000005</v>
      </c>
      <c r="D517">
        <v>101.32499695</v>
      </c>
      <c r="E517">
        <v>8446.7939452999999</v>
      </c>
      <c r="F517">
        <v>6534.2260741999999</v>
      </c>
      <c r="G517">
        <v>80</v>
      </c>
      <c r="H517">
        <v>64.627571106000005</v>
      </c>
      <c r="I517">
        <v>50</v>
      </c>
      <c r="J517">
        <v>49.950126648000001</v>
      </c>
      <c r="K517">
        <v>0</v>
      </c>
      <c r="L517">
        <v>948.52880859000004</v>
      </c>
      <c r="M517">
        <v>2400</v>
      </c>
      <c r="N517">
        <v>0</v>
      </c>
    </row>
    <row r="518" spans="1:14" x14ac:dyDescent="0.25">
      <c r="A518">
        <v>317.00279699999999</v>
      </c>
      <c r="B518" s="1">
        <f>DATE(2011,3,14) + TIME(0,4,1)</f>
        <v>40616.002789351849</v>
      </c>
      <c r="C518">
        <v>552.28186034999999</v>
      </c>
      <c r="D518">
        <v>101.32499695</v>
      </c>
      <c r="E518">
        <v>8439.3261719000002</v>
      </c>
      <c r="F518">
        <v>6526.7709961</v>
      </c>
      <c r="G518">
        <v>80</v>
      </c>
      <c r="H518">
        <v>64.353759765999996</v>
      </c>
      <c r="I518">
        <v>50</v>
      </c>
      <c r="J518">
        <v>49.950332641999999</v>
      </c>
      <c r="K518">
        <v>0</v>
      </c>
      <c r="L518">
        <v>946.03161621000004</v>
      </c>
      <c r="M518">
        <v>2400</v>
      </c>
      <c r="N518">
        <v>0</v>
      </c>
    </row>
    <row r="519" spans="1:14" x14ac:dyDescent="0.25">
      <c r="A519">
        <v>319.69534800000002</v>
      </c>
      <c r="B519" s="1">
        <f>DATE(2011,3,16) + TIME(16,41,18)</f>
        <v>40618.695347222223</v>
      </c>
      <c r="C519">
        <v>552.67736816000001</v>
      </c>
      <c r="D519">
        <v>101.32499695</v>
      </c>
      <c r="E519">
        <v>8432.0107422000001</v>
      </c>
      <c r="F519">
        <v>6519.4677733999997</v>
      </c>
      <c r="G519">
        <v>80</v>
      </c>
      <c r="H519">
        <v>64.075111389</v>
      </c>
      <c r="I519">
        <v>50</v>
      </c>
      <c r="J519">
        <v>49.950546265</v>
      </c>
      <c r="K519">
        <v>0</v>
      </c>
      <c r="L519">
        <v>943.49621581999997</v>
      </c>
      <c r="M519">
        <v>2400</v>
      </c>
      <c r="N519">
        <v>0</v>
      </c>
    </row>
    <row r="520" spans="1:14" x14ac:dyDescent="0.25">
      <c r="A520">
        <v>322.42445900000001</v>
      </c>
      <c r="B520" s="1">
        <f>DATE(2011,3,19) + TIME(10,11,13)</f>
        <v>40621.424456018518</v>
      </c>
      <c r="C520">
        <v>553.11273193</v>
      </c>
      <c r="D520">
        <v>101.32499695</v>
      </c>
      <c r="E520">
        <v>8424.8173827999999</v>
      </c>
      <c r="F520">
        <v>6512.2861327999999</v>
      </c>
      <c r="G520">
        <v>80</v>
      </c>
      <c r="H520">
        <v>63.791282654</v>
      </c>
      <c r="I520">
        <v>50</v>
      </c>
      <c r="J520">
        <v>49.950759888</v>
      </c>
      <c r="K520">
        <v>0</v>
      </c>
      <c r="L520">
        <v>940.90875243999994</v>
      </c>
      <c r="M520">
        <v>2400</v>
      </c>
      <c r="N520">
        <v>0</v>
      </c>
    </row>
    <row r="521" spans="1:14" x14ac:dyDescent="0.25">
      <c r="A521">
        <v>325.20285200000001</v>
      </c>
      <c r="B521" s="1">
        <f>DATE(2011,3,22) + TIME(4,52,6)</f>
        <v>40624.202847222223</v>
      </c>
      <c r="C521">
        <v>553.58728026999995</v>
      </c>
      <c r="D521">
        <v>101.32499695</v>
      </c>
      <c r="E521">
        <v>8417.7089844000002</v>
      </c>
      <c r="F521">
        <v>6505.1889647999997</v>
      </c>
      <c r="G521">
        <v>80</v>
      </c>
      <c r="H521">
        <v>63.501419067</v>
      </c>
      <c r="I521">
        <v>50</v>
      </c>
      <c r="J521">
        <v>49.950977324999997</v>
      </c>
      <c r="K521">
        <v>0</v>
      </c>
      <c r="L521">
        <v>938.25659180000002</v>
      </c>
      <c r="M521">
        <v>2400</v>
      </c>
      <c r="N521">
        <v>0</v>
      </c>
    </row>
    <row r="522" spans="1:14" x14ac:dyDescent="0.25">
      <c r="A522">
        <v>328.04455100000001</v>
      </c>
      <c r="B522" s="1">
        <f>DATE(2011,3,25) + TIME(1,4,9)</f>
        <v>40627.044548611113</v>
      </c>
      <c r="C522">
        <v>554.10284423999997</v>
      </c>
      <c r="D522">
        <v>101.32499695</v>
      </c>
      <c r="E522">
        <v>8410.6542969000002</v>
      </c>
      <c r="F522">
        <v>6498.1445311999996</v>
      </c>
      <c r="G522">
        <v>80</v>
      </c>
      <c r="H522">
        <v>63.204303740999997</v>
      </c>
      <c r="I522">
        <v>50</v>
      </c>
      <c r="J522">
        <v>49.951194762999997</v>
      </c>
      <c r="K522">
        <v>0</v>
      </c>
      <c r="L522">
        <v>935.52740478999999</v>
      </c>
      <c r="M522">
        <v>2400</v>
      </c>
      <c r="N522">
        <v>0</v>
      </c>
    </row>
    <row r="523" spans="1:14" x14ac:dyDescent="0.25">
      <c r="A523">
        <v>330.966385</v>
      </c>
      <c r="B523" s="1">
        <f>DATE(2011,3,27) + TIME(23,11,35)</f>
        <v>40629.966377314813</v>
      </c>
      <c r="C523">
        <v>554.66302489999998</v>
      </c>
      <c r="D523">
        <v>101.32499695</v>
      </c>
      <c r="E523">
        <v>8403.6191405999998</v>
      </c>
      <c r="F523">
        <v>6491.1191405999998</v>
      </c>
      <c r="G523">
        <v>80</v>
      </c>
      <c r="H523">
        <v>62.898426055999998</v>
      </c>
      <c r="I523">
        <v>50</v>
      </c>
      <c r="J523">
        <v>49.951416016000003</v>
      </c>
      <c r="K523">
        <v>0</v>
      </c>
      <c r="L523">
        <v>932.70739746000004</v>
      </c>
      <c r="M523">
        <v>2400</v>
      </c>
      <c r="N523">
        <v>0</v>
      </c>
    </row>
    <row r="524" spans="1:14" x14ac:dyDescent="0.25">
      <c r="A524">
        <v>333.91475300000002</v>
      </c>
      <c r="B524" s="1">
        <f>DATE(2011,3,30) + TIME(21,57,14)</f>
        <v>40632.91474537037</v>
      </c>
      <c r="C524">
        <v>555.24768066000001</v>
      </c>
      <c r="D524">
        <v>101.32499695</v>
      </c>
      <c r="E524">
        <v>8396.5849608999997</v>
      </c>
      <c r="F524">
        <v>6484.0942383000001</v>
      </c>
      <c r="G524">
        <v>80</v>
      </c>
      <c r="H524">
        <v>62.585704802999999</v>
      </c>
      <c r="I524">
        <v>50</v>
      </c>
      <c r="J524">
        <v>49.951633452999999</v>
      </c>
      <c r="K524">
        <v>0</v>
      </c>
      <c r="L524">
        <v>929.77667236000002</v>
      </c>
      <c r="M524">
        <v>2400</v>
      </c>
      <c r="N524">
        <v>0</v>
      </c>
    </row>
    <row r="525" spans="1:14" x14ac:dyDescent="0.25">
      <c r="A525">
        <v>335</v>
      </c>
      <c r="B525" s="1">
        <f>DATE(2011,4,1) + TIME(0,0,0)</f>
        <v>40634</v>
      </c>
      <c r="C525">
        <v>554.88232421999999</v>
      </c>
      <c r="D525">
        <v>101.32499695</v>
      </c>
      <c r="E525">
        <v>8390.8125</v>
      </c>
      <c r="F525">
        <v>6478.3227539</v>
      </c>
      <c r="G525">
        <v>80</v>
      </c>
      <c r="H525">
        <v>62.413703918000003</v>
      </c>
      <c r="I525">
        <v>50</v>
      </c>
      <c r="J525">
        <v>49.951526641999997</v>
      </c>
      <c r="K525">
        <v>0</v>
      </c>
      <c r="L525">
        <v>926.70196533000001</v>
      </c>
      <c r="M525">
        <v>2400</v>
      </c>
      <c r="N525">
        <v>0</v>
      </c>
    </row>
    <row r="526" spans="1:14" x14ac:dyDescent="0.25">
      <c r="A526">
        <v>337.95804299999998</v>
      </c>
      <c r="B526" s="1">
        <f>DATE(2011,4,3) + TIME(22,59,34)</f>
        <v>40636.958032407405</v>
      </c>
      <c r="C526">
        <v>556.31079102000001</v>
      </c>
      <c r="D526">
        <v>101.32499695</v>
      </c>
      <c r="E526">
        <v>8386.7529297000001</v>
      </c>
      <c r="F526">
        <v>6474.2753905999998</v>
      </c>
      <c r="G526">
        <v>80</v>
      </c>
      <c r="H526">
        <v>62.122890472000002</v>
      </c>
      <c r="I526">
        <v>50</v>
      </c>
      <c r="J526">
        <v>49.951969147</v>
      </c>
      <c r="K526">
        <v>0</v>
      </c>
      <c r="L526">
        <v>925.70019531000003</v>
      </c>
      <c r="M526">
        <v>2400</v>
      </c>
      <c r="N526">
        <v>0</v>
      </c>
    </row>
    <row r="527" spans="1:14" x14ac:dyDescent="0.25">
      <c r="A527">
        <v>340.95794100000001</v>
      </c>
      <c r="B527" s="1">
        <f>DATE(2011,4,6) + TIME(22,59,26)</f>
        <v>40639.957939814813</v>
      </c>
      <c r="C527">
        <v>556.89202881000006</v>
      </c>
      <c r="D527">
        <v>101.32499695</v>
      </c>
      <c r="E527">
        <v>8380.3535155999998</v>
      </c>
      <c r="F527">
        <v>6467.8818358999997</v>
      </c>
      <c r="G527">
        <v>80</v>
      </c>
      <c r="H527">
        <v>61.812480927000003</v>
      </c>
      <c r="I527">
        <v>50</v>
      </c>
      <c r="J527">
        <v>49.952167510999999</v>
      </c>
      <c r="K527">
        <v>0</v>
      </c>
      <c r="L527">
        <v>922.65991211000005</v>
      </c>
      <c r="M527">
        <v>2400</v>
      </c>
      <c r="N527">
        <v>0</v>
      </c>
    </row>
    <row r="528" spans="1:14" x14ac:dyDescent="0.25">
      <c r="A528">
        <v>344.002815</v>
      </c>
      <c r="B528" s="1">
        <f>DATE(2011,4,10) + TIME(0,4,3)</f>
        <v>40643.002812500003</v>
      </c>
      <c r="C528">
        <v>557.57318114999998</v>
      </c>
      <c r="D528">
        <v>101.32499695</v>
      </c>
      <c r="E528">
        <v>8373.7412108999997</v>
      </c>
      <c r="F528">
        <v>6461.2758789</v>
      </c>
      <c r="G528">
        <v>80</v>
      </c>
      <c r="H528">
        <v>61.489006042</v>
      </c>
      <c r="I528">
        <v>50</v>
      </c>
      <c r="J528">
        <v>49.952373504999997</v>
      </c>
      <c r="K528">
        <v>0</v>
      </c>
      <c r="L528">
        <v>919.56286621000004</v>
      </c>
      <c r="M528">
        <v>2400</v>
      </c>
      <c r="N528">
        <v>0</v>
      </c>
    </row>
    <row r="529" spans="1:14" x14ac:dyDescent="0.25">
      <c r="A529">
        <v>347.109914</v>
      </c>
      <c r="B529" s="1">
        <f>DATE(2011,4,13) + TIME(2,38,16)</f>
        <v>40646.109907407408</v>
      </c>
      <c r="C529">
        <v>558.32659911999997</v>
      </c>
      <c r="D529">
        <v>101.32499695</v>
      </c>
      <c r="E529">
        <v>8367.1484375</v>
      </c>
      <c r="F529">
        <v>6454.6884766000003</v>
      </c>
      <c r="G529">
        <v>80</v>
      </c>
      <c r="H529">
        <v>61.154800414999997</v>
      </c>
      <c r="I529">
        <v>50</v>
      </c>
      <c r="J529">
        <v>49.952590942</v>
      </c>
      <c r="K529">
        <v>0</v>
      </c>
      <c r="L529">
        <v>916.39959716999999</v>
      </c>
      <c r="M529">
        <v>2400</v>
      </c>
      <c r="N529">
        <v>0</v>
      </c>
    </row>
    <row r="530" spans="1:14" x14ac:dyDescent="0.25">
      <c r="A530">
        <v>350.294713</v>
      </c>
      <c r="B530" s="1">
        <f>DATE(2011,4,16) + TIME(7,4,23)</f>
        <v>40649.294710648152</v>
      </c>
      <c r="C530">
        <v>559.13977050999995</v>
      </c>
      <c r="D530">
        <v>101.32499695</v>
      </c>
      <c r="E530">
        <v>8360.5742188000004</v>
      </c>
      <c r="F530">
        <v>6448.1206055000002</v>
      </c>
      <c r="G530">
        <v>80</v>
      </c>
      <c r="H530">
        <v>60.810123443999998</v>
      </c>
      <c r="I530">
        <v>50</v>
      </c>
      <c r="J530">
        <v>49.952816009999999</v>
      </c>
      <c r="K530">
        <v>0</v>
      </c>
      <c r="L530">
        <v>913.15118408000001</v>
      </c>
      <c r="M530">
        <v>2400</v>
      </c>
      <c r="N530">
        <v>0</v>
      </c>
    </row>
    <row r="531" spans="1:14" x14ac:dyDescent="0.25">
      <c r="A531">
        <v>353.543297</v>
      </c>
      <c r="B531" s="1">
        <f>DATE(2011,4,19) + TIME(13,2,20)</f>
        <v>40652.543287037035</v>
      </c>
      <c r="C531">
        <v>560.00061034999999</v>
      </c>
      <c r="D531">
        <v>101.32499695</v>
      </c>
      <c r="E531">
        <v>8354.0029297000001</v>
      </c>
      <c r="F531">
        <v>6441.5537108999997</v>
      </c>
      <c r="G531">
        <v>80</v>
      </c>
      <c r="H531">
        <v>60.455764770999998</v>
      </c>
      <c r="I531">
        <v>50</v>
      </c>
      <c r="J531">
        <v>49.953041077000002</v>
      </c>
      <c r="K531">
        <v>0</v>
      </c>
      <c r="L531">
        <v>909.80157470999995</v>
      </c>
      <c r="M531">
        <v>2400</v>
      </c>
      <c r="N531">
        <v>0</v>
      </c>
    </row>
    <row r="532" spans="1:14" x14ac:dyDescent="0.25">
      <c r="A532">
        <v>356.80495200000001</v>
      </c>
      <c r="B532" s="1">
        <f>DATE(2011,4,22) + TIME(19,19,7)</f>
        <v>40655.804942129631</v>
      </c>
      <c r="C532">
        <v>560.89556885000002</v>
      </c>
      <c r="D532">
        <v>101.32499695</v>
      </c>
      <c r="E532">
        <v>8347.4648438000004</v>
      </c>
      <c r="F532">
        <v>6435.0200194999998</v>
      </c>
      <c r="G532">
        <v>80</v>
      </c>
      <c r="H532">
        <v>60.094841002999999</v>
      </c>
      <c r="I532">
        <v>50</v>
      </c>
      <c r="J532">
        <v>49.953262328999998</v>
      </c>
      <c r="K532">
        <v>0</v>
      </c>
      <c r="L532">
        <v>906.36651611000002</v>
      </c>
      <c r="M532">
        <v>2400</v>
      </c>
      <c r="N532">
        <v>0</v>
      </c>
    </row>
    <row r="533" spans="1:14" x14ac:dyDescent="0.25">
      <c r="A533">
        <v>360.08742699999999</v>
      </c>
      <c r="B533" s="1">
        <f>DATE(2011,4,26) + TIME(2,5,53)</f>
        <v>40659.087418981479</v>
      </c>
      <c r="C533">
        <v>561.84069824000005</v>
      </c>
      <c r="D533">
        <v>101.32499695</v>
      </c>
      <c r="E533">
        <v>8341.0419922000001</v>
      </c>
      <c r="F533">
        <v>6428.6000977000003</v>
      </c>
      <c r="G533">
        <v>80</v>
      </c>
      <c r="H533">
        <v>59.728626251000001</v>
      </c>
      <c r="I533">
        <v>50</v>
      </c>
      <c r="J533">
        <v>49.953483581999997</v>
      </c>
      <c r="K533">
        <v>0</v>
      </c>
      <c r="L533">
        <v>902.90319824000005</v>
      </c>
      <c r="M533">
        <v>2400</v>
      </c>
      <c r="N533">
        <v>0</v>
      </c>
    </row>
    <row r="534" spans="1:14" x14ac:dyDescent="0.25">
      <c r="A534">
        <v>363.407599</v>
      </c>
      <c r="B534" s="1">
        <f>DATE(2011,4,29) + TIME(9,46,56)</f>
        <v>40662.407592592594</v>
      </c>
      <c r="C534">
        <v>562.83270263999998</v>
      </c>
      <c r="D534">
        <v>101.32499695</v>
      </c>
      <c r="E534">
        <v>8334.7236327999999</v>
      </c>
      <c r="F534">
        <v>6422.2846680000002</v>
      </c>
      <c r="G534">
        <v>80</v>
      </c>
      <c r="H534">
        <v>59.357059479</v>
      </c>
      <c r="I534">
        <v>50</v>
      </c>
      <c r="J534">
        <v>49.953708648999999</v>
      </c>
      <c r="K534">
        <v>0</v>
      </c>
      <c r="L534">
        <v>899.40545654000005</v>
      </c>
      <c r="M534">
        <v>2400</v>
      </c>
      <c r="N534">
        <v>0</v>
      </c>
    </row>
    <row r="535" spans="1:14" x14ac:dyDescent="0.25">
      <c r="A535">
        <v>365</v>
      </c>
      <c r="B535" s="1">
        <f>DATE(2011,5,1) + TIME(0,0,0)</f>
        <v>40664</v>
      </c>
      <c r="C535">
        <v>562.93823241999996</v>
      </c>
      <c r="D535">
        <v>101.32499695</v>
      </c>
      <c r="E535">
        <v>8329.1484375</v>
      </c>
      <c r="F535">
        <v>6416.7080077999999</v>
      </c>
      <c r="G535">
        <v>80</v>
      </c>
      <c r="H535">
        <v>59.108890533</v>
      </c>
      <c r="I535">
        <v>50</v>
      </c>
      <c r="J535">
        <v>49.953697204999997</v>
      </c>
      <c r="K535">
        <v>0</v>
      </c>
      <c r="L535">
        <v>895.82012939000003</v>
      </c>
      <c r="M535">
        <v>2400</v>
      </c>
      <c r="N535">
        <v>0</v>
      </c>
    </row>
    <row r="536" spans="1:14" x14ac:dyDescent="0.25">
      <c r="A536">
        <v>365.000001</v>
      </c>
      <c r="B536" s="1">
        <f>DATE(2011,5,1) + TIME(0,0,0)</f>
        <v>40664</v>
      </c>
      <c r="C536">
        <v>1908.0112305</v>
      </c>
      <c r="D536">
        <v>563.43688965000001</v>
      </c>
      <c r="E536">
        <v>6415.7978516000003</v>
      </c>
      <c r="F536">
        <v>4494.9604491999999</v>
      </c>
      <c r="G536">
        <v>80</v>
      </c>
      <c r="H536">
        <v>59.108974457000002</v>
      </c>
      <c r="I536">
        <v>50</v>
      </c>
      <c r="J536">
        <v>49.953575133999998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365.00000399999999</v>
      </c>
      <c r="B537" s="1">
        <f>DATE(2011,5,1) + TIME(0,0,0)</f>
        <v>40664</v>
      </c>
      <c r="C537">
        <v>1909.9121094</v>
      </c>
      <c r="D537">
        <v>564.93078613</v>
      </c>
      <c r="E537">
        <v>6413.0717772999997</v>
      </c>
      <c r="F537">
        <v>4492.2211914</v>
      </c>
      <c r="G537">
        <v>80</v>
      </c>
      <c r="H537">
        <v>59.109230042</v>
      </c>
      <c r="I537">
        <v>50</v>
      </c>
      <c r="J537">
        <v>49.953216552999997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365.00001300000002</v>
      </c>
      <c r="B538" s="1">
        <f>DATE(2011,5,1) + TIME(0,0,1)</f>
        <v>40664.000011574077</v>
      </c>
      <c r="C538">
        <v>1915.5853271000001</v>
      </c>
      <c r="D538">
        <v>569.39569091999999</v>
      </c>
      <c r="E538">
        <v>6404.9257811999996</v>
      </c>
      <c r="F538">
        <v>4484.0361327999999</v>
      </c>
      <c r="G538">
        <v>80</v>
      </c>
      <c r="H538">
        <v>59.109992980999998</v>
      </c>
      <c r="I538">
        <v>50</v>
      </c>
      <c r="J538">
        <v>49.952140808000003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365.00004000000001</v>
      </c>
      <c r="B539" s="1">
        <f>DATE(2011,5,1) + TIME(0,0,3)</f>
        <v>40664.000034722223</v>
      </c>
      <c r="C539">
        <v>1932.3447266000001</v>
      </c>
      <c r="D539">
        <v>582.64044189000003</v>
      </c>
      <c r="E539">
        <v>6380.7719727000003</v>
      </c>
      <c r="F539">
        <v>4459.7666016000003</v>
      </c>
      <c r="G539">
        <v>80</v>
      </c>
      <c r="H539">
        <v>59.112266540999997</v>
      </c>
      <c r="I539">
        <v>50</v>
      </c>
      <c r="J539">
        <v>49.948951721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365.00012099999998</v>
      </c>
      <c r="B540" s="1">
        <f>DATE(2011,5,1) + TIME(0,0,10)</f>
        <v>40664.000115740739</v>
      </c>
      <c r="C540">
        <v>1980.4187012</v>
      </c>
      <c r="D540">
        <v>621.07397461000005</v>
      </c>
      <c r="E540">
        <v>6310.7534180000002</v>
      </c>
      <c r="F540">
        <v>4389.4155272999997</v>
      </c>
      <c r="G540">
        <v>80</v>
      </c>
      <c r="H540">
        <v>59.118930816999999</v>
      </c>
      <c r="I540">
        <v>50</v>
      </c>
      <c r="J540">
        <v>49.939712524000001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365.00036399999999</v>
      </c>
      <c r="B541" s="1">
        <f>DATE(2011,5,1) + TIME(0,0,31)</f>
        <v>40664.000358796293</v>
      </c>
      <c r="C541">
        <v>2107.8559570000002</v>
      </c>
      <c r="D541">
        <v>725.92211913999995</v>
      </c>
      <c r="E541">
        <v>6120.0214844000002</v>
      </c>
      <c r="F541">
        <v>4197.7939452999999</v>
      </c>
      <c r="G541">
        <v>80</v>
      </c>
      <c r="H541">
        <v>59.137653350999997</v>
      </c>
      <c r="I541">
        <v>50</v>
      </c>
      <c r="J541">
        <v>49.914562224999997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365.00109300000003</v>
      </c>
      <c r="B542" s="1">
        <f>DATE(2011,5,1) + TIME(0,1,34)</f>
        <v>40664.001087962963</v>
      </c>
      <c r="C542">
        <v>2390.5207519999999</v>
      </c>
      <c r="D542">
        <v>971.63024901999995</v>
      </c>
      <c r="E542">
        <v>5672.3178711</v>
      </c>
      <c r="F542">
        <v>3748.0776366999999</v>
      </c>
      <c r="G542">
        <v>80</v>
      </c>
      <c r="H542">
        <v>59.185432433999999</v>
      </c>
      <c r="I542">
        <v>50</v>
      </c>
      <c r="J542">
        <v>49.855758667000003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365.00272100000001</v>
      </c>
      <c r="B543" s="1">
        <f>DATE(2011,5,1) + TIME(0,3,55)</f>
        <v>40664.00271990741</v>
      </c>
      <c r="C543">
        <v>2774.4138183999999</v>
      </c>
      <c r="D543">
        <v>1326.4433594</v>
      </c>
      <c r="E543">
        <v>5016.1308594000002</v>
      </c>
      <c r="F543">
        <v>3089.1743164</v>
      </c>
      <c r="G543">
        <v>80</v>
      </c>
      <c r="H543">
        <v>59.267539978000002</v>
      </c>
      <c r="I543">
        <v>50</v>
      </c>
      <c r="J543">
        <v>49.770038605000003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365.005201</v>
      </c>
      <c r="B544" s="1">
        <f>DATE(2011,5,1) + TIME(0,7,29)</f>
        <v>40664.005196759259</v>
      </c>
      <c r="C544">
        <v>3113.9335937999999</v>
      </c>
      <c r="D544">
        <v>1653.7685547000001</v>
      </c>
      <c r="E544">
        <v>4399.9819336</v>
      </c>
      <c r="F544">
        <v>2470.8344726999999</v>
      </c>
      <c r="G544">
        <v>80</v>
      </c>
      <c r="H544">
        <v>59.365085602000001</v>
      </c>
      <c r="I544">
        <v>50</v>
      </c>
      <c r="J544">
        <v>49.690109253000003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365.00922500000001</v>
      </c>
      <c r="B545" s="1">
        <f>DATE(2011,5,1) + TIME(0,13,17)</f>
        <v>40664.00922453704</v>
      </c>
      <c r="C545">
        <v>3425.0776366999999</v>
      </c>
      <c r="D545">
        <v>1960.8579102000001</v>
      </c>
      <c r="E545">
        <v>3815.1523437999999</v>
      </c>
      <c r="F545">
        <v>1884.1374512</v>
      </c>
      <c r="G545">
        <v>80</v>
      </c>
      <c r="H545">
        <v>59.493820190000001</v>
      </c>
      <c r="I545">
        <v>50</v>
      </c>
      <c r="J545">
        <v>49.614910125999998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365.01610499999998</v>
      </c>
      <c r="B546" s="1">
        <f>DATE(2011,5,1) + TIME(0,23,11)</f>
        <v>40664.016099537039</v>
      </c>
      <c r="C546">
        <v>3723.7248534999999</v>
      </c>
      <c r="D546">
        <v>2259.2734375</v>
      </c>
      <c r="E546">
        <v>3246.6279297000001</v>
      </c>
      <c r="F546">
        <v>1314.0302733999999</v>
      </c>
      <c r="G546">
        <v>80</v>
      </c>
      <c r="H546">
        <v>59.683059692</v>
      </c>
      <c r="I546">
        <v>50</v>
      </c>
      <c r="J546">
        <v>49.542720795000001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365.02820500000001</v>
      </c>
      <c r="B547" s="1">
        <f>DATE(2011,5,1) + TIME(0,40,36)</f>
        <v>40664.028194444443</v>
      </c>
      <c r="C547">
        <v>4019.984375</v>
      </c>
      <c r="D547">
        <v>2558.2980957</v>
      </c>
      <c r="E547">
        <v>2681.6127929999998</v>
      </c>
      <c r="F547">
        <v>747.73669433999999</v>
      </c>
      <c r="G547">
        <v>80</v>
      </c>
      <c r="H547">
        <v>59.982673644999998</v>
      </c>
      <c r="I547">
        <v>50</v>
      </c>
      <c r="J547">
        <v>49.472312926999997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365.04961600000001</v>
      </c>
      <c r="B548" s="1">
        <f>DATE(2011,5,1) + TIME(1,11,26)</f>
        <v>40664.04960648148</v>
      </c>
      <c r="C548">
        <v>4317.5356444999998</v>
      </c>
      <c r="D548">
        <v>2862.2800293</v>
      </c>
      <c r="E548">
        <v>2115.0119629000001</v>
      </c>
      <c r="F548">
        <v>180.22080994000001</v>
      </c>
      <c r="G548">
        <v>80</v>
      </c>
      <c r="H548">
        <v>60.472404480000002</v>
      </c>
      <c r="I548">
        <v>50</v>
      </c>
      <c r="J548">
        <v>49.403709411999998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365.08739700000001</v>
      </c>
      <c r="B549" s="1">
        <f>DATE(2011,5,1) + TIME(2,5,51)</f>
        <v>40664.087395833332</v>
      </c>
      <c r="C549">
        <v>4618.0341797000001</v>
      </c>
      <c r="D549">
        <v>3174.1125487999998</v>
      </c>
      <c r="E549">
        <v>1546.1453856999999</v>
      </c>
      <c r="F549">
        <v>-389.16967772999999</v>
      </c>
      <c r="G549">
        <v>80</v>
      </c>
      <c r="H549">
        <v>61.276542663999997</v>
      </c>
      <c r="I549">
        <v>50</v>
      </c>
      <c r="J549">
        <v>49.337810515999998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365.13259900000003</v>
      </c>
      <c r="B550" s="1">
        <f>DATE(2011,5,1) + TIME(3,10,56)</f>
        <v>40664.132592592592</v>
      </c>
      <c r="C550">
        <v>4851.3139647999997</v>
      </c>
      <c r="D550">
        <v>3420.0187987999998</v>
      </c>
      <c r="E550">
        <v>1563.6896973</v>
      </c>
      <c r="F550">
        <v>101.32499695</v>
      </c>
      <c r="G550">
        <v>80</v>
      </c>
      <c r="H550">
        <v>62.180850982999999</v>
      </c>
      <c r="I550">
        <v>50</v>
      </c>
      <c r="J550">
        <v>49.341850280999999</v>
      </c>
      <c r="K550">
        <v>2400</v>
      </c>
      <c r="L550">
        <v>0</v>
      </c>
      <c r="M550">
        <v>0</v>
      </c>
      <c r="N550">
        <v>1955.9982910000001</v>
      </c>
    </row>
    <row r="551" spans="1:14" x14ac:dyDescent="0.25">
      <c r="A551">
        <v>365.18086099999999</v>
      </c>
      <c r="B551" s="1">
        <f>DATE(2011,5,1) + TIME(4,20,26)</f>
        <v>40664.180856481478</v>
      </c>
      <c r="C551">
        <v>5031.3408202999999</v>
      </c>
      <c r="D551">
        <v>3612.4921875</v>
      </c>
      <c r="E551">
        <v>1455.8516846</v>
      </c>
      <c r="F551">
        <v>101.32499695</v>
      </c>
      <c r="G551">
        <v>80</v>
      </c>
      <c r="H551">
        <v>63.092979431000003</v>
      </c>
      <c r="I551">
        <v>50</v>
      </c>
      <c r="J551">
        <v>49.329208373999997</v>
      </c>
      <c r="K551">
        <v>2400</v>
      </c>
      <c r="L551">
        <v>0</v>
      </c>
      <c r="M551">
        <v>0</v>
      </c>
      <c r="N551">
        <v>1807.6275635</v>
      </c>
    </row>
    <row r="552" spans="1:14" x14ac:dyDescent="0.25">
      <c r="A552">
        <v>365.23203599999999</v>
      </c>
      <c r="B552" s="1">
        <f>DATE(2011,5,1) + TIME(5,34,7)</f>
        <v>40664.232025462959</v>
      </c>
      <c r="C552">
        <v>5179.2148438000004</v>
      </c>
      <c r="D552">
        <v>3772.5244140999998</v>
      </c>
      <c r="E552">
        <v>1365.2310791</v>
      </c>
      <c r="F552">
        <v>101.32499695</v>
      </c>
      <c r="G552">
        <v>80</v>
      </c>
      <c r="H552">
        <v>64.007194518999995</v>
      </c>
      <c r="I552">
        <v>50</v>
      </c>
      <c r="J552">
        <v>49.317970275999997</v>
      </c>
      <c r="K552">
        <v>2400</v>
      </c>
      <c r="L552">
        <v>0</v>
      </c>
      <c r="M552">
        <v>0</v>
      </c>
      <c r="N552">
        <v>1690.7226562000001</v>
      </c>
    </row>
    <row r="553" spans="1:14" x14ac:dyDescent="0.25">
      <c r="A553">
        <v>365.28622200000001</v>
      </c>
      <c r="B553" s="1">
        <f>DATE(2011,5,1) + TIME(6,52,9)</f>
        <v>40664.286215277774</v>
      </c>
      <c r="C553">
        <v>5306.0571289</v>
      </c>
      <c r="D553">
        <v>3911.2270508000001</v>
      </c>
      <c r="E553">
        <v>1290.5760498</v>
      </c>
      <c r="F553">
        <v>101.32499695</v>
      </c>
      <c r="G553">
        <v>80</v>
      </c>
      <c r="H553">
        <v>64.920822143999999</v>
      </c>
      <c r="I553">
        <v>50</v>
      </c>
      <c r="J553">
        <v>49.308105468999997</v>
      </c>
      <c r="K553">
        <v>2400</v>
      </c>
      <c r="L553">
        <v>0</v>
      </c>
      <c r="M553">
        <v>0</v>
      </c>
      <c r="N553">
        <v>1595.9168701000001</v>
      </c>
    </row>
    <row r="554" spans="1:14" x14ac:dyDescent="0.25">
      <c r="A554">
        <v>365.34364799999997</v>
      </c>
      <c r="B554" s="1">
        <f>DATE(2011,5,1) + TIME(8,14,51)</f>
        <v>40664.343645833331</v>
      </c>
      <c r="C554">
        <v>5418.1997069999998</v>
      </c>
      <c r="D554">
        <v>4034.9262695000002</v>
      </c>
      <c r="E554">
        <v>1227.0812988</v>
      </c>
      <c r="F554">
        <v>101.32499695</v>
      </c>
      <c r="G554">
        <v>80</v>
      </c>
      <c r="H554">
        <v>65.832557678000001</v>
      </c>
      <c r="I554">
        <v>50</v>
      </c>
      <c r="J554">
        <v>49.299091339</v>
      </c>
      <c r="K554">
        <v>2400</v>
      </c>
      <c r="L554">
        <v>0</v>
      </c>
      <c r="M554">
        <v>0</v>
      </c>
      <c r="N554">
        <v>1515.8472899999999</v>
      </c>
    </row>
    <row r="555" spans="1:14" x14ac:dyDescent="0.25">
      <c r="A555">
        <v>365.40463799999998</v>
      </c>
      <c r="B555" s="1">
        <f>DATE(2011,5,1) + TIME(9,42,40)</f>
        <v>40664.404629629629</v>
      </c>
      <c r="C555">
        <v>5519.5102539</v>
      </c>
      <c r="D555">
        <v>4147.4897461</v>
      </c>
      <c r="E555">
        <v>1171.5351562000001</v>
      </c>
      <c r="F555">
        <v>101.32499695</v>
      </c>
      <c r="G555">
        <v>80</v>
      </c>
      <c r="H555">
        <v>66.741127014</v>
      </c>
      <c r="I555">
        <v>50</v>
      </c>
      <c r="J555">
        <v>49.290569304999998</v>
      </c>
      <c r="K555">
        <v>2400</v>
      </c>
      <c r="L555">
        <v>0</v>
      </c>
      <c r="M555">
        <v>0</v>
      </c>
      <c r="N555">
        <v>1446.0797118999999</v>
      </c>
    </row>
    <row r="556" spans="1:14" x14ac:dyDescent="0.25">
      <c r="A556">
        <v>365.46960300000001</v>
      </c>
      <c r="B556" s="1">
        <f>DATE(2011,5,1) + TIME(11,16,13)</f>
        <v>40664.469594907408</v>
      </c>
      <c r="C556">
        <v>5612.5063477000003</v>
      </c>
      <c r="D556">
        <v>4251.4340819999998</v>
      </c>
      <c r="E556">
        <v>1121.8773193</v>
      </c>
      <c r="F556">
        <v>101.32499695</v>
      </c>
      <c r="G556">
        <v>80</v>
      </c>
      <c r="H556">
        <v>67.645515442000004</v>
      </c>
      <c r="I556">
        <v>50</v>
      </c>
      <c r="J556">
        <v>49.282299041999998</v>
      </c>
      <c r="K556">
        <v>2400</v>
      </c>
      <c r="L556">
        <v>0</v>
      </c>
      <c r="M556">
        <v>0</v>
      </c>
      <c r="N556">
        <v>1383.8690185999999</v>
      </c>
    </row>
    <row r="557" spans="1:14" x14ac:dyDescent="0.25">
      <c r="A557">
        <v>365.53908100000001</v>
      </c>
      <c r="B557" s="1">
        <f>DATE(2011,5,1) + TIME(12,56,16)</f>
        <v>40664.539074074077</v>
      </c>
      <c r="C557">
        <v>5698.96875</v>
      </c>
      <c r="D557">
        <v>4348.5395508000001</v>
      </c>
      <c r="E557">
        <v>1076.7266846</v>
      </c>
      <c r="F557">
        <v>101.32499695</v>
      </c>
      <c r="G557">
        <v>80</v>
      </c>
      <c r="H557">
        <v>68.545082092000001</v>
      </c>
      <c r="I557">
        <v>50</v>
      </c>
      <c r="J557">
        <v>49.274112701</v>
      </c>
      <c r="K557">
        <v>2400</v>
      </c>
      <c r="L557">
        <v>0</v>
      </c>
      <c r="M557">
        <v>0</v>
      </c>
      <c r="N557">
        <v>1327.4068603999999</v>
      </c>
    </row>
    <row r="558" spans="1:14" x14ac:dyDescent="0.25">
      <c r="A558">
        <v>365.61372899999998</v>
      </c>
      <c r="B558" s="1">
        <f>DATE(2011,5,1) + TIME(14,43,46)</f>
        <v>40664.613726851851</v>
      </c>
      <c r="C558">
        <v>5780.2226561999996</v>
      </c>
      <c r="D558">
        <v>4440.1274414</v>
      </c>
      <c r="E558">
        <v>1035.1282959</v>
      </c>
      <c r="F558">
        <v>101.32499695</v>
      </c>
      <c r="G558">
        <v>80</v>
      </c>
      <c r="H558">
        <v>69.438995360999996</v>
      </c>
      <c r="I558">
        <v>50</v>
      </c>
      <c r="J558">
        <v>49.265876769999998</v>
      </c>
      <c r="K558">
        <v>2400</v>
      </c>
      <c r="L558">
        <v>0</v>
      </c>
      <c r="M558">
        <v>0</v>
      </c>
      <c r="N558">
        <v>1275.4562988</v>
      </c>
    </row>
    <row r="559" spans="1:14" x14ac:dyDescent="0.25">
      <c r="A559">
        <v>365.694365</v>
      </c>
      <c r="B559" s="1">
        <f>DATE(2011,5,1) + TIME(16,39,53)</f>
        <v>40664.694363425922</v>
      </c>
      <c r="C559">
        <v>5857.3198241999999</v>
      </c>
      <c r="D559">
        <v>4527.2441405999998</v>
      </c>
      <c r="E559">
        <v>996.39379883000004</v>
      </c>
      <c r="F559">
        <v>101.32499695</v>
      </c>
      <c r="G559">
        <v>80</v>
      </c>
      <c r="H559">
        <v>70.326087951999995</v>
      </c>
      <c r="I559">
        <v>50</v>
      </c>
      <c r="J559">
        <v>49.257472991999997</v>
      </c>
      <c r="K559">
        <v>2400</v>
      </c>
      <c r="L559">
        <v>0</v>
      </c>
      <c r="M559">
        <v>0</v>
      </c>
      <c r="N559">
        <v>1227.1324463000001</v>
      </c>
    </row>
    <row r="560" spans="1:14" x14ac:dyDescent="0.25">
      <c r="A560">
        <v>365.78202299999998</v>
      </c>
      <c r="B560" s="1">
        <f>DATE(2011,5,1) + TIME(18,46,6)</f>
        <v>40664.782013888886</v>
      </c>
      <c r="C560">
        <v>5931.1401366999999</v>
      </c>
      <c r="D560">
        <v>4610.7597655999998</v>
      </c>
      <c r="E560">
        <v>960.01422118999994</v>
      </c>
      <c r="F560">
        <v>101.32499695</v>
      </c>
      <c r="G560">
        <v>80</v>
      </c>
      <c r="H560">
        <v>71.205093383999994</v>
      </c>
      <c r="I560">
        <v>50</v>
      </c>
      <c r="J560">
        <v>49.248786926000001</v>
      </c>
      <c r="K560">
        <v>2400</v>
      </c>
      <c r="L560">
        <v>0</v>
      </c>
      <c r="M560">
        <v>0</v>
      </c>
      <c r="N560">
        <v>1181.7843018000001</v>
      </c>
    </row>
    <row r="561" spans="1:14" x14ac:dyDescent="0.25">
      <c r="A561">
        <v>365.87809199999998</v>
      </c>
      <c r="B561" s="1">
        <f>DATE(2011,5,1) + TIME(21,4,27)</f>
        <v>40664.87809027778</v>
      </c>
      <c r="C561">
        <v>6002.4868164</v>
      </c>
      <c r="D561">
        <v>4691.4765625</v>
      </c>
      <c r="E561">
        <v>925.58270263999998</v>
      </c>
      <c r="F561">
        <v>101.32499695</v>
      </c>
      <c r="G561">
        <v>80</v>
      </c>
      <c r="H561">
        <v>72.075660705999994</v>
      </c>
      <c r="I561">
        <v>50</v>
      </c>
      <c r="J561">
        <v>49.239700317</v>
      </c>
      <c r="K561">
        <v>2400</v>
      </c>
      <c r="L561">
        <v>0</v>
      </c>
      <c r="M561">
        <v>0</v>
      </c>
      <c r="N561">
        <v>1138.8931885</v>
      </c>
    </row>
    <row r="562" spans="1:14" x14ac:dyDescent="0.25">
      <c r="A562">
        <v>365.98427400000003</v>
      </c>
      <c r="B562" s="1">
        <f>DATE(2011,5,1) + TIME(23,37,21)</f>
        <v>40664.984270833331</v>
      </c>
      <c r="C562">
        <v>6072.0273438000004</v>
      </c>
      <c r="D562">
        <v>4770.0429688000004</v>
      </c>
      <c r="E562">
        <v>892.80895996000004</v>
      </c>
      <c r="F562">
        <v>101.32499695</v>
      </c>
      <c r="G562">
        <v>80</v>
      </c>
      <c r="H562">
        <v>72.935836792000003</v>
      </c>
      <c r="I562">
        <v>50</v>
      </c>
      <c r="J562">
        <v>49.230083466000004</v>
      </c>
      <c r="K562">
        <v>2400</v>
      </c>
      <c r="L562">
        <v>0</v>
      </c>
      <c r="M562">
        <v>0</v>
      </c>
      <c r="N562">
        <v>1098.0894774999999</v>
      </c>
    </row>
    <row r="563" spans="1:14" x14ac:dyDescent="0.25">
      <c r="A563">
        <v>366.10288500000001</v>
      </c>
      <c r="B563" s="1">
        <f>DATE(2011,5,2) + TIME(2,28,9)</f>
        <v>40665.102881944447</v>
      </c>
      <c r="C563">
        <v>6140.4345702999999</v>
      </c>
      <c r="D563">
        <v>4847.1113280999998</v>
      </c>
      <c r="E563">
        <v>861.44738770000004</v>
      </c>
      <c r="F563">
        <v>101.32499695</v>
      </c>
      <c r="G563">
        <v>80</v>
      </c>
      <c r="H563">
        <v>73.783531189000001</v>
      </c>
      <c r="I563">
        <v>50</v>
      </c>
      <c r="J563">
        <v>49.219772339000002</v>
      </c>
      <c r="K563">
        <v>2400</v>
      </c>
      <c r="L563">
        <v>0</v>
      </c>
      <c r="M563">
        <v>0</v>
      </c>
      <c r="N563">
        <v>1059.0607910000001</v>
      </c>
    </row>
    <row r="564" spans="1:14" x14ac:dyDescent="0.25">
      <c r="A564">
        <v>366.23711900000001</v>
      </c>
      <c r="B564" s="1">
        <f>DATE(2011,5,2) + TIME(5,41,27)</f>
        <v>40665.237118055556</v>
      </c>
      <c r="C564">
        <v>6208.4086914</v>
      </c>
      <c r="D564">
        <v>4923.3540039</v>
      </c>
      <c r="E564">
        <v>831.28936768000005</v>
      </c>
      <c r="F564">
        <v>101.32499695</v>
      </c>
      <c r="G564">
        <v>80</v>
      </c>
      <c r="H564">
        <v>74.616180420000006</v>
      </c>
      <c r="I564">
        <v>50</v>
      </c>
      <c r="J564">
        <v>49.208560943999998</v>
      </c>
      <c r="K564">
        <v>2400</v>
      </c>
      <c r="L564">
        <v>0</v>
      </c>
      <c r="M564">
        <v>0</v>
      </c>
      <c r="N564">
        <v>1021.541748</v>
      </c>
    </row>
    <row r="565" spans="1:14" x14ac:dyDescent="0.25">
      <c r="A565">
        <v>366.39151299999997</v>
      </c>
      <c r="B565" s="1">
        <f>DATE(2011,5,2) + TIME(9,23,46)</f>
        <v>40665.391504629632</v>
      </c>
      <c r="C565">
        <v>6276.7158202999999</v>
      </c>
      <c r="D565">
        <v>4999.4951172000001</v>
      </c>
      <c r="E565">
        <v>802.15863036999997</v>
      </c>
      <c r="F565">
        <v>101.32499695</v>
      </c>
      <c r="G565">
        <v>80</v>
      </c>
      <c r="H565">
        <v>75.429969787999994</v>
      </c>
      <c r="I565">
        <v>50</v>
      </c>
      <c r="J565">
        <v>49.196155548</v>
      </c>
      <c r="K565">
        <v>2400</v>
      </c>
      <c r="L565">
        <v>0</v>
      </c>
      <c r="M565">
        <v>0</v>
      </c>
      <c r="N565">
        <v>985.30902100000003</v>
      </c>
    </row>
    <row r="566" spans="1:14" x14ac:dyDescent="0.25">
      <c r="A566">
        <v>366.47739999999999</v>
      </c>
      <c r="B566" s="1">
        <f>DATE(2011,5,2) + TIME(11,27,27)</f>
        <v>40665.477395833332</v>
      </c>
      <c r="C566">
        <v>6310.7890625</v>
      </c>
      <c r="D566">
        <v>5037.1357422000001</v>
      </c>
      <c r="E566">
        <v>787.41174316000001</v>
      </c>
      <c r="F566">
        <v>101.32499695</v>
      </c>
      <c r="G566">
        <v>80</v>
      </c>
      <c r="H566">
        <v>75.841789246000005</v>
      </c>
      <c r="I566">
        <v>50</v>
      </c>
      <c r="J566">
        <v>49.189086914000001</v>
      </c>
      <c r="K566">
        <v>2400</v>
      </c>
      <c r="L566">
        <v>0</v>
      </c>
      <c r="M566">
        <v>0</v>
      </c>
      <c r="N566">
        <v>966.99407958999996</v>
      </c>
    </row>
    <row r="567" spans="1:14" x14ac:dyDescent="0.25">
      <c r="A567">
        <v>366.64917600000001</v>
      </c>
      <c r="B567" s="1">
        <f>DATE(2011,5,2) + TIME(15,34,48)</f>
        <v>40665.64916666667</v>
      </c>
      <c r="C567">
        <v>6373.5957030999998</v>
      </c>
      <c r="D567">
        <v>5106.4492188000004</v>
      </c>
      <c r="E567">
        <v>762.84051513999998</v>
      </c>
      <c r="F567">
        <v>101.32499695</v>
      </c>
      <c r="G567">
        <v>80</v>
      </c>
      <c r="H567">
        <v>76.529350281000006</v>
      </c>
      <c r="I567">
        <v>50</v>
      </c>
      <c r="J567">
        <v>49.175914763999998</v>
      </c>
      <c r="K567">
        <v>2400</v>
      </c>
      <c r="L567">
        <v>0</v>
      </c>
      <c r="M567">
        <v>0</v>
      </c>
      <c r="N567">
        <v>936.41717529000005</v>
      </c>
    </row>
    <row r="568" spans="1:14" x14ac:dyDescent="0.25">
      <c r="A568">
        <v>366.82132200000001</v>
      </c>
      <c r="B568" s="1">
        <f>DATE(2011,5,2) + TIME(19,42,42)</f>
        <v>40665.821319444447</v>
      </c>
      <c r="C568">
        <v>6428.2163086</v>
      </c>
      <c r="D568">
        <v>5166.0151366999999</v>
      </c>
      <c r="E568">
        <v>742.05590819999998</v>
      </c>
      <c r="F568">
        <v>101.32499695</v>
      </c>
      <c r="G568">
        <v>80</v>
      </c>
      <c r="H568">
        <v>77.103393554999997</v>
      </c>
      <c r="I568">
        <v>50</v>
      </c>
      <c r="J568">
        <v>49.162948608000001</v>
      </c>
      <c r="K568">
        <v>2400</v>
      </c>
      <c r="L568">
        <v>0</v>
      </c>
      <c r="M568">
        <v>0</v>
      </c>
      <c r="N568">
        <v>910.57830810999997</v>
      </c>
    </row>
    <row r="569" spans="1:14" x14ac:dyDescent="0.25">
      <c r="A569">
        <v>366.996579</v>
      </c>
      <c r="B569" s="1">
        <f>DATE(2011,5,2) + TIME(23,55,4)</f>
        <v>40665.996574074074</v>
      </c>
      <c r="C569">
        <v>6477.6289061999996</v>
      </c>
      <c r="D569">
        <v>5219.4301758000001</v>
      </c>
      <c r="E569">
        <v>724.18640137</v>
      </c>
      <c r="F569">
        <v>101.32499695</v>
      </c>
      <c r="G569">
        <v>80</v>
      </c>
      <c r="H569">
        <v>77.588523864999999</v>
      </c>
      <c r="I569">
        <v>50</v>
      </c>
      <c r="J569">
        <v>49.149978638</v>
      </c>
      <c r="K569">
        <v>2400</v>
      </c>
      <c r="L569">
        <v>0</v>
      </c>
      <c r="M569">
        <v>0</v>
      </c>
      <c r="N569">
        <v>888.36322021000001</v>
      </c>
    </row>
    <row r="570" spans="1:14" x14ac:dyDescent="0.25">
      <c r="A570">
        <v>367.17584199999999</v>
      </c>
      <c r="B570" s="1">
        <f>DATE(2011,5,3) + TIME(4,13,12)</f>
        <v>40666.175833333335</v>
      </c>
      <c r="C570">
        <v>6522.7504883000001</v>
      </c>
      <c r="D570">
        <v>5267.7724608999997</v>
      </c>
      <c r="E570">
        <v>708.74389647999999</v>
      </c>
      <c r="F570">
        <v>101.32499695</v>
      </c>
      <c r="G570">
        <v>80</v>
      </c>
      <c r="H570">
        <v>77.998527526999993</v>
      </c>
      <c r="I570">
        <v>50</v>
      </c>
      <c r="J570">
        <v>49.136928558000001</v>
      </c>
      <c r="K570">
        <v>2400</v>
      </c>
      <c r="L570">
        <v>0</v>
      </c>
      <c r="M570">
        <v>0</v>
      </c>
      <c r="N570">
        <v>869.16424560999997</v>
      </c>
    </row>
    <row r="571" spans="1:14" x14ac:dyDescent="0.25">
      <c r="A571">
        <v>367.36029200000002</v>
      </c>
      <c r="B571" s="1">
        <f>DATE(2011,5,3) + TIME(8,38,49)</f>
        <v>40666.360289351855</v>
      </c>
      <c r="C571">
        <v>6564.3081055000002</v>
      </c>
      <c r="D571">
        <v>5311.9023438000004</v>
      </c>
      <c r="E571">
        <v>695.34014893000005</v>
      </c>
      <c r="F571">
        <v>101.32499695</v>
      </c>
      <c r="G571">
        <v>80</v>
      </c>
      <c r="H571">
        <v>78.345108031999999</v>
      </c>
      <c r="I571">
        <v>50</v>
      </c>
      <c r="J571">
        <v>49.123691559000001</v>
      </c>
      <c r="K571">
        <v>2400</v>
      </c>
      <c r="L571">
        <v>0</v>
      </c>
      <c r="M571">
        <v>0</v>
      </c>
      <c r="N571">
        <v>852.49822998000002</v>
      </c>
    </row>
    <row r="572" spans="1:14" x14ac:dyDescent="0.25">
      <c r="A572">
        <v>367.55114200000003</v>
      </c>
      <c r="B572" s="1">
        <f>DATE(2011,5,3) + TIME(13,13,38)</f>
        <v>40666.551134259258</v>
      </c>
      <c r="C572">
        <v>6602.8388672000001</v>
      </c>
      <c r="D572">
        <v>5352.4619141000003</v>
      </c>
      <c r="E572">
        <v>683.68212890999996</v>
      </c>
      <c r="F572">
        <v>101.32499695</v>
      </c>
      <c r="G572">
        <v>80</v>
      </c>
      <c r="H572">
        <v>78.637733459000003</v>
      </c>
      <c r="I572">
        <v>50</v>
      </c>
      <c r="J572">
        <v>49.110183716000002</v>
      </c>
      <c r="K572">
        <v>2400</v>
      </c>
      <c r="L572">
        <v>0</v>
      </c>
      <c r="M572">
        <v>0</v>
      </c>
      <c r="N572">
        <v>838.00091553000004</v>
      </c>
    </row>
    <row r="573" spans="1:14" x14ac:dyDescent="0.25">
      <c r="A573">
        <v>367.74970200000001</v>
      </c>
      <c r="B573" s="1">
        <f>DATE(2011,5,3) + TIME(17,59,34)</f>
        <v>40666.749699074076</v>
      </c>
      <c r="C573">
        <v>6638.7534180000002</v>
      </c>
      <c r="D573">
        <v>5389.9458008000001</v>
      </c>
      <c r="E573">
        <v>673.54437256000006</v>
      </c>
      <c r="F573">
        <v>101.32499695</v>
      </c>
      <c r="G573">
        <v>80</v>
      </c>
      <c r="H573">
        <v>78.884193420000003</v>
      </c>
      <c r="I573">
        <v>50</v>
      </c>
      <c r="J573">
        <v>49.096309662000003</v>
      </c>
      <c r="K573">
        <v>2400</v>
      </c>
      <c r="L573">
        <v>0</v>
      </c>
      <c r="M573">
        <v>0</v>
      </c>
      <c r="N573">
        <v>825.39184569999998</v>
      </c>
    </row>
    <row r="574" spans="1:14" x14ac:dyDescent="0.25">
      <c r="A574">
        <v>367.95738599999999</v>
      </c>
      <c r="B574" s="1">
        <f>DATE(2011,5,3) + TIME(22,58,38)</f>
        <v>40666.957384259258</v>
      </c>
      <c r="C574">
        <v>6672.3632811999996</v>
      </c>
      <c r="D574">
        <v>5424.7333983999997</v>
      </c>
      <c r="E574">
        <v>664.75219727000001</v>
      </c>
      <c r="F574">
        <v>101.32499695</v>
      </c>
      <c r="G574">
        <v>80</v>
      </c>
      <c r="H574">
        <v>79.090965271000002</v>
      </c>
      <c r="I574">
        <v>50</v>
      </c>
      <c r="J574">
        <v>49.081970214999998</v>
      </c>
      <c r="K574">
        <v>2400</v>
      </c>
      <c r="L574">
        <v>0</v>
      </c>
      <c r="M574">
        <v>0</v>
      </c>
      <c r="N574">
        <v>814.45373534999999</v>
      </c>
    </row>
    <row r="575" spans="1:14" x14ac:dyDescent="0.25">
      <c r="A575">
        <v>368.17589400000003</v>
      </c>
      <c r="B575" s="1">
        <f>DATE(2011,5,4) + TIME(4,13,17)</f>
        <v>40667.175891203704</v>
      </c>
      <c r="C575">
        <v>6703.9228516000003</v>
      </c>
      <c r="D575">
        <v>5457.1372069999998</v>
      </c>
      <c r="E575">
        <v>657.16442871000004</v>
      </c>
      <c r="F575">
        <v>101.32499695</v>
      </c>
      <c r="G575">
        <v>80</v>
      </c>
      <c r="H575">
        <v>79.263603209999999</v>
      </c>
      <c r="I575">
        <v>50</v>
      </c>
      <c r="J575">
        <v>49.067054749</v>
      </c>
      <c r="K575">
        <v>2400</v>
      </c>
      <c r="L575">
        <v>0</v>
      </c>
      <c r="M575">
        <v>0</v>
      </c>
      <c r="N575">
        <v>805.01080321999996</v>
      </c>
    </row>
    <row r="576" spans="1:14" x14ac:dyDescent="0.25">
      <c r="A576">
        <v>368.407174</v>
      </c>
      <c r="B576" s="1">
        <f>DATE(2011,5,4) + TIME(9,46,19)</f>
        <v>40667.407164351855</v>
      </c>
      <c r="C576">
        <v>6733.6259766000003</v>
      </c>
      <c r="D576">
        <v>5487.3959961</v>
      </c>
      <c r="E576">
        <v>650.66955566000001</v>
      </c>
      <c r="F576">
        <v>101.32499695</v>
      </c>
      <c r="G576">
        <v>80</v>
      </c>
      <c r="H576">
        <v>79.406829834000007</v>
      </c>
      <c r="I576">
        <v>50</v>
      </c>
      <c r="J576">
        <v>49.051429749</v>
      </c>
      <c r="K576">
        <v>2400</v>
      </c>
      <c r="L576">
        <v>0</v>
      </c>
      <c r="M576">
        <v>0</v>
      </c>
      <c r="N576">
        <v>796.92425536999997</v>
      </c>
    </row>
    <row r="577" spans="1:14" x14ac:dyDescent="0.25">
      <c r="A577">
        <v>368.65355299999999</v>
      </c>
      <c r="B577" s="1">
        <f>DATE(2011,5,4) + TIME(15,41,7)</f>
        <v>40667.653553240743</v>
      </c>
      <c r="C577">
        <v>6761.6210938000004</v>
      </c>
      <c r="D577">
        <v>5515.6992188000004</v>
      </c>
      <c r="E577">
        <v>645.17742920000001</v>
      </c>
      <c r="F577">
        <v>101.32499695</v>
      </c>
      <c r="G577">
        <v>80</v>
      </c>
      <c r="H577">
        <v>79.524719238000003</v>
      </c>
      <c r="I577">
        <v>50</v>
      </c>
      <c r="J577">
        <v>49.034957886000001</v>
      </c>
      <c r="K577">
        <v>2400</v>
      </c>
      <c r="L577">
        <v>0</v>
      </c>
      <c r="M577">
        <v>0</v>
      </c>
      <c r="N577">
        <v>790.08178711000005</v>
      </c>
    </row>
    <row r="578" spans="1:14" x14ac:dyDescent="0.25">
      <c r="A578">
        <v>368.91787099999999</v>
      </c>
      <c r="B578" s="1">
        <f>DATE(2011,5,4) + TIME(22,1,44)</f>
        <v>40667.917870370373</v>
      </c>
      <c r="C578">
        <v>6788.0229491999999</v>
      </c>
      <c r="D578">
        <v>5542.1943358999997</v>
      </c>
      <c r="E578">
        <v>640.61505126999998</v>
      </c>
      <c r="F578">
        <v>101.32499695</v>
      </c>
      <c r="G578">
        <v>80</v>
      </c>
      <c r="H578">
        <v>79.620826721</v>
      </c>
      <c r="I578">
        <v>50</v>
      </c>
      <c r="J578">
        <v>49.017459869</v>
      </c>
      <c r="K578">
        <v>2400</v>
      </c>
      <c r="L578">
        <v>0</v>
      </c>
      <c r="M578">
        <v>0</v>
      </c>
      <c r="N578">
        <v>784.39215088000003</v>
      </c>
    </row>
    <row r="579" spans="1:14" x14ac:dyDescent="0.25">
      <c r="A579">
        <v>369.20378599999998</v>
      </c>
      <c r="B579" s="1">
        <f>DATE(2011,5,5) + TIME(4,53,27)</f>
        <v>40668.203784722224</v>
      </c>
      <c r="C579">
        <v>6812.9248047000001</v>
      </c>
      <c r="D579">
        <v>5567.0034180000002</v>
      </c>
      <c r="E579">
        <v>636.92108154000005</v>
      </c>
      <c r="F579">
        <v>101.32499695</v>
      </c>
      <c r="G579">
        <v>80</v>
      </c>
      <c r="H579">
        <v>79.698287964000002</v>
      </c>
      <c r="I579">
        <v>50</v>
      </c>
      <c r="J579">
        <v>48.998718261999997</v>
      </c>
      <c r="K579">
        <v>2400</v>
      </c>
      <c r="L579">
        <v>0</v>
      </c>
      <c r="M579">
        <v>0</v>
      </c>
      <c r="N579">
        <v>779.77874756000006</v>
      </c>
    </row>
    <row r="580" spans="1:14" x14ac:dyDescent="0.25">
      <c r="A580">
        <v>369.51579299999997</v>
      </c>
      <c r="B580" s="1">
        <f>DATE(2011,5,5) + TIME(12,22,44)</f>
        <v>40668.515787037039</v>
      </c>
      <c r="C580">
        <v>6836.3754883000001</v>
      </c>
      <c r="D580">
        <v>5590.1987305000002</v>
      </c>
      <c r="E580">
        <v>634.046875</v>
      </c>
      <c r="F580">
        <v>101.32499695</v>
      </c>
      <c r="G580">
        <v>80</v>
      </c>
      <c r="H580">
        <v>79.759841918999996</v>
      </c>
      <c r="I580">
        <v>50</v>
      </c>
      <c r="J580">
        <v>48.978462219000001</v>
      </c>
      <c r="K580">
        <v>2400</v>
      </c>
      <c r="L580">
        <v>0</v>
      </c>
      <c r="M580">
        <v>0</v>
      </c>
      <c r="N580">
        <v>776.18041991999996</v>
      </c>
    </row>
    <row r="581" spans="1:14" x14ac:dyDescent="0.25">
      <c r="A581">
        <v>369.85926699999999</v>
      </c>
      <c r="B581" s="1">
        <f>DATE(2011,5,5) + TIME(20,37,20)</f>
        <v>40668.859259259261</v>
      </c>
      <c r="C581">
        <v>6858.3676758000001</v>
      </c>
      <c r="D581">
        <v>5611.7924805000002</v>
      </c>
      <c r="E581">
        <v>631.95275878999996</v>
      </c>
      <c r="F581">
        <v>101.32499695</v>
      </c>
      <c r="G581">
        <v>80</v>
      </c>
      <c r="H581">
        <v>79.807876586999996</v>
      </c>
      <c r="I581">
        <v>50</v>
      </c>
      <c r="J581">
        <v>48.956382751</v>
      </c>
      <c r="K581">
        <v>2400</v>
      </c>
      <c r="L581">
        <v>0</v>
      </c>
      <c r="M581">
        <v>0</v>
      </c>
      <c r="N581">
        <v>773.54736328000001</v>
      </c>
    </row>
    <row r="582" spans="1:14" x14ac:dyDescent="0.25">
      <c r="A582">
        <v>370.20437800000002</v>
      </c>
      <c r="B582" s="1">
        <f>DATE(2011,5,6) + TIME(4,54,18)</f>
        <v>40669.204375000001</v>
      </c>
      <c r="C582">
        <v>6876.8017577999999</v>
      </c>
      <c r="D582">
        <v>5629.6806641000003</v>
      </c>
      <c r="E582">
        <v>630.65814208999996</v>
      </c>
      <c r="F582">
        <v>101.32499695</v>
      </c>
      <c r="G582">
        <v>80</v>
      </c>
      <c r="H582">
        <v>79.841995238999999</v>
      </c>
      <c r="I582">
        <v>50</v>
      </c>
      <c r="J582">
        <v>48.934169769</v>
      </c>
      <c r="K582">
        <v>2400</v>
      </c>
      <c r="L582">
        <v>0</v>
      </c>
      <c r="M582">
        <v>0</v>
      </c>
      <c r="N582">
        <v>771.91375731999995</v>
      </c>
    </row>
    <row r="583" spans="1:14" x14ac:dyDescent="0.25">
      <c r="A583">
        <v>370.55429900000001</v>
      </c>
      <c r="B583" s="1">
        <f>DATE(2011,5,6) + TIME(13,18,11)</f>
        <v>40669.554293981484</v>
      </c>
      <c r="C583">
        <v>6892.6235352000003</v>
      </c>
      <c r="D583">
        <v>5644.9262694999998</v>
      </c>
      <c r="E583">
        <v>629.97790526999995</v>
      </c>
      <c r="F583">
        <v>101.32499695</v>
      </c>
      <c r="G583">
        <v>80</v>
      </c>
      <c r="H583">
        <v>79.866401671999995</v>
      </c>
      <c r="I583">
        <v>50</v>
      </c>
      <c r="J583">
        <v>48.911647797000001</v>
      </c>
      <c r="K583">
        <v>2400</v>
      </c>
      <c r="L583">
        <v>0</v>
      </c>
      <c r="M583">
        <v>0</v>
      </c>
      <c r="N583">
        <v>771.04052734000004</v>
      </c>
    </row>
    <row r="584" spans="1:14" x14ac:dyDescent="0.25">
      <c r="A584">
        <v>370.908523</v>
      </c>
      <c r="B584" s="1">
        <f>DATE(2011,5,6) + TIME(21,48,16)</f>
        <v>40669.908518518518</v>
      </c>
      <c r="C584">
        <v>6906.1206055000002</v>
      </c>
      <c r="D584">
        <v>5657.8295897999997</v>
      </c>
      <c r="E584">
        <v>629.76702881000006</v>
      </c>
      <c r="F584">
        <v>101.32499695</v>
      </c>
      <c r="G584">
        <v>80</v>
      </c>
      <c r="H584">
        <v>79.883773804</v>
      </c>
      <c r="I584">
        <v>50</v>
      </c>
      <c r="J584">
        <v>48.888828277999998</v>
      </c>
      <c r="K584">
        <v>2400</v>
      </c>
      <c r="L584">
        <v>0</v>
      </c>
      <c r="M584">
        <v>0</v>
      </c>
      <c r="N584">
        <v>770.74871826000003</v>
      </c>
    </row>
    <row r="585" spans="1:14" x14ac:dyDescent="0.25">
      <c r="A585">
        <v>371.269094</v>
      </c>
      <c r="B585" s="1">
        <f>DATE(2011,5,7) + TIME(6,27,29)</f>
        <v>40670.269085648149</v>
      </c>
      <c r="C585">
        <v>6917.6625977000003</v>
      </c>
      <c r="D585">
        <v>5668.7778319999998</v>
      </c>
      <c r="E585">
        <v>629.91076659999999</v>
      </c>
      <c r="F585">
        <v>101.32499695</v>
      </c>
      <c r="G585">
        <v>80</v>
      </c>
      <c r="H585">
        <v>79.896156310999999</v>
      </c>
      <c r="I585">
        <v>50</v>
      </c>
      <c r="J585">
        <v>48.865600585999999</v>
      </c>
      <c r="K585">
        <v>2400</v>
      </c>
      <c r="L585">
        <v>0</v>
      </c>
      <c r="M585">
        <v>0</v>
      </c>
      <c r="N585">
        <v>770.89489746000004</v>
      </c>
    </row>
    <row r="586" spans="1:14" x14ac:dyDescent="0.25">
      <c r="A586">
        <v>371.63839100000001</v>
      </c>
      <c r="B586" s="1">
        <f>DATE(2011,5,7) + TIME(15,19,17)</f>
        <v>40670.638391203705</v>
      </c>
      <c r="C586">
        <v>6927.5253905999998</v>
      </c>
      <c r="D586">
        <v>5678.0522461</v>
      </c>
      <c r="E586">
        <v>630.32135010000002</v>
      </c>
      <c r="F586">
        <v>101.32499695</v>
      </c>
      <c r="G586">
        <v>80</v>
      </c>
      <c r="H586">
        <v>79.904983521000005</v>
      </c>
      <c r="I586">
        <v>50</v>
      </c>
      <c r="J586">
        <v>48.841815947999997</v>
      </c>
      <c r="K586">
        <v>2400</v>
      </c>
      <c r="L586">
        <v>0</v>
      </c>
      <c r="M586">
        <v>0</v>
      </c>
      <c r="N586">
        <v>771.36975098000005</v>
      </c>
    </row>
    <row r="587" spans="1:14" x14ac:dyDescent="0.25">
      <c r="A587">
        <v>372.01883700000002</v>
      </c>
      <c r="B587" s="1">
        <f>DATE(2011,5,8) + TIME(0,27,7)</f>
        <v>40671.018831018519</v>
      </c>
      <c r="C587">
        <v>6935.9189452999999</v>
      </c>
      <c r="D587">
        <v>5685.8666991999999</v>
      </c>
      <c r="E587">
        <v>630.93090819999998</v>
      </c>
      <c r="F587">
        <v>101.32499695</v>
      </c>
      <c r="G587">
        <v>80</v>
      </c>
      <c r="H587">
        <v>79.911270142000006</v>
      </c>
      <c r="I587">
        <v>50</v>
      </c>
      <c r="J587">
        <v>48.817337035999998</v>
      </c>
      <c r="K587">
        <v>2400</v>
      </c>
      <c r="L587">
        <v>0</v>
      </c>
      <c r="M587">
        <v>0</v>
      </c>
      <c r="N587">
        <v>772.08892821999996</v>
      </c>
    </row>
    <row r="588" spans="1:14" x14ac:dyDescent="0.25">
      <c r="A588">
        <v>372.413003</v>
      </c>
      <c r="B588" s="1">
        <f>DATE(2011,5,8) + TIME(9,54,43)</f>
        <v>40671.412997685184</v>
      </c>
      <c r="C588">
        <v>6943.0063477000003</v>
      </c>
      <c r="D588">
        <v>5692.3842772999997</v>
      </c>
      <c r="E588">
        <v>631.68627930000002</v>
      </c>
      <c r="F588">
        <v>101.32499695</v>
      </c>
      <c r="G588">
        <v>80</v>
      </c>
      <c r="H588">
        <v>79.915733337000006</v>
      </c>
      <c r="I588">
        <v>50</v>
      </c>
      <c r="J588">
        <v>48.792011260999999</v>
      </c>
      <c r="K588">
        <v>2400</v>
      </c>
      <c r="L588">
        <v>0</v>
      </c>
      <c r="M588">
        <v>0</v>
      </c>
      <c r="N588">
        <v>772.98608397999999</v>
      </c>
    </row>
    <row r="589" spans="1:14" x14ac:dyDescent="0.25">
      <c r="A589">
        <v>372.82363299999997</v>
      </c>
      <c r="B589" s="1">
        <f>DATE(2011,5,8) + TIME(19,46,1)</f>
        <v>40671.823622685188</v>
      </c>
      <c r="C589">
        <v>6948.9135741999999</v>
      </c>
      <c r="D589">
        <v>5697.7324219000002</v>
      </c>
      <c r="E589">
        <v>632.54486083999996</v>
      </c>
      <c r="F589">
        <v>101.32499695</v>
      </c>
      <c r="G589">
        <v>80</v>
      </c>
      <c r="H589">
        <v>79.918891907000003</v>
      </c>
      <c r="I589">
        <v>50</v>
      </c>
      <c r="J589">
        <v>48.765678405999999</v>
      </c>
      <c r="K589">
        <v>2400</v>
      </c>
      <c r="L589">
        <v>0</v>
      </c>
      <c r="M589">
        <v>0</v>
      </c>
      <c r="N589">
        <v>774.00805663999995</v>
      </c>
    </row>
    <row r="590" spans="1:14" x14ac:dyDescent="0.25">
      <c r="A590">
        <v>373.25396499999999</v>
      </c>
      <c r="B590" s="1">
        <f>DATE(2011,5,9) + TIME(6,5,42)</f>
        <v>40672.253958333335</v>
      </c>
      <c r="C590">
        <v>6953.7426758000001</v>
      </c>
      <c r="D590">
        <v>5702.0117188000004</v>
      </c>
      <c r="E590">
        <v>633.47271728999999</v>
      </c>
      <c r="F590">
        <v>101.32499695</v>
      </c>
      <c r="G590">
        <v>80</v>
      </c>
      <c r="H590">
        <v>79.921112061000002</v>
      </c>
      <c r="I590">
        <v>50</v>
      </c>
      <c r="J590">
        <v>48.738155364999997</v>
      </c>
      <c r="K590">
        <v>2400</v>
      </c>
      <c r="L590">
        <v>0</v>
      </c>
      <c r="M590">
        <v>0</v>
      </c>
      <c r="N590">
        <v>775.11224364999998</v>
      </c>
    </row>
    <row r="591" spans="1:14" x14ac:dyDescent="0.25">
      <c r="A591">
        <v>373.70774</v>
      </c>
      <c r="B591" s="1">
        <f>DATE(2011,5,9) + TIME(16,59,8)</f>
        <v>40672.707731481481</v>
      </c>
      <c r="C591">
        <v>6957.5698241999999</v>
      </c>
      <c r="D591">
        <v>5705.2983397999997</v>
      </c>
      <c r="E591">
        <v>634.44189453000001</v>
      </c>
      <c r="F591">
        <v>101.32499695</v>
      </c>
      <c r="G591">
        <v>80</v>
      </c>
      <c r="H591">
        <v>79.922676085999996</v>
      </c>
      <c r="I591">
        <v>50</v>
      </c>
      <c r="J591">
        <v>48.709224700999997</v>
      </c>
      <c r="K591">
        <v>2400</v>
      </c>
      <c r="L591">
        <v>0</v>
      </c>
      <c r="M591">
        <v>0</v>
      </c>
      <c r="N591">
        <v>776.26361083999996</v>
      </c>
    </row>
    <row r="592" spans="1:14" x14ac:dyDescent="0.25">
      <c r="A592">
        <v>374.18940199999997</v>
      </c>
      <c r="B592" s="1">
        <f>DATE(2011,5,10) + TIME(4,32,44)</f>
        <v>40673.189398148148</v>
      </c>
      <c r="C592">
        <v>6960.4506836</v>
      </c>
      <c r="D592">
        <v>5707.6464844000002</v>
      </c>
      <c r="E592">
        <v>635.42950439000003</v>
      </c>
      <c r="F592">
        <v>101.32499695</v>
      </c>
      <c r="G592">
        <v>80</v>
      </c>
      <c r="H592">
        <v>79.923767089999998</v>
      </c>
      <c r="I592">
        <v>50</v>
      </c>
      <c r="J592">
        <v>48.678638458000002</v>
      </c>
      <c r="K592">
        <v>2400</v>
      </c>
      <c r="L592">
        <v>0</v>
      </c>
      <c r="M592">
        <v>0</v>
      </c>
      <c r="N592">
        <v>777.43304443</v>
      </c>
    </row>
    <row r="593" spans="1:14" x14ac:dyDescent="0.25">
      <c r="A593">
        <v>374.70438000000001</v>
      </c>
      <c r="B593" s="1">
        <f>DATE(2011,5,10) + TIME(16,54,18)</f>
        <v>40673.704375000001</v>
      </c>
      <c r="C593">
        <v>6962.4238280999998</v>
      </c>
      <c r="D593">
        <v>5709.0922852000003</v>
      </c>
      <c r="E593">
        <v>636.41656493999994</v>
      </c>
      <c r="F593">
        <v>101.32499695</v>
      </c>
      <c r="G593">
        <v>80</v>
      </c>
      <c r="H593">
        <v>79.924530028999996</v>
      </c>
      <c r="I593">
        <v>50</v>
      </c>
      <c r="J593">
        <v>48.646095275999997</v>
      </c>
      <c r="K593">
        <v>2400</v>
      </c>
      <c r="L593">
        <v>0</v>
      </c>
      <c r="M593">
        <v>0</v>
      </c>
      <c r="N593">
        <v>778.59625243999994</v>
      </c>
    </row>
    <row r="594" spans="1:14" x14ac:dyDescent="0.25">
      <c r="A594">
        <v>375.22321899999997</v>
      </c>
      <c r="B594" s="1">
        <f>DATE(2011,5,11) + TIME(5,21,26)</f>
        <v>40674.223217592589</v>
      </c>
      <c r="C594">
        <v>6963.2368164</v>
      </c>
      <c r="D594">
        <v>5709.3823241999999</v>
      </c>
      <c r="E594">
        <v>637.32061768000005</v>
      </c>
      <c r="F594">
        <v>101.32499695</v>
      </c>
      <c r="G594">
        <v>80</v>
      </c>
      <c r="H594">
        <v>79.925010681000003</v>
      </c>
      <c r="I594">
        <v>50</v>
      </c>
      <c r="J594">
        <v>48.613162994</v>
      </c>
      <c r="K594">
        <v>2400</v>
      </c>
      <c r="L594">
        <v>0</v>
      </c>
      <c r="M594">
        <v>0</v>
      </c>
      <c r="N594">
        <v>779.66156006000006</v>
      </c>
    </row>
    <row r="595" spans="1:14" x14ac:dyDescent="0.25">
      <c r="A595">
        <v>375.74886700000002</v>
      </c>
      <c r="B595" s="1">
        <f>DATE(2011,5,11) + TIME(17,58,22)</f>
        <v>40674.748865740738</v>
      </c>
      <c r="C595">
        <v>6963.265625</v>
      </c>
      <c r="D595">
        <v>5708.9233397999997</v>
      </c>
      <c r="E595">
        <v>638.15075683999999</v>
      </c>
      <c r="F595">
        <v>101.32499695</v>
      </c>
      <c r="G595">
        <v>80</v>
      </c>
      <c r="H595">
        <v>79.925354003999999</v>
      </c>
      <c r="I595">
        <v>50</v>
      </c>
      <c r="J595">
        <v>48.579715729</v>
      </c>
      <c r="K595">
        <v>2400</v>
      </c>
      <c r="L595">
        <v>0</v>
      </c>
      <c r="M595">
        <v>0</v>
      </c>
      <c r="N595">
        <v>780.63146973000005</v>
      </c>
    </row>
    <row r="596" spans="1:14" x14ac:dyDescent="0.25">
      <c r="A596">
        <v>376.28509000000003</v>
      </c>
      <c r="B596" s="1">
        <f>DATE(2011,5,12) + TIME(6,50,31)</f>
        <v>40675.285081018519</v>
      </c>
      <c r="C596">
        <v>6962.6430664</v>
      </c>
      <c r="D596">
        <v>5707.8427733999997</v>
      </c>
      <c r="E596">
        <v>638.90936279000005</v>
      </c>
      <c r="F596">
        <v>101.32499695</v>
      </c>
      <c r="G596">
        <v>80</v>
      </c>
      <c r="H596">
        <v>79.925590514999996</v>
      </c>
      <c r="I596">
        <v>50</v>
      </c>
      <c r="J596">
        <v>48.545558929000002</v>
      </c>
      <c r="K596">
        <v>2400</v>
      </c>
      <c r="L596">
        <v>0</v>
      </c>
      <c r="M596">
        <v>0</v>
      </c>
      <c r="N596">
        <v>781.50866699000005</v>
      </c>
    </row>
    <row r="597" spans="1:14" x14ac:dyDescent="0.25">
      <c r="A597">
        <v>376.83569999999997</v>
      </c>
      <c r="B597" s="1">
        <f>DATE(2011,5,12) + TIME(20,3,24)</f>
        <v>40675.835694444446</v>
      </c>
      <c r="C597">
        <v>6961.4492188000004</v>
      </c>
      <c r="D597">
        <v>5706.2153319999998</v>
      </c>
      <c r="E597">
        <v>639.59942626999998</v>
      </c>
      <c r="F597">
        <v>101.32499695</v>
      </c>
      <c r="G597">
        <v>80</v>
      </c>
      <c r="H597">
        <v>79.925773621000005</v>
      </c>
      <c r="I597">
        <v>50</v>
      </c>
      <c r="J597">
        <v>48.510509491000001</v>
      </c>
      <c r="K597">
        <v>2400</v>
      </c>
      <c r="L597">
        <v>0</v>
      </c>
      <c r="M597">
        <v>0</v>
      </c>
      <c r="N597">
        <v>782.29669189000003</v>
      </c>
    </row>
    <row r="598" spans="1:14" x14ac:dyDescent="0.25">
      <c r="A598">
        <v>377.40463</v>
      </c>
      <c r="B598" s="1">
        <f>DATE(2011,5,13) + TIME(9,42,40)</f>
        <v>40676.404629629629</v>
      </c>
      <c r="C598">
        <v>6959.7387694999998</v>
      </c>
      <c r="D598">
        <v>5704.0913086</v>
      </c>
      <c r="E598">
        <v>640.22430420000001</v>
      </c>
      <c r="F598">
        <v>101.32499695</v>
      </c>
      <c r="G598">
        <v>80</v>
      </c>
      <c r="H598">
        <v>79.925918578999998</v>
      </c>
      <c r="I598">
        <v>50</v>
      </c>
      <c r="J598">
        <v>48.474357605000002</v>
      </c>
      <c r="K598">
        <v>2400</v>
      </c>
      <c r="L598">
        <v>0</v>
      </c>
      <c r="M598">
        <v>0</v>
      </c>
      <c r="N598">
        <v>782.99945068</v>
      </c>
    </row>
    <row r="599" spans="1:14" x14ac:dyDescent="0.25">
      <c r="A599">
        <v>377.99398300000001</v>
      </c>
      <c r="B599" s="1">
        <f>DATE(2011,5,13) + TIME(23,51,20)</f>
        <v>40676.993981481479</v>
      </c>
      <c r="C599">
        <v>6957.5458983999997</v>
      </c>
      <c r="D599">
        <v>5701.5009766000003</v>
      </c>
      <c r="E599">
        <v>640.78552246000004</v>
      </c>
      <c r="F599">
        <v>101.32499695</v>
      </c>
      <c r="G599">
        <v>80</v>
      </c>
      <c r="H599">
        <v>79.926040649000001</v>
      </c>
      <c r="I599">
        <v>50</v>
      </c>
      <c r="J599">
        <v>48.436996460000003</v>
      </c>
      <c r="K599">
        <v>2400</v>
      </c>
      <c r="L599">
        <v>0</v>
      </c>
      <c r="M599">
        <v>0</v>
      </c>
      <c r="N599">
        <v>783.61901854999996</v>
      </c>
    </row>
    <row r="600" spans="1:14" x14ac:dyDescent="0.25">
      <c r="A600">
        <v>378.59877999999998</v>
      </c>
      <c r="B600" s="1">
        <f>DATE(2011,5,14) + TIME(14,22,14)</f>
        <v>40677.598773148151</v>
      </c>
      <c r="C600">
        <v>6954.8969727000003</v>
      </c>
      <c r="D600">
        <v>5698.4702147999997</v>
      </c>
      <c r="E600">
        <v>641.27905272999999</v>
      </c>
      <c r="F600">
        <v>101.32499695</v>
      </c>
      <c r="G600">
        <v>80</v>
      </c>
      <c r="H600">
        <v>79.926139832000004</v>
      </c>
      <c r="I600">
        <v>50</v>
      </c>
      <c r="J600">
        <v>48.398689269999998</v>
      </c>
      <c r="K600">
        <v>2400</v>
      </c>
      <c r="L600">
        <v>0</v>
      </c>
      <c r="M600">
        <v>0</v>
      </c>
      <c r="N600">
        <v>784.15270996000004</v>
      </c>
    </row>
    <row r="601" spans="1:14" x14ac:dyDescent="0.25">
      <c r="A601">
        <v>379.22292299999998</v>
      </c>
      <c r="B601" s="1">
        <f>DATE(2011,5,15) + TIME(5,21,0)</f>
        <v>40678.222916666666</v>
      </c>
      <c r="C601">
        <v>6951.8754883000001</v>
      </c>
      <c r="D601">
        <v>5695.0849608999997</v>
      </c>
      <c r="E601">
        <v>641.71453856999995</v>
      </c>
      <c r="F601">
        <v>101.32499695</v>
      </c>
      <c r="G601">
        <v>80</v>
      </c>
      <c r="H601">
        <v>79.926231384000005</v>
      </c>
      <c r="I601">
        <v>50</v>
      </c>
      <c r="J601">
        <v>48.359245299999998</v>
      </c>
      <c r="K601">
        <v>2400</v>
      </c>
      <c r="L601">
        <v>0</v>
      </c>
      <c r="M601">
        <v>0</v>
      </c>
      <c r="N601">
        <v>784.60992432</v>
      </c>
    </row>
    <row r="602" spans="1:14" x14ac:dyDescent="0.25">
      <c r="A602">
        <v>379.87047200000001</v>
      </c>
      <c r="B602" s="1">
        <f>DATE(2011,5,15) + TIME(20,53,28)</f>
        <v>40678.870462962965</v>
      </c>
      <c r="C602">
        <v>6948.5087891000003</v>
      </c>
      <c r="D602">
        <v>5691.3681641000003</v>
      </c>
      <c r="E602">
        <v>642.09802246000004</v>
      </c>
      <c r="F602">
        <v>101.32499695</v>
      </c>
      <c r="G602">
        <v>80</v>
      </c>
      <c r="H602">
        <v>79.926322936999995</v>
      </c>
      <c r="I602">
        <v>50</v>
      </c>
      <c r="J602">
        <v>48.318454742</v>
      </c>
      <c r="K602">
        <v>2400</v>
      </c>
      <c r="L602">
        <v>0</v>
      </c>
      <c r="M602">
        <v>0</v>
      </c>
      <c r="N602">
        <v>784.99761963000003</v>
      </c>
    </row>
    <row r="603" spans="1:14" x14ac:dyDescent="0.25">
      <c r="A603">
        <v>380.54590999999999</v>
      </c>
      <c r="B603" s="1">
        <f>DATE(2011,5,16) + TIME(13,6,6)</f>
        <v>40679.545902777776</v>
      </c>
      <c r="C603">
        <v>6944.8095702999999</v>
      </c>
      <c r="D603">
        <v>5687.3320311999996</v>
      </c>
      <c r="E603">
        <v>642.43469238</v>
      </c>
      <c r="F603">
        <v>101.32499695</v>
      </c>
      <c r="G603">
        <v>80</v>
      </c>
      <c r="H603">
        <v>79.92640686</v>
      </c>
      <c r="I603">
        <v>50</v>
      </c>
      <c r="J603">
        <v>48.276088715</v>
      </c>
      <c r="K603">
        <v>2400</v>
      </c>
      <c r="L603">
        <v>0</v>
      </c>
      <c r="M603">
        <v>0</v>
      </c>
      <c r="N603">
        <v>785.32202147999999</v>
      </c>
    </row>
    <row r="604" spans="1:14" x14ac:dyDescent="0.25">
      <c r="A604">
        <v>381.25459899999998</v>
      </c>
      <c r="B604" s="1">
        <f>DATE(2011,5,17) + TIME(6,6,37)</f>
        <v>40680.254594907405</v>
      </c>
      <c r="C604">
        <v>6940.7832030999998</v>
      </c>
      <c r="D604">
        <v>5682.9794922000001</v>
      </c>
      <c r="E604">
        <v>642.72967529000005</v>
      </c>
      <c r="F604">
        <v>101.32499695</v>
      </c>
      <c r="G604">
        <v>80</v>
      </c>
      <c r="H604">
        <v>79.926498413000004</v>
      </c>
      <c r="I604">
        <v>50</v>
      </c>
      <c r="J604">
        <v>48.231880187999998</v>
      </c>
      <c r="K604">
        <v>2400</v>
      </c>
      <c r="L604">
        <v>0</v>
      </c>
      <c r="M604">
        <v>0</v>
      </c>
      <c r="N604">
        <v>785.58868408000001</v>
      </c>
    </row>
    <row r="605" spans="1:14" x14ac:dyDescent="0.25">
      <c r="A605">
        <v>381.97087699999997</v>
      </c>
      <c r="B605" s="1">
        <f>DATE(2011,5,17) + TIME(23,18,3)</f>
        <v>40680.970868055556</v>
      </c>
      <c r="C605">
        <v>6936.4453125</v>
      </c>
      <c r="D605">
        <v>5678.3227539</v>
      </c>
      <c r="E605">
        <v>642.97064208999996</v>
      </c>
      <c r="F605">
        <v>101.32499695</v>
      </c>
      <c r="G605">
        <v>80</v>
      </c>
      <c r="H605">
        <v>79.926574707</v>
      </c>
      <c r="I605">
        <v>50</v>
      </c>
      <c r="J605">
        <v>48.187099457000002</v>
      </c>
      <c r="K605">
        <v>2400</v>
      </c>
      <c r="L605">
        <v>0</v>
      </c>
      <c r="M605">
        <v>0</v>
      </c>
      <c r="N605">
        <v>785.79162598000005</v>
      </c>
    </row>
    <row r="606" spans="1:14" x14ac:dyDescent="0.25">
      <c r="A606">
        <v>382.69626899999997</v>
      </c>
      <c r="B606" s="1">
        <f>DATE(2011,5,18) + TIME(16,42,37)</f>
        <v>40681.696261574078</v>
      </c>
      <c r="C606">
        <v>6931.9575194999998</v>
      </c>
      <c r="D606">
        <v>5673.5366211</v>
      </c>
      <c r="E606">
        <v>643.17425536999997</v>
      </c>
      <c r="F606">
        <v>101.32499695</v>
      </c>
      <c r="G606">
        <v>80</v>
      </c>
      <c r="H606">
        <v>79.926651000999996</v>
      </c>
      <c r="I606">
        <v>50</v>
      </c>
      <c r="J606">
        <v>48.141719817999999</v>
      </c>
      <c r="K606">
        <v>2400</v>
      </c>
      <c r="L606">
        <v>0</v>
      </c>
      <c r="M606">
        <v>0</v>
      </c>
      <c r="N606">
        <v>785.94470215000001</v>
      </c>
    </row>
    <row r="607" spans="1:14" x14ac:dyDescent="0.25">
      <c r="A607">
        <v>383.43511000000001</v>
      </c>
      <c r="B607" s="1">
        <f>DATE(2011,5,19) + TIME(10,26,33)</f>
        <v>40682.435104166667</v>
      </c>
      <c r="C607">
        <v>6927.3530272999997</v>
      </c>
      <c r="D607">
        <v>5668.6513672000001</v>
      </c>
      <c r="E607">
        <v>643.34808350000003</v>
      </c>
      <c r="F607">
        <v>101.32499695</v>
      </c>
      <c r="G607">
        <v>80</v>
      </c>
      <c r="H607">
        <v>79.926742554</v>
      </c>
      <c r="I607">
        <v>50</v>
      </c>
      <c r="J607">
        <v>48.095558167</v>
      </c>
      <c r="K607">
        <v>2400</v>
      </c>
      <c r="L607">
        <v>0</v>
      </c>
      <c r="M607">
        <v>0</v>
      </c>
      <c r="N607">
        <v>786.05627441000001</v>
      </c>
    </row>
    <row r="608" spans="1:14" x14ac:dyDescent="0.25">
      <c r="A608">
        <v>384.19208400000002</v>
      </c>
      <c r="B608" s="1">
        <f>DATE(2011,5,20) + TIME(4,36,36)</f>
        <v>40683.192083333335</v>
      </c>
      <c r="C608">
        <v>6922.6318358999997</v>
      </c>
      <c r="D608">
        <v>5663.6640625</v>
      </c>
      <c r="E608">
        <v>643.49707031000003</v>
      </c>
      <c r="F608">
        <v>101.32499695</v>
      </c>
      <c r="G608">
        <v>80</v>
      </c>
      <c r="H608">
        <v>79.926826477000006</v>
      </c>
      <c r="I608">
        <v>50</v>
      </c>
      <c r="J608">
        <v>48.048404693999998</v>
      </c>
      <c r="K608">
        <v>2400</v>
      </c>
      <c r="L608">
        <v>0</v>
      </c>
      <c r="M608">
        <v>0</v>
      </c>
      <c r="N608">
        <v>786.13244628999996</v>
      </c>
    </row>
    <row r="609" spans="1:14" x14ac:dyDescent="0.25">
      <c r="A609">
        <v>384.97216500000002</v>
      </c>
      <c r="B609" s="1">
        <f>DATE(2011,5,20) + TIME(23,19,55)</f>
        <v>40683.97216435185</v>
      </c>
      <c r="C609">
        <v>6917.7856444999998</v>
      </c>
      <c r="D609">
        <v>5658.5639647999997</v>
      </c>
      <c r="E609">
        <v>643.62542725000003</v>
      </c>
      <c r="F609">
        <v>101.32499695</v>
      </c>
      <c r="G609">
        <v>80</v>
      </c>
      <c r="H609">
        <v>79.926925659000005</v>
      </c>
      <c r="I609">
        <v>50</v>
      </c>
      <c r="J609">
        <v>48.000026703000003</v>
      </c>
      <c r="K609">
        <v>2400</v>
      </c>
      <c r="L609">
        <v>0</v>
      </c>
      <c r="M609">
        <v>0</v>
      </c>
      <c r="N609">
        <v>786.17785645000004</v>
      </c>
    </row>
    <row r="610" spans="1:14" x14ac:dyDescent="0.25">
      <c r="A610">
        <v>385.78076499999997</v>
      </c>
      <c r="B610" s="1">
        <f>DATE(2011,5,21) + TIME(18,44,18)</f>
        <v>40684.780763888892</v>
      </c>
      <c r="C610">
        <v>6912.8002930000002</v>
      </c>
      <c r="D610">
        <v>5653.3354491999999</v>
      </c>
      <c r="E610">
        <v>643.73651123000002</v>
      </c>
      <c r="F610">
        <v>101.32499695</v>
      </c>
      <c r="G610">
        <v>80</v>
      </c>
      <c r="H610">
        <v>79.927024841000005</v>
      </c>
      <c r="I610">
        <v>50</v>
      </c>
      <c r="J610">
        <v>47.950157165999997</v>
      </c>
      <c r="K610">
        <v>2400</v>
      </c>
      <c r="L610">
        <v>0</v>
      </c>
      <c r="M610">
        <v>0</v>
      </c>
      <c r="N610">
        <v>786.19641113</v>
      </c>
    </row>
    <row r="611" spans="1:14" x14ac:dyDescent="0.25">
      <c r="A611">
        <v>386.61212999999998</v>
      </c>
      <c r="B611" s="1">
        <f>DATE(2011,5,22) + TIME(14,41,28)</f>
        <v>40685.612129629626</v>
      </c>
      <c r="C611">
        <v>6907.6733397999997</v>
      </c>
      <c r="D611">
        <v>5647.9731444999998</v>
      </c>
      <c r="E611">
        <v>643.82946776999995</v>
      </c>
      <c r="F611">
        <v>101.32499695</v>
      </c>
      <c r="G611">
        <v>80</v>
      </c>
      <c r="H611">
        <v>79.927116393999995</v>
      </c>
      <c r="I611">
        <v>50</v>
      </c>
      <c r="J611">
        <v>47.899078369000001</v>
      </c>
      <c r="K611">
        <v>2400</v>
      </c>
      <c r="L611">
        <v>0</v>
      </c>
      <c r="M611">
        <v>0</v>
      </c>
      <c r="N611">
        <v>786.18994140999996</v>
      </c>
    </row>
    <row r="612" spans="1:14" x14ac:dyDescent="0.25">
      <c r="A612">
        <v>387.46384999999998</v>
      </c>
      <c r="B612" s="1">
        <f>DATE(2011,5,23) + TIME(11,7,56)</f>
        <v>40686.463842592595</v>
      </c>
      <c r="C612">
        <v>6902.4438477000003</v>
      </c>
      <c r="D612">
        <v>5642.5190430000002</v>
      </c>
      <c r="E612">
        <v>643.90820312000005</v>
      </c>
      <c r="F612">
        <v>101.32499695</v>
      </c>
      <c r="G612">
        <v>80</v>
      </c>
      <c r="H612">
        <v>79.927215575999995</v>
      </c>
      <c r="I612">
        <v>50</v>
      </c>
      <c r="J612">
        <v>47.846904754999997</v>
      </c>
      <c r="K612">
        <v>2400</v>
      </c>
      <c r="L612">
        <v>0</v>
      </c>
      <c r="M612">
        <v>0</v>
      </c>
      <c r="N612">
        <v>786.16253661999997</v>
      </c>
    </row>
    <row r="613" spans="1:14" x14ac:dyDescent="0.25">
      <c r="A613">
        <v>388.34052100000002</v>
      </c>
      <c r="B613" s="1">
        <f>DATE(2011,5,24) + TIME(8,10,21)</f>
        <v>40687.340520833335</v>
      </c>
      <c r="C613">
        <v>6897.1308594000002</v>
      </c>
      <c r="D613">
        <v>5636.9912108999997</v>
      </c>
      <c r="E613">
        <v>643.97735595999995</v>
      </c>
      <c r="F613">
        <v>101.32499695</v>
      </c>
      <c r="G613">
        <v>80</v>
      </c>
      <c r="H613">
        <v>79.927314757999994</v>
      </c>
      <c r="I613">
        <v>50</v>
      </c>
      <c r="J613">
        <v>47.793445587000001</v>
      </c>
      <c r="K613">
        <v>2400</v>
      </c>
      <c r="L613">
        <v>0</v>
      </c>
      <c r="M613">
        <v>0</v>
      </c>
      <c r="N613">
        <v>786.11791991999996</v>
      </c>
    </row>
    <row r="614" spans="1:14" x14ac:dyDescent="0.25">
      <c r="A614">
        <v>389.24733800000001</v>
      </c>
      <c r="B614" s="1">
        <f>DATE(2011,5,25) + TIME(5,56,10)</f>
        <v>40688.247337962966</v>
      </c>
      <c r="C614">
        <v>6891.7207030999998</v>
      </c>
      <c r="D614">
        <v>5631.3759766000003</v>
      </c>
      <c r="E614">
        <v>644.03881836000005</v>
      </c>
      <c r="F614">
        <v>101.32499695</v>
      </c>
      <c r="G614">
        <v>80</v>
      </c>
      <c r="H614">
        <v>79.927421570000007</v>
      </c>
      <c r="I614">
        <v>50</v>
      </c>
      <c r="J614">
        <v>47.738464354999998</v>
      </c>
      <c r="K614">
        <v>2400</v>
      </c>
      <c r="L614">
        <v>0</v>
      </c>
      <c r="M614">
        <v>0</v>
      </c>
      <c r="N614">
        <v>786.05792236000002</v>
      </c>
    </row>
    <row r="615" spans="1:14" x14ac:dyDescent="0.25">
      <c r="A615">
        <v>390.17646200000001</v>
      </c>
      <c r="B615" s="1">
        <f>DATE(2011,5,26) + TIME(4,14,6)</f>
        <v>40689.176458333335</v>
      </c>
      <c r="C615">
        <v>6886.2133789</v>
      </c>
      <c r="D615">
        <v>5625.6704102000003</v>
      </c>
      <c r="E615">
        <v>644.09033203000001</v>
      </c>
      <c r="F615">
        <v>101.32499695</v>
      </c>
      <c r="G615">
        <v>80</v>
      </c>
      <c r="H615">
        <v>79.927520752000007</v>
      </c>
      <c r="I615">
        <v>50</v>
      </c>
      <c r="J615">
        <v>47.682323455999999</v>
      </c>
      <c r="K615">
        <v>2400</v>
      </c>
      <c r="L615">
        <v>0</v>
      </c>
      <c r="M615">
        <v>0</v>
      </c>
      <c r="N615">
        <v>785.98333739999998</v>
      </c>
    </row>
    <row r="616" spans="1:14" x14ac:dyDescent="0.25">
      <c r="A616">
        <v>391.11432400000001</v>
      </c>
      <c r="B616" s="1">
        <f>DATE(2011,5,27) + TIME(2,44,37)</f>
        <v>40690.114317129628</v>
      </c>
      <c r="C616">
        <v>6880.6645508000001</v>
      </c>
      <c r="D616">
        <v>5619.9331055000002</v>
      </c>
      <c r="E616">
        <v>644.13244628999996</v>
      </c>
      <c r="F616">
        <v>101.32499695</v>
      </c>
      <c r="G616">
        <v>80</v>
      </c>
      <c r="H616">
        <v>79.927619934000006</v>
      </c>
      <c r="I616">
        <v>50</v>
      </c>
      <c r="J616">
        <v>47.625663756999998</v>
      </c>
      <c r="K616">
        <v>2400</v>
      </c>
      <c r="L616">
        <v>0</v>
      </c>
      <c r="M616">
        <v>0</v>
      </c>
      <c r="N616">
        <v>785.89678954999999</v>
      </c>
    </row>
    <row r="617" spans="1:14" x14ac:dyDescent="0.25">
      <c r="A617">
        <v>392.06640599999997</v>
      </c>
      <c r="B617" s="1">
        <f>DATE(2011,5,28) + TIME(1,35,37)</f>
        <v>40691.066400462965</v>
      </c>
      <c r="C617">
        <v>6875.1264647999997</v>
      </c>
      <c r="D617">
        <v>5614.2182616999999</v>
      </c>
      <c r="E617">
        <v>644.17218018000005</v>
      </c>
      <c r="F617">
        <v>101.32499695</v>
      </c>
      <c r="G617">
        <v>80</v>
      </c>
      <c r="H617">
        <v>79.927726746000005</v>
      </c>
      <c r="I617">
        <v>50</v>
      </c>
      <c r="J617">
        <v>47.568298339999998</v>
      </c>
      <c r="K617">
        <v>2400</v>
      </c>
      <c r="L617">
        <v>0</v>
      </c>
      <c r="M617">
        <v>0</v>
      </c>
      <c r="N617">
        <v>785.80242920000001</v>
      </c>
    </row>
    <row r="618" spans="1:14" x14ac:dyDescent="0.25">
      <c r="A618">
        <v>393.03824400000002</v>
      </c>
      <c r="B618" s="1">
        <f>DATE(2011,5,29) + TIME(0,55,4)</f>
        <v>40692.038240740738</v>
      </c>
      <c r="C618">
        <v>6869.5820311999996</v>
      </c>
      <c r="D618">
        <v>5608.5063477000003</v>
      </c>
      <c r="E618">
        <v>644.20983887</v>
      </c>
      <c r="F618">
        <v>101.32499695</v>
      </c>
      <c r="G618">
        <v>80</v>
      </c>
      <c r="H618">
        <v>79.927833557</v>
      </c>
      <c r="I618">
        <v>50</v>
      </c>
      <c r="J618">
        <v>47.510013579999999</v>
      </c>
      <c r="K618">
        <v>2400</v>
      </c>
      <c r="L618">
        <v>0</v>
      </c>
      <c r="M618">
        <v>0</v>
      </c>
      <c r="N618">
        <v>785.70050048999997</v>
      </c>
    </row>
    <row r="619" spans="1:14" x14ac:dyDescent="0.25">
      <c r="A619">
        <v>394.03504199999998</v>
      </c>
      <c r="B619" s="1">
        <f>DATE(2011,5,30) + TIME(0,50,27)</f>
        <v>40693.035034722219</v>
      </c>
      <c r="C619">
        <v>6864.0063477000003</v>
      </c>
      <c r="D619">
        <v>5602.7719727000003</v>
      </c>
      <c r="E619">
        <v>644.24560546999999</v>
      </c>
      <c r="F619">
        <v>101.32499695</v>
      </c>
      <c r="G619">
        <v>80</v>
      </c>
      <c r="H619">
        <v>79.927940368999998</v>
      </c>
      <c r="I619">
        <v>50</v>
      </c>
      <c r="J619">
        <v>47.450584411999998</v>
      </c>
      <c r="K619">
        <v>2400</v>
      </c>
      <c r="L619">
        <v>0</v>
      </c>
      <c r="M619">
        <v>0</v>
      </c>
      <c r="N619">
        <v>785.59106444999998</v>
      </c>
    </row>
    <row r="620" spans="1:14" x14ac:dyDescent="0.25">
      <c r="A620">
        <v>395.06285700000001</v>
      </c>
      <c r="B620" s="1">
        <f>DATE(2011,5,31) + TIME(1,30,30)</f>
        <v>40694.062847222223</v>
      </c>
      <c r="C620">
        <v>6858.375</v>
      </c>
      <c r="D620">
        <v>5596.9882811999996</v>
      </c>
      <c r="E620">
        <v>644.28009033000001</v>
      </c>
      <c r="F620">
        <v>101.32499695</v>
      </c>
      <c r="G620">
        <v>80</v>
      </c>
      <c r="H620">
        <v>79.928054810000006</v>
      </c>
      <c r="I620">
        <v>50</v>
      </c>
      <c r="J620">
        <v>47.389751433999997</v>
      </c>
      <c r="K620">
        <v>2400</v>
      </c>
      <c r="L620">
        <v>0</v>
      </c>
      <c r="M620">
        <v>0</v>
      </c>
      <c r="N620">
        <v>785.47424316000001</v>
      </c>
    </row>
    <row r="621" spans="1:14" x14ac:dyDescent="0.25">
      <c r="A621">
        <v>396</v>
      </c>
      <c r="B621" s="1">
        <f>DATE(2011,6,1) + TIME(0,0,0)</f>
        <v>40695</v>
      </c>
      <c r="C621">
        <v>6852.84375</v>
      </c>
      <c r="D621">
        <v>5591.3105469000002</v>
      </c>
      <c r="E621">
        <v>644.28198241999996</v>
      </c>
      <c r="F621">
        <v>101.32499695</v>
      </c>
      <c r="G621">
        <v>80</v>
      </c>
      <c r="H621">
        <v>79.928123474000003</v>
      </c>
      <c r="I621">
        <v>50</v>
      </c>
      <c r="J621">
        <v>47.332958220999998</v>
      </c>
      <c r="K621">
        <v>2400</v>
      </c>
      <c r="L621">
        <v>0</v>
      </c>
      <c r="M621">
        <v>0</v>
      </c>
      <c r="N621">
        <v>785.34844970999995</v>
      </c>
    </row>
    <row r="622" spans="1:14" x14ac:dyDescent="0.25">
      <c r="A622">
        <v>397.05969800000003</v>
      </c>
      <c r="B622" s="1">
        <f>DATE(2011,6,2) + TIME(1,25,57)</f>
        <v>40696.059687499997</v>
      </c>
      <c r="C622">
        <v>6847.5004883000001</v>
      </c>
      <c r="D622">
        <v>5585.8427733999997</v>
      </c>
      <c r="E622">
        <v>644.34155272999999</v>
      </c>
      <c r="F622">
        <v>101.32499695</v>
      </c>
      <c r="G622">
        <v>80</v>
      </c>
      <c r="H622">
        <v>79.928268433</v>
      </c>
      <c r="I622">
        <v>50</v>
      </c>
      <c r="J622">
        <v>47.271026611000003</v>
      </c>
      <c r="K622">
        <v>2400</v>
      </c>
      <c r="L622">
        <v>0</v>
      </c>
      <c r="M622">
        <v>0</v>
      </c>
      <c r="N622">
        <v>785.23614501999998</v>
      </c>
    </row>
    <row r="623" spans="1:14" x14ac:dyDescent="0.25">
      <c r="A623">
        <v>398.158751</v>
      </c>
      <c r="B623" s="1">
        <f>DATE(2011,6,3) + TIME(3,48,36)</f>
        <v>40697.158750000002</v>
      </c>
      <c r="C623">
        <v>6841.8256836</v>
      </c>
      <c r="D623">
        <v>5580.0366211</v>
      </c>
      <c r="E623">
        <v>644.37103271000001</v>
      </c>
      <c r="F623">
        <v>101.32499695</v>
      </c>
      <c r="G623">
        <v>80</v>
      </c>
      <c r="H623">
        <v>79.928382873999993</v>
      </c>
      <c r="I623">
        <v>50</v>
      </c>
      <c r="J623">
        <v>47.207309723000002</v>
      </c>
      <c r="K623">
        <v>2400</v>
      </c>
      <c r="L623">
        <v>0</v>
      </c>
      <c r="M623">
        <v>0</v>
      </c>
      <c r="N623">
        <v>785.10101318</v>
      </c>
    </row>
    <row r="624" spans="1:14" x14ac:dyDescent="0.25">
      <c r="A624">
        <v>399.28640799999999</v>
      </c>
      <c r="B624" s="1">
        <f>DATE(2011,6,4) + TIME(6,52,25)</f>
        <v>40698.286400462966</v>
      </c>
      <c r="C624">
        <v>6836.0283202999999</v>
      </c>
      <c r="D624">
        <v>5574.1118164</v>
      </c>
      <c r="E624">
        <v>644.39654541000004</v>
      </c>
      <c r="F624">
        <v>101.32499695</v>
      </c>
      <c r="G624">
        <v>80</v>
      </c>
      <c r="H624">
        <v>79.928497313999998</v>
      </c>
      <c r="I624">
        <v>50</v>
      </c>
      <c r="J624">
        <v>47.142234801999997</v>
      </c>
      <c r="K624">
        <v>2400</v>
      </c>
      <c r="L624">
        <v>0</v>
      </c>
      <c r="M624">
        <v>0</v>
      </c>
      <c r="N624">
        <v>784.95843506000006</v>
      </c>
    </row>
    <row r="625" spans="1:14" x14ac:dyDescent="0.25">
      <c r="A625">
        <v>400.43309199999999</v>
      </c>
      <c r="B625" s="1">
        <f>DATE(2011,6,5) + TIME(10,23,39)</f>
        <v>40699.43309027778</v>
      </c>
      <c r="C625">
        <v>6830.1796875</v>
      </c>
      <c r="D625">
        <v>5568.1416016000003</v>
      </c>
      <c r="E625">
        <v>644.42022704999999</v>
      </c>
      <c r="F625">
        <v>101.32499695</v>
      </c>
      <c r="G625">
        <v>80</v>
      </c>
      <c r="H625">
        <v>79.928604125999996</v>
      </c>
      <c r="I625">
        <v>50</v>
      </c>
      <c r="J625">
        <v>47.076232910000002</v>
      </c>
      <c r="K625">
        <v>2400</v>
      </c>
      <c r="L625">
        <v>0</v>
      </c>
      <c r="M625">
        <v>0</v>
      </c>
      <c r="N625">
        <v>784.81085204999999</v>
      </c>
    </row>
    <row r="626" spans="1:14" x14ac:dyDescent="0.25">
      <c r="A626">
        <v>401.59837599999997</v>
      </c>
      <c r="B626" s="1">
        <f>DATE(2011,6,6) + TIME(14,21,39)</f>
        <v>40700.598368055558</v>
      </c>
      <c r="C626">
        <v>6824.3208008000001</v>
      </c>
      <c r="D626">
        <v>5562.1674805000002</v>
      </c>
      <c r="E626">
        <v>644.44451904000005</v>
      </c>
      <c r="F626">
        <v>101.32499695</v>
      </c>
      <c r="G626">
        <v>80</v>
      </c>
      <c r="H626">
        <v>79.928718567000004</v>
      </c>
      <c r="I626">
        <v>50</v>
      </c>
      <c r="J626">
        <v>47.009387969999999</v>
      </c>
      <c r="K626">
        <v>2400</v>
      </c>
      <c r="L626">
        <v>0</v>
      </c>
      <c r="M626">
        <v>0</v>
      </c>
      <c r="N626">
        <v>784.65972899999997</v>
      </c>
    </row>
    <row r="627" spans="1:14" x14ac:dyDescent="0.25">
      <c r="A627">
        <v>402.77946900000001</v>
      </c>
      <c r="B627" s="1">
        <f>DATE(2011,6,7) + TIME(18,42,26)</f>
        <v>40701.779467592591</v>
      </c>
      <c r="C627">
        <v>6818.4633789</v>
      </c>
      <c r="D627">
        <v>5556.2011719000002</v>
      </c>
      <c r="E627">
        <v>644.46856689000003</v>
      </c>
      <c r="F627">
        <v>101.32499695</v>
      </c>
      <c r="G627">
        <v>80</v>
      </c>
      <c r="H627">
        <v>79.928833007999998</v>
      </c>
      <c r="I627">
        <v>50</v>
      </c>
      <c r="J627">
        <v>46.941871642999999</v>
      </c>
      <c r="K627">
        <v>2400</v>
      </c>
      <c r="L627">
        <v>0</v>
      </c>
      <c r="M627">
        <v>0</v>
      </c>
      <c r="N627">
        <v>784.50476074000005</v>
      </c>
    </row>
    <row r="628" spans="1:14" x14ac:dyDescent="0.25">
      <c r="A628">
        <v>403.98224499999998</v>
      </c>
      <c r="B628" s="1">
        <f>DATE(2011,6,8) + TIME(23,34,25)</f>
        <v>40702.982233796298</v>
      </c>
      <c r="C628">
        <v>6812.6113280999998</v>
      </c>
      <c r="D628">
        <v>5550.2465819999998</v>
      </c>
      <c r="E628">
        <v>644.49420166000004</v>
      </c>
      <c r="F628">
        <v>101.32499695</v>
      </c>
      <c r="G628">
        <v>80</v>
      </c>
      <c r="H628">
        <v>79.928947449000006</v>
      </c>
      <c r="I628">
        <v>50</v>
      </c>
      <c r="J628">
        <v>46.873493195000002</v>
      </c>
      <c r="K628">
        <v>2400</v>
      </c>
      <c r="L628">
        <v>0</v>
      </c>
      <c r="M628">
        <v>0</v>
      </c>
      <c r="N628">
        <v>784.34625243999994</v>
      </c>
    </row>
    <row r="629" spans="1:14" x14ac:dyDescent="0.25">
      <c r="A629">
        <v>405.21313400000003</v>
      </c>
      <c r="B629" s="1">
        <f>DATE(2011,6,10) + TIME(5,6,54)</f>
        <v>40704.213125000002</v>
      </c>
      <c r="C629">
        <v>6806.7416991999999</v>
      </c>
      <c r="D629">
        <v>5544.2792969000002</v>
      </c>
      <c r="E629">
        <v>644.52093506000006</v>
      </c>
      <c r="F629">
        <v>101.32499695</v>
      </c>
      <c r="G629">
        <v>80</v>
      </c>
      <c r="H629">
        <v>79.929069518999995</v>
      </c>
      <c r="I629">
        <v>50</v>
      </c>
      <c r="J629">
        <v>46.804019928000002</v>
      </c>
      <c r="K629">
        <v>2400</v>
      </c>
      <c r="L629">
        <v>0</v>
      </c>
      <c r="M629">
        <v>0</v>
      </c>
      <c r="N629">
        <v>784.18328856999995</v>
      </c>
    </row>
    <row r="630" spans="1:14" x14ac:dyDescent="0.25">
      <c r="A630">
        <v>406.47891499999997</v>
      </c>
      <c r="B630" s="1">
        <f>DATE(2011,6,11) + TIME(11,29,38)</f>
        <v>40705.478912037041</v>
      </c>
      <c r="C630">
        <v>6800.8271483999997</v>
      </c>
      <c r="D630">
        <v>5538.2719727000003</v>
      </c>
      <c r="E630">
        <v>644.54846191000001</v>
      </c>
      <c r="F630">
        <v>101.32499695</v>
      </c>
      <c r="G630">
        <v>80</v>
      </c>
      <c r="H630">
        <v>79.929183960000003</v>
      </c>
      <c r="I630">
        <v>50</v>
      </c>
      <c r="J630">
        <v>46.733181000000002</v>
      </c>
      <c r="K630">
        <v>2400</v>
      </c>
      <c r="L630">
        <v>0</v>
      </c>
      <c r="M630">
        <v>0</v>
      </c>
      <c r="N630">
        <v>784.01477050999995</v>
      </c>
    </row>
    <row r="631" spans="1:14" x14ac:dyDescent="0.25">
      <c r="A631">
        <v>407.77674300000001</v>
      </c>
      <c r="B631" s="1">
        <f>DATE(2011,6,12) + TIME(18,38,30)</f>
        <v>40706.776736111111</v>
      </c>
      <c r="C631">
        <v>6794.8515625</v>
      </c>
      <c r="D631">
        <v>5532.2075194999998</v>
      </c>
      <c r="E631">
        <v>644.57452393000005</v>
      </c>
      <c r="F631">
        <v>101.32499695</v>
      </c>
      <c r="G631">
        <v>80</v>
      </c>
      <c r="H631">
        <v>79.929306030000006</v>
      </c>
      <c r="I631">
        <v>50</v>
      </c>
      <c r="J631">
        <v>46.661067963000001</v>
      </c>
      <c r="K631">
        <v>2400</v>
      </c>
      <c r="L631">
        <v>0</v>
      </c>
      <c r="M631">
        <v>0</v>
      </c>
      <c r="N631">
        <v>783.83996581999997</v>
      </c>
    </row>
    <row r="632" spans="1:14" x14ac:dyDescent="0.25">
      <c r="A632">
        <v>409.09327200000001</v>
      </c>
      <c r="B632" s="1">
        <f>DATE(2011,6,14) + TIME(2,14,18)</f>
        <v>40708.093263888892</v>
      </c>
      <c r="C632">
        <v>6788.8378905999998</v>
      </c>
      <c r="D632">
        <v>5526.1083983999997</v>
      </c>
      <c r="E632">
        <v>644.59765625</v>
      </c>
      <c r="F632">
        <v>101.32499695</v>
      </c>
      <c r="G632">
        <v>80</v>
      </c>
      <c r="H632">
        <v>79.929428100999999</v>
      </c>
      <c r="I632">
        <v>50</v>
      </c>
      <c r="J632">
        <v>46.588199615000001</v>
      </c>
      <c r="K632">
        <v>2400</v>
      </c>
      <c r="L632">
        <v>0</v>
      </c>
      <c r="M632">
        <v>0</v>
      </c>
      <c r="N632">
        <v>783.65960693</v>
      </c>
    </row>
    <row r="633" spans="1:14" x14ac:dyDescent="0.25">
      <c r="A633">
        <v>410.43408399999998</v>
      </c>
      <c r="B633" s="1">
        <f>DATE(2011,6,15) + TIME(10,25,4)</f>
        <v>40709.434074074074</v>
      </c>
      <c r="C633">
        <v>6782.8183594000002</v>
      </c>
      <c r="D633">
        <v>5520.0092772999997</v>
      </c>
      <c r="E633">
        <v>644.62280272999999</v>
      </c>
      <c r="F633">
        <v>101.32499695</v>
      </c>
      <c r="G633">
        <v>80</v>
      </c>
      <c r="H633">
        <v>79.929550171000002</v>
      </c>
      <c r="I633">
        <v>50</v>
      </c>
      <c r="J633">
        <v>46.514431000000002</v>
      </c>
      <c r="K633">
        <v>2400</v>
      </c>
      <c r="L633">
        <v>0</v>
      </c>
      <c r="M633">
        <v>0</v>
      </c>
      <c r="N633">
        <v>783.47564696999996</v>
      </c>
    </row>
    <row r="634" spans="1:14" x14ac:dyDescent="0.25">
      <c r="A634">
        <v>411.79483399999998</v>
      </c>
      <c r="B634" s="1">
        <f>DATE(2011,6,16) + TIME(19,4,33)</f>
        <v>40710.79482638889</v>
      </c>
      <c r="C634">
        <v>6776.7900391000003</v>
      </c>
      <c r="D634">
        <v>5513.9052733999997</v>
      </c>
      <c r="E634">
        <v>644.64715576000003</v>
      </c>
      <c r="F634">
        <v>101.32499695</v>
      </c>
      <c r="G634">
        <v>80</v>
      </c>
      <c r="H634">
        <v>79.929672241000006</v>
      </c>
      <c r="I634">
        <v>50</v>
      </c>
      <c r="J634">
        <v>46.439956664999997</v>
      </c>
      <c r="K634">
        <v>2400</v>
      </c>
      <c r="L634">
        <v>0</v>
      </c>
      <c r="M634">
        <v>0</v>
      </c>
      <c r="N634">
        <v>783.28704833999996</v>
      </c>
    </row>
    <row r="635" spans="1:14" x14ac:dyDescent="0.25">
      <c r="A635">
        <v>413.18267600000001</v>
      </c>
      <c r="B635" s="1">
        <f>DATE(2011,6,18) + TIME(4,23,3)</f>
        <v>40712.182673611111</v>
      </c>
      <c r="C635">
        <v>6770.7558594000002</v>
      </c>
      <c r="D635">
        <v>5507.7993164</v>
      </c>
      <c r="E635">
        <v>644.67333984000004</v>
      </c>
      <c r="F635">
        <v>101.32499695</v>
      </c>
      <c r="G635">
        <v>80</v>
      </c>
      <c r="H635">
        <v>79.929794311999999</v>
      </c>
      <c r="I635">
        <v>50</v>
      </c>
      <c r="J635">
        <v>46.364547729000002</v>
      </c>
      <c r="K635">
        <v>2400</v>
      </c>
      <c r="L635">
        <v>0</v>
      </c>
      <c r="M635">
        <v>0</v>
      </c>
      <c r="N635">
        <v>783.09429932</v>
      </c>
    </row>
    <row r="636" spans="1:14" x14ac:dyDescent="0.25">
      <c r="A636">
        <v>414.589719</v>
      </c>
      <c r="B636" s="1">
        <f>DATE(2011,6,19) + TIME(14,9,11)</f>
        <v>40713.58971064815</v>
      </c>
      <c r="C636">
        <v>6764.7084961</v>
      </c>
      <c r="D636">
        <v>5501.6840819999998</v>
      </c>
      <c r="E636">
        <v>644.69769286999997</v>
      </c>
      <c r="F636">
        <v>101.32499695</v>
      </c>
      <c r="G636">
        <v>80</v>
      </c>
      <c r="H636">
        <v>79.929924010999997</v>
      </c>
      <c r="I636">
        <v>50</v>
      </c>
      <c r="J636">
        <v>46.288509369000003</v>
      </c>
      <c r="K636">
        <v>2400</v>
      </c>
      <c r="L636">
        <v>0</v>
      </c>
      <c r="M636">
        <v>0</v>
      </c>
      <c r="N636">
        <v>782.89630126999998</v>
      </c>
    </row>
    <row r="637" spans="1:14" x14ac:dyDescent="0.25">
      <c r="A637">
        <v>416.01744600000001</v>
      </c>
      <c r="B637" s="1">
        <f>DATE(2011,6,21) + TIME(0,25,7)</f>
        <v>40715.017442129632</v>
      </c>
      <c r="C637">
        <v>6758.6650391000003</v>
      </c>
      <c r="D637">
        <v>5495.5766602000003</v>
      </c>
      <c r="E637">
        <v>644.72283935999997</v>
      </c>
      <c r="F637">
        <v>101.32499695</v>
      </c>
      <c r="G637">
        <v>80</v>
      </c>
      <c r="H637">
        <v>79.930046082000004</v>
      </c>
      <c r="I637">
        <v>50</v>
      </c>
      <c r="J637">
        <v>46.211830139</v>
      </c>
      <c r="K637">
        <v>2400</v>
      </c>
      <c r="L637">
        <v>0</v>
      </c>
      <c r="M637">
        <v>0</v>
      </c>
      <c r="N637">
        <v>782.69433593999997</v>
      </c>
    </row>
    <row r="638" spans="1:14" x14ac:dyDescent="0.25">
      <c r="A638">
        <v>417.47023799999999</v>
      </c>
      <c r="B638" s="1">
        <f>DATE(2011,6,22) + TIME(11,17,8)</f>
        <v>40716.470231481479</v>
      </c>
      <c r="C638">
        <v>6752.6206055000002</v>
      </c>
      <c r="D638">
        <v>5489.4716797000001</v>
      </c>
      <c r="E638">
        <v>644.74902343999997</v>
      </c>
      <c r="F638">
        <v>101.32499695</v>
      </c>
      <c r="G638">
        <v>80</v>
      </c>
      <c r="H638">
        <v>79.930175781000003</v>
      </c>
      <c r="I638">
        <v>50</v>
      </c>
      <c r="J638">
        <v>46.134384154999999</v>
      </c>
      <c r="K638">
        <v>2400</v>
      </c>
      <c r="L638">
        <v>0</v>
      </c>
      <c r="M638">
        <v>0</v>
      </c>
      <c r="N638">
        <v>782.48791503999996</v>
      </c>
    </row>
    <row r="639" spans="1:14" x14ac:dyDescent="0.25">
      <c r="A639">
        <v>418.93843299999997</v>
      </c>
      <c r="B639" s="1">
        <f>DATE(2011,6,23) + TIME(22,31,20)</f>
        <v>40717.938425925924</v>
      </c>
      <c r="C639">
        <v>6746.5747069999998</v>
      </c>
      <c r="D639">
        <v>5483.3686522999997</v>
      </c>
      <c r="E639">
        <v>644.77319336000005</v>
      </c>
      <c r="F639">
        <v>101.32499695</v>
      </c>
      <c r="G639">
        <v>80</v>
      </c>
      <c r="H639">
        <v>79.930297851999995</v>
      </c>
      <c r="I639">
        <v>50</v>
      </c>
      <c r="J639">
        <v>46.056518554999997</v>
      </c>
      <c r="K639">
        <v>2400</v>
      </c>
      <c r="L639">
        <v>0</v>
      </c>
      <c r="M639">
        <v>0</v>
      </c>
      <c r="N639">
        <v>782.27636718999997</v>
      </c>
    </row>
    <row r="640" spans="1:14" x14ac:dyDescent="0.25">
      <c r="A640">
        <v>420.42705599999999</v>
      </c>
      <c r="B640" s="1">
        <f>DATE(2011,6,25) + TIME(10,14,57)</f>
        <v>40719.427048611113</v>
      </c>
      <c r="C640">
        <v>6740.5449219000002</v>
      </c>
      <c r="D640">
        <v>5477.2851561999996</v>
      </c>
      <c r="E640">
        <v>644.79907227000001</v>
      </c>
      <c r="F640">
        <v>101.32499695</v>
      </c>
      <c r="G640">
        <v>80</v>
      </c>
      <c r="H640">
        <v>79.930427550999994</v>
      </c>
      <c r="I640">
        <v>50</v>
      </c>
      <c r="J640">
        <v>45.978111267000003</v>
      </c>
      <c r="K640">
        <v>2400</v>
      </c>
      <c r="L640">
        <v>0</v>
      </c>
      <c r="M640">
        <v>0</v>
      </c>
      <c r="N640">
        <v>782.06121826000003</v>
      </c>
    </row>
    <row r="641" spans="1:14" x14ac:dyDescent="0.25">
      <c r="A641">
        <v>421.94123300000001</v>
      </c>
      <c r="B641" s="1">
        <f>DATE(2011,6,26) + TIME(22,35,22)</f>
        <v>40720.94122685185</v>
      </c>
      <c r="C641">
        <v>6734.5170897999997</v>
      </c>
      <c r="D641">
        <v>5471.2070311999996</v>
      </c>
      <c r="E641">
        <v>644.82592772999999</v>
      </c>
      <c r="F641">
        <v>101.32499695</v>
      </c>
      <c r="G641">
        <v>80</v>
      </c>
      <c r="H641">
        <v>79.930557250999996</v>
      </c>
      <c r="I641">
        <v>50</v>
      </c>
      <c r="J641">
        <v>45.899002074999999</v>
      </c>
      <c r="K641">
        <v>2400</v>
      </c>
      <c r="L641">
        <v>0</v>
      </c>
      <c r="M641">
        <v>0</v>
      </c>
      <c r="N641">
        <v>781.84136963000003</v>
      </c>
    </row>
    <row r="642" spans="1:14" x14ac:dyDescent="0.25">
      <c r="A642">
        <v>423.47767099999999</v>
      </c>
      <c r="B642" s="1">
        <f>DATE(2011,6,28) + TIME(11,27,50)</f>
        <v>40722.477662037039</v>
      </c>
      <c r="C642">
        <v>6728.4819336</v>
      </c>
      <c r="D642">
        <v>5465.1240233999997</v>
      </c>
      <c r="E642">
        <v>644.85205078000001</v>
      </c>
      <c r="F642">
        <v>101.32499695</v>
      </c>
      <c r="G642">
        <v>80</v>
      </c>
      <c r="H642">
        <v>79.930686950999998</v>
      </c>
      <c r="I642">
        <v>50</v>
      </c>
      <c r="J642">
        <v>45.819293975999997</v>
      </c>
      <c r="K642">
        <v>2400</v>
      </c>
      <c r="L642">
        <v>0</v>
      </c>
      <c r="M642">
        <v>0</v>
      </c>
      <c r="N642">
        <v>781.61596680000002</v>
      </c>
    </row>
    <row r="643" spans="1:14" x14ac:dyDescent="0.25">
      <c r="A643">
        <v>425.02893299999999</v>
      </c>
      <c r="B643" s="1">
        <f>DATE(2011,6,30) + TIME(0,41,39)</f>
        <v>40724.028923611113</v>
      </c>
      <c r="C643">
        <v>6722.453125</v>
      </c>
      <c r="D643">
        <v>5459.0502930000002</v>
      </c>
      <c r="E643">
        <v>644.87707520000004</v>
      </c>
      <c r="F643">
        <v>101.32499695</v>
      </c>
      <c r="G643">
        <v>80</v>
      </c>
      <c r="H643">
        <v>79.930816649999997</v>
      </c>
      <c r="I643">
        <v>50</v>
      </c>
      <c r="J643">
        <v>45.739257811999998</v>
      </c>
      <c r="K643">
        <v>2400</v>
      </c>
      <c r="L643">
        <v>0</v>
      </c>
      <c r="M643">
        <v>0</v>
      </c>
      <c r="N643">
        <v>781.38568114999998</v>
      </c>
    </row>
    <row r="644" spans="1:14" x14ac:dyDescent="0.25">
      <c r="A644">
        <v>426</v>
      </c>
      <c r="B644" s="1">
        <f>DATE(2011,7,1) + TIME(0,0,0)</f>
        <v>40725</v>
      </c>
      <c r="C644">
        <v>6717.2124022999997</v>
      </c>
      <c r="D644">
        <v>5453.7661133000001</v>
      </c>
      <c r="E644">
        <v>644.77380371000004</v>
      </c>
      <c r="F644">
        <v>101.32499695</v>
      </c>
      <c r="G644">
        <v>80</v>
      </c>
      <c r="H644">
        <v>79.930793761999993</v>
      </c>
      <c r="I644">
        <v>50</v>
      </c>
      <c r="J644">
        <v>45.682197571000003</v>
      </c>
      <c r="K644">
        <v>2400</v>
      </c>
      <c r="L644">
        <v>0</v>
      </c>
      <c r="M644">
        <v>0</v>
      </c>
      <c r="N644">
        <v>781.15557861000002</v>
      </c>
    </row>
    <row r="645" spans="1:14" x14ac:dyDescent="0.25">
      <c r="A645">
        <v>427.57146599999999</v>
      </c>
      <c r="B645" s="1">
        <f>DATE(2011,7,2) + TIME(13,42,54)</f>
        <v>40726.571458333332</v>
      </c>
      <c r="C645">
        <v>6712.4580077999999</v>
      </c>
      <c r="D645">
        <v>5448.9882811999996</v>
      </c>
      <c r="E645">
        <v>644.95458984000004</v>
      </c>
      <c r="F645">
        <v>101.32499695</v>
      </c>
      <c r="G645">
        <v>80</v>
      </c>
      <c r="H645">
        <v>79.931053161999998</v>
      </c>
      <c r="I645">
        <v>50</v>
      </c>
      <c r="J645">
        <v>45.604267120000003</v>
      </c>
      <c r="K645">
        <v>2400</v>
      </c>
      <c r="L645">
        <v>0</v>
      </c>
      <c r="M645">
        <v>0</v>
      </c>
      <c r="N645">
        <v>781.01416015999996</v>
      </c>
    </row>
    <row r="646" spans="1:14" x14ac:dyDescent="0.25">
      <c r="A646">
        <v>429.17573399999998</v>
      </c>
      <c r="B646" s="1">
        <f>DATE(2011,7,4) + TIME(4,13,3)</f>
        <v>40728.175729166665</v>
      </c>
      <c r="C646">
        <v>6706.6826172000001</v>
      </c>
      <c r="D646">
        <v>5443.1752930000002</v>
      </c>
      <c r="E646">
        <v>644.96777343999997</v>
      </c>
      <c r="F646">
        <v>101.32499695</v>
      </c>
      <c r="G646">
        <v>80</v>
      </c>
      <c r="H646">
        <v>79.931175232000001</v>
      </c>
      <c r="I646">
        <v>50</v>
      </c>
      <c r="J646">
        <v>45.524726868000002</v>
      </c>
      <c r="K646">
        <v>2400</v>
      </c>
      <c r="L646">
        <v>0</v>
      </c>
      <c r="M646">
        <v>0</v>
      </c>
      <c r="N646">
        <v>780.76403808999999</v>
      </c>
    </row>
    <row r="647" spans="1:14" x14ac:dyDescent="0.25">
      <c r="A647">
        <v>430.787801</v>
      </c>
      <c r="B647" s="1">
        <f>DATE(2011,7,5) + TIME(18,54,25)</f>
        <v>40729.787789351853</v>
      </c>
      <c r="C647">
        <v>6700.7617188000004</v>
      </c>
      <c r="D647">
        <v>5437.2177733999997</v>
      </c>
      <c r="E647">
        <v>644.98382568</v>
      </c>
      <c r="F647">
        <v>101.32499695</v>
      </c>
      <c r="G647">
        <v>80</v>
      </c>
      <c r="H647">
        <v>79.931297302000004</v>
      </c>
      <c r="I647">
        <v>50</v>
      </c>
      <c r="J647">
        <v>45.444591522000003</v>
      </c>
      <c r="K647">
        <v>2400</v>
      </c>
      <c r="L647">
        <v>0</v>
      </c>
      <c r="M647">
        <v>0</v>
      </c>
      <c r="N647">
        <v>780.51293944999998</v>
      </c>
    </row>
    <row r="648" spans="1:14" x14ac:dyDescent="0.25">
      <c r="A648">
        <v>432.41254300000003</v>
      </c>
      <c r="B648" s="1">
        <f>DATE(2011,7,7) + TIME(9,54,3)</f>
        <v>40731.412534722222</v>
      </c>
      <c r="C648">
        <v>6694.8510741999999</v>
      </c>
      <c r="D648">
        <v>5431.2734375</v>
      </c>
      <c r="E648">
        <v>645.00720215000001</v>
      </c>
      <c r="F648">
        <v>101.32499695</v>
      </c>
      <c r="G648">
        <v>80</v>
      </c>
      <c r="H648">
        <v>79.931427002000007</v>
      </c>
      <c r="I648">
        <v>50</v>
      </c>
      <c r="J648">
        <v>45.363964080999999</v>
      </c>
      <c r="K648">
        <v>2400</v>
      </c>
      <c r="L648">
        <v>0</v>
      </c>
      <c r="M648">
        <v>0</v>
      </c>
      <c r="N648">
        <v>780.26190185999997</v>
      </c>
    </row>
    <row r="649" spans="1:14" x14ac:dyDescent="0.25">
      <c r="A649">
        <v>434.05472600000002</v>
      </c>
      <c r="B649" s="1">
        <f>DATE(2011,7,9) + TIME(1,18,48)</f>
        <v>40733.054722222223</v>
      </c>
      <c r="C649">
        <v>6688.9619141000003</v>
      </c>
      <c r="D649">
        <v>5425.3530272999997</v>
      </c>
      <c r="E649">
        <v>645.03424071999996</v>
      </c>
      <c r="F649">
        <v>101.32499695</v>
      </c>
      <c r="G649">
        <v>80</v>
      </c>
      <c r="H649">
        <v>79.931556701999995</v>
      </c>
      <c r="I649">
        <v>50</v>
      </c>
      <c r="J649">
        <v>45.282836914000001</v>
      </c>
      <c r="K649">
        <v>2400</v>
      </c>
      <c r="L649">
        <v>0</v>
      </c>
      <c r="M649">
        <v>0</v>
      </c>
      <c r="N649">
        <v>780.00732421999999</v>
      </c>
    </row>
    <row r="650" spans="1:14" x14ac:dyDescent="0.25">
      <c r="A650">
        <v>435.71919300000002</v>
      </c>
      <c r="B650" s="1">
        <f>DATE(2011,7,10) + TIME(17,15,38)</f>
        <v>40734.719189814816</v>
      </c>
      <c r="C650">
        <v>6683.0844727000003</v>
      </c>
      <c r="D650">
        <v>5419.4453125</v>
      </c>
      <c r="E650">
        <v>645.06359863</v>
      </c>
      <c r="F650">
        <v>101.32499695</v>
      </c>
      <c r="G650">
        <v>80</v>
      </c>
      <c r="H650">
        <v>79.931686400999993</v>
      </c>
      <c r="I650">
        <v>50</v>
      </c>
      <c r="J650">
        <v>45.201129913000003</v>
      </c>
      <c r="K650">
        <v>2400</v>
      </c>
      <c r="L650">
        <v>0</v>
      </c>
      <c r="M650">
        <v>0</v>
      </c>
      <c r="N650">
        <v>779.74743651999995</v>
      </c>
    </row>
    <row r="651" spans="1:14" x14ac:dyDescent="0.25">
      <c r="A651">
        <v>437.40940799999998</v>
      </c>
      <c r="B651" s="1">
        <f>DATE(2011,7,12) + TIME(9,49,32)</f>
        <v>40736.409398148149</v>
      </c>
      <c r="C651">
        <v>6677.2055664</v>
      </c>
      <c r="D651">
        <v>5413.5385741999999</v>
      </c>
      <c r="E651">
        <v>645.09436034999999</v>
      </c>
      <c r="F651">
        <v>101.32499695</v>
      </c>
      <c r="G651">
        <v>80</v>
      </c>
      <c r="H651">
        <v>79.931823730000005</v>
      </c>
      <c r="I651">
        <v>50</v>
      </c>
      <c r="J651">
        <v>45.118755341000004</v>
      </c>
      <c r="K651">
        <v>2400</v>
      </c>
      <c r="L651">
        <v>0</v>
      </c>
      <c r="M651">
        <v>0</v>
      </c>
      <c r="N651">
        <v>779.48101807</v>
      </c>
    </row>
    <row r="652" spans="1:14" x14ac:dyDescent="0.25">
      <c r="A652">
        <v>439.11276500000002</v>
      </c>
      <c r="B652" s="1">
        <f>DATE(2011,7,14) + TIME(2,42,22)</f>
        <v>40738.112754629627</v>
      </c>
      <c r="C652">
        <v>6671.3291016000003</v>
      </c>
      <c r="D652">
        <v>5407.6362305000002</v>
      </c>
      <c r="E652">
        <v>645.12390137</v>
      </c>
      <c r="F652">
        <v>101.32499695</v>
      </c>
      <c r="G652">
        <v>80</v>
      </c>
      <c r="H652">
        <v>79.931953429999993</v>
      </c>
      <c r="I652">
        <v>50</v>
      </c>
      <c r="J652">
        <v>45.036117554</v>
      </c>
      <c r="K652">
        <v>2400</v>
      </c>
      <c r="L652">
        <v>0</v>
      </c>
      <c r="M652">
        <v>0</v>
      </c>
      <c r="N652">
        <v>779.20770263999998</v>
      </c>
    </row>
    <row r="653" spans="1:14" x14ac:dyDescent="0.25">
      <c r="A653">
        <v>440.83437900000001</v>
      </c>
      <c r="B653" s="1">
        <f>DATE(2011,7,15) + TIME(20,1,30)</f>
        <v>40739.834374999999</v>
      </c>
      <c r="C653">
        <v>6665.4755858999997</v>
      </c>
      <c r="D653">
        <v>5401.7583008000001</v>
      </c>
      <c r="E653">
        <v>645.15612793000003</v>
      </c>
      <c r="F653">
        <v>101.32499695</v>
      </c>
      <c r="G653">
        <v>80</v>
      </c>
      <c r="H653">
        <v>79.932083129999995</v>
      </c>
      <c r="I653">
        <v>50</v>
      </c>
      <c r="J653">
        <v>44.953117370999998</v>
      </c>
      <c r="K653">
        <v>2400</v>
      </c>
      <c r="L653">
        <v>0</v>
      </c>
      <c r="M653">
        <v>0</v>
      </c>
      <c r="N653">
        <v>778.92938231999995</v>
      </c>
    </row>
    <row r="654" spans="1:14" x14ac:dyDescent="0.25">
      <c r="A654">
        <v>442.57943299999999</v>
      </c>
      <c r="B654" s="1">
        <f>DATE(2011,7,17) + TIME(13,54,23)</f>
        <v>40741.579432870371</v>
      </c>
      <c r="C654">
        <v>6659.6342772999997</v>
      </c>
      <c r="D654">
        <v>5395.8935547000001</v>
      </c>
      <c r="E654">
        <v>645.19055175999995</v>
      </c>
      <c r="F654">
        <v>101.32499695</v>
      </c>
      <c r="G654">
        <v>80</v>
      </c>
      <c r="H654">
        <v>79.932220459000007</v>
      </c>
      <c r="I654">
        <v>50</v>
      </c>
      <c r="J654">
        <v>44.869613647000001</v>
      </c>
      <c r="K654">
        <v>2400</v>
      </c>
      <c r="L654">
        <v>0</v>
      </c>
      <c r="M654">
        <v>0</v>
      </c>
      <c r="N654">
        <v>778.64453125</v>
      </c>
    </row>
    <row r="655" spans="1:14" x14ac:dyDescent="0.25">
      <c r="A655">
        <v>444.33937700000001</v>
      </c>
      <c r="B655" s="1">
        <f>DATE(2011,7,19) + TIME(8,8,42)</f>
        <v>40743.339375000003</v>
      </c>
      <c r="C655">
        <v>6653.8017577999999</v>
      </c>
      <c r="D655">
        <v>5390.0395508000001</v>
      </c>
      <c r="E655">
        <v>645.22460937999995</v>
      </c>
      <c r="F655">
        <v>101.32499695</v>
      </c>
      <c r="G655">
        <v>80</v>
      </c>
      <c r="H655">
        <v>79.932357788000004</v>
      </c>
      <c r="I655">
        <v>50</v>
      </c>
      <c r="J655">
        <v>44.78585434</v>
      </c>
      <c r="K655">
        <v>2400</v>
      </c>
      <c r="L655">
        <v>0</v>
      </c>
      <c r="M655">
        <v>0</v>
      </c>
      <c r="N655">
        <v>778.35247803000004</v>
      </c>
    </row>
    <row r="656" spans="1:14" x14ac:dyDescent="0.25">
      <c r="A656">
        <v>446.11105099999997</v>
      </c>
      <c r="B656" s="1">
        <f>DATE(2011,7,21) + TIME(2,39,54)</f>
        <v>40745.111041666663</v>
      </c>
      <c r="C656">
        <v>6647.9960938000004</v>
      </c>
      <c r="D656">
        <v>5384.2133789</v>
      </c>
      <c r="E656">
        <v>645.26019286999997</v>
      </c>
      <c r="F656">
        <v>101.32499695</v>
      </c>
      <c r="G656">
        <v>80</v>
      </c>
      <c r="H656">
        <v>79.932495117000002</v>
      </c>
      <c r="I656">
        <v>50</v>
      </c>
      <c r="J656">
        <v>44.701969147</v>
      </c>
      <c r="K656">
        <v>2400</v>
      </c>
      <c r="L656">
        <v>0</v>
      </c>
      <c r="M656">
        <v>0</v>
      </c>
      <c r="N656">
        <v>778.05444336000005</v>
      </c>
    </row>
    <row r="657" spans="1:14" x14ac:dyDescent="0.25">
      <c r="A657">
        <v>447.89903800000002</v>
      </c>
      <c r="B657" s="1">
        <f>DATE(2011,7,22) + TIME(21,34,36)</f>
        <v>40746.899027777778</v>
      </c>
      <c r="C657">
        <v>6642.2211914</v>
      </c>
      <c r="D657">
        <v>5378.4199219000002</v>
      </c>
      <c r="E657">
        <v>645.29864501999998</v>
      </c>
      <c r="F657">
        <v>101.32499695</v>
      </c>
      <c r="G657">
        <v>80</v>
      </c>
      <c r="H657">
        <v>79.932624817000004</v>
      </c>
      <c r="I657">
        <v>50</v>
      </c>
      <c r="J657">
        <v>44.617851256999998</v>
      </c>
      <c r="K657">
        <v>2400</v>
      </c>
      <c r="L657">
        <v>0</v>
      </c>
      <c r="M657">
        <v>0</v>
      </c>
      <c r="N657">
        <v>777.75048828000001</v>
      </c>
    </row>
    <row r="658" spans="1:14" x14ac:dyDescent="0.25">
      <c r="A658">
        <v>449.70387799999997</v>
      </c>
      <c r="B658" s="1">
        <f>DATE(2011,7,24) + TIME(16,53,35)</f>
        <v>40748.703877314816</v>
      </c>
      <c r="C658">
        <v>6636.4697266000003</v>
      </c>
      <c r="D658">
        <v>5372.6503905999998</v>
      </c>
      <c r="E658">
        <v>645.33892821999996</v>
      </c>
      <c r="F658">
        <v>101.32499695</v>
      </c>
      <c r="G658">
        <v>80</v>
      </c>
      <c r="H658">
        <v>79.932762146000002</v>
      </c>
      <c r="I658">
        <v>50</v>
      </c>
      <c r="J658">
        <v>44.533485413000001</v>
      </c>
      <c r="K658">
        <v>2400</v>
      </c>
      <c r="L658">
        <v>0</v>
      </c>
      <c r="M658">
        <v>0</v>
      </c>
      <c r="N658">
        <v>777.43957520000004</v>
      </c>
    </row>
    <row r="659" spans="1:14" x14ac:dyDescent="0.25">
      <c r="A659">
        <v>451.53016500000001</v>
      </c>
      <c r="B659" s="1">
        <f>DATE(2011,7,26) + TIME(12,43,26)</f>
        <v>40750.530162037037</v>
      </c>
      <c r="C659">
        <v>6630.7348633000001</v>
      </c>
      <c r="D659">
        <v>5366.8994141000003</v>
      </c>
      <c r="E659">
        <v>645.38201904000005</v>
      </c>
      <c r="F659">
        <v>101.32499695</v>
      </c>
      <c r="G659">
        <v>80</v>
      </c>
      <c r="H659">
        <v>79.932899474999999</v>
      </c>
      <c r="I659">
        <v>50</v>
      </c>
      <c r="J659">
        <v>44.448726653999998</v>
      </c>
      <c r="K659">
        <v>2400</v>
      </c>
      <c r="L659">
        <v>0</v>
      </c>
      <c r="M659">
        <v>0</v>
      </c>
      <c r="N659">
        <v>777.12115478999999</v>
      </c>
    </row>
    <row r="660" spans="1:14" x14ac:dyDescent="0.25">
      <c r="A660">
        <v>453.372457</v>
      </c>
      <c r="B660" s="1">
        <f>DATE(2011,7,28) + TIME(8,56,20)</f>
        <v>40752.372453703705</v>
      </c>
      <c r="C660">
        <v>6625.0136719000002</v>
      </c>
      <c r="D660">
        <v>5361.1625977000003</v>
      </c>
      <c r="E660">
        <v>645.42626953000001</v>
      </c>
      <c r="F660">
        <v>101.32499695</v>
      </c>
      <c r="G660">
        <v>80</v>
      </c>
      <c r="H660">
        <v>79.933036803999997</v>
      </c>
      <c r="I660">
        <v>50</v>
      </c>
      <c r="J660">
        <v>44.363697051999999</v>
      </c>
      <c r="K660">
        <v>2400</v>
      </c>
      <c r="L660">
        <v>0</v>
      </c>
      <c r="M660">
        <v>0</v>
      </c>
      <c r="N660">
        <v>776.79437256000006</v>
      </c>
    </row>
    <row r="661" spans="1:14" x14ac:dyDescent="0.25">
      <c r="A661">
        <v>455.23328500000002</v>
      </c>
      <c r="B661" s="1">
        <f>DATE(2011,7,30) + TIME(5,35,55)</f>
        <v>40754.233275462961</v>
      </c>
      <c r="C661">
        <v>6619.3125</v>
      </c>
      <c r="D661">
        <v>5355.4467772999997</v>
      </c>
      <c r="E661">
        <v>645.47369385000002</v>
      </c>
      <c r="F661">
        <v>101.32499695</v>
      </c>
      <c r="G661">
        <v>80</v>
      </c>
      <c r="H661">
        <v>79.933174132999994</v>
      </c>
      <c r="I661">
        <v>50</v>
      </c>
      <c r="J661">
        <v>44.278327941999997</v>
      </c>
      <c r="K661">
        <v>2400</v>
      </c>
      <c r="L661">
        <v>0</v>
      </c>
      <c r="M661">
        <v>0</v>
      </c>
      <c r="N661">
        <v>776.45989989999998</v>
      </c>
    </row>
    <row r="662" spans="1:14" x14ac:dyDescent="0.25">
      <c r="A662">
        <v>457</v>
      </c>
      <c r="B662" s="1">
        <f>DATE(2011,8,1) + TIME(0,0,0)</f>
        <v>40756</v>
      </c>
      <c r="C662">
        <v>6613.7211914</v>
      </c>
      <c r="D662">
        <v>5349.8417969000002</v>
      </c>
      <c r="E662">
        <v>645.50537109000004</v>
      </c>
      <c r="F662">
        <v>101.32499695</v>
      </c>
      <c r="G662">
        <v>80</v>
      </c>
      <c r="H662">
        <v>79.933296204000001</v>
      </c>
      <c r="I662">
        <v>50</v>
      </c>
      <c r="J662">
        <v>44.195919037000003</v>
      </c>
      <c r="K662">
        <v>2400</v>
      </c>
      <c r="L662">
        <v>0</v>
      </c>
      <c r="M662">
        <v>0</v>
      </c>
      <c r="N662">
        <v>776.11956786999997</v>
      </c>
    </row>
    <row r="663" spans="1:14" x14ac:dyDescent="0.25">
      <c r="A663">
        <v>458.88101699999999</v>
      </c>
      <c r="B663" s="1">
        <f>DATE(2011,8,2) + TIME(21,8,39)</f>
        <v>40757.881006944444</v>
      </c>
      <c r="C663">
        <v>6608.2568358999997</v>
      </c>
      <c r="D663">
        <v>5344.3657227000003</v>
      </c>
      <c r="E663">
        <v>645.57989501999998</v>
      </c>
      <c r="F663">
        <v>101.32499695</v>
      </c>
      <c r="G663">
        <v>80</v>
      </c>
      <c r="H663">
        <v>79.933441161999994</v>
      </c>
      <c r="I663">
        <v>50</v>
      </c>
      <c r="J663">
        <v>44.110965729</v>
      </c>
      <c r="K663">
        <v>2400</v>
      </c>
      <c r="L663">
        <v>0</v>
      </c>
      <c r="M663">
        <v>0</v>
      </c>
      <c r="N663">
        <v>775.78771973000005</v>
      </c>
    </row>
    <row r="664" spans="1:14" x14ac:dyDescent="0.25">
      <c r="A664">
        <v>460.79437000000001</v>
      </c>
      <c r="B664" s="1">
        <f>DATE(2011,8,4) + TIME(19,3,53)</f>
        <v>40759.794363425928</v>
      </c>
      <c r="C664">
        <v>6602.6655272999997</v>
      </c>
      <c r="D664">
        <v>5338.7631836</v>
      </c>
      <c r="E664">
        <v>645.63488770000004</v>
      </c>
      <c r="F664">
        <v>101.32499695</v>
      </c>
      <c r="G664">
        <v>80</v>
      </c>
      <c r="H664">
        <v>79.933586121000005</v>
      </c>
      <c r="I664">
        <v>50</v>
      </c>
      <c r="J664">
        <v>44.025085449000002</v>
      </c>
      <c r="K664">
        <v>2400</v>
      </c>
      <c r="L664">
        <v>0</v>
      </c>
      <c r="M664">
        <v>0</v>
      </c>
      <c r="N664">
        <v>775.42773437999995</v>
      </c>
    </row>
    <row r="665" spans="1:14" x14ac:dyDescent="0.25">
      <c r="A665">
        <v>462.718121</v>
      </c>
      <c r="B665" s="1">
        <f>DATE(2011,8,6) + TIME(17,14,5)</f>
        <v>40761.718113425923</v>
      </c>
      <c r="C665">
        <v>6597.0537108999997</v>
      </c>
      <c r="D665">
        <v>5333.1401366999999</v>
      </c>
      <c r="E665">
        <v>645.69122314000003</v>
      </c>
      <c r="F665">
        <v>101.32499695</v>
      </c>
      <c r="G665">
        <v>80</v>
      </c>
      <c r="H665">
        <v>79.933715820000003</v>
      </c>
      <c r="I665">
        <v>50</v>
      </c>
      <c r="J665">
        <v>43.938850403000004</v>
      </c>
      <c r="K665">
        <v>2400</v>
      </c>
      <c r="L665">
        <v>0</v>
      </c>
      <c r="M665">
        <v>0</v>
      </c>
      <c r="N665">
        <v>775.05737305000002</v>
      </c>
    </row>
    <row r="666" spans="1:14" x14ac:dyDescent="0.25">
      <c r="A666">
        <v>464.65699899999998</v>
      </c>
      <c r="B666" s="1">
        <f>DATE(2011,8,8) + TIME(15,46,4)</f>
        <v>40763.656990740739</v>
      </c>
      <c r="C666">
        <v>6591.4667969000002</v>
      </c>
      <c r="D666">
        <v>5327.5424805000002</v>
      </c>
      <c r="E666">
        <v>645.75408935999997</v>
      </c>
      <c r="F666">
        <v>101.32499695</v>
      </c>
      <c r="G666">
        <v>80</v>
      </c>
      <c r="H666">
        <v>79.933853149000001</v>
      </c>
      <c r="I666">
        <v>50</v>
      </c>
      <c r="J666">
        <v>43.852233886999997</v>
      </c>
      <c r="K666">
        <v>2400</v>
      </c>
      <c r="L666">
        <v>0</v>
      </c>
      <c r="M666">
        <v>0</v>
      </c>
      <c r="N666">
        <v>774.67926024999997</v>
      </c>
    </row>
    <row r="667" spans="1:14" x14ac:dyDescent="0.25">
      <c r="A667">
        <v>466.61571400000003</v>
      </c>
      <c r="B667" s="1">
        <f>DATE(2011,8,10) + TIME(14,46,37)</f>
        <v>40765.615706018521</v>
      </c>
      <c r="C667">
        <v>6585.8999022999997</v>
      </c>
      <c r="D667">
        <v>5321.9667969000002</v>
      </c>
      <c r="E667">
        <v>645.82244873000002</v>
      </c>
      <c r="F667">
        <v>101.32499695</v>
      </c>
      <c r="G667">
        <v>80</v>
      </c>
      <c r="H667">
        <v>79.933998107999997</v>
      </c>
      <c r="I667">
        <v>50</v>
      </c>
      <c r="J667">
        <v>43.765125275000003</v>
      </c>
      <c r="K667">
        <v>2400</v>
      </c>
      <c r="L667">
        <v>0</v>
      </c>
      <c r="M667">
        <v>0</v>
      </c>
      <c r="N667">
        <v>774.29125977000001</v>
      </c>
    </row>
    <row r="668" spans="1:14" x14ac:dyDescent="0.25">
      <c r="A668">
        <v>468.589136</v>
      </c>
      <c r="B668" s="1">
        <f>DATE(2011,8,12) + TIME(14,8,21)</f>
        <v>40767.589131944442</v>
      </c>
      <c r="C668">
        <v>6580.3515625</v>
      </c>
      <c r="D668">
        <v>5316.4091797000001</v>
      </c>
      <c r="E668">
        <v>645.89453125</v>
      </c>
      <c r="F668">
        <v>101.32499695</v>
      </c>
      <c r="G668">
        <v>80</v>
      </c>
      <c r="H668">
        <v>79.934135436999995</v>
      </c>
      <c r="I668">
        <v>50</v>
      </c>
      <c r="J668">
        <v>43.677646637000002</v>
      </c>
      <c r="K668">
        <v>2400</v>
      </c>
      <c r="L668">
        <v>0</v>
      </c>
      <c r="M668">
        <v>0</v>
      </c>
      <c r="N668">
        <v>773.89215088000003</v>
      </c>
    </row>
    <row r="669" spans="1:14" x14ac:dyDescent="0.25">
      <c r="A669">
        <v>470.57576</v>
      </c>
      <c r="B669" s="1">
        <f>DATE(2011,8,14) + TIME(13,49,5)</f>
        <v>40769.575752314813</v>
      </c>
      <c r="C669">
        <v>6574.8291016000003</v>
      </c>
      <c r="D669">
        <v>5310.8789061999996</v>
      </c>
      <c r="E669">
        <v>645.97161864999998</v>
      </c>
      <c r="F669">
        <v>101.32499695</v>
      </c>
      <c r="G669">
        <v>80</v>
      </c>
      <c r="H669">
        <v>79.934272766000007</v>
      </c>
      <c r="I669">
        <v>50</v>
      </c>
      <c r="J669">
        <v>43.589847564999999</v>
      </c>
      <c r="K669">
        <v>2400</v>
      </c>
      <c r="L669">
        <v>0</v>
      </c>
      <c r="M669">
        <v>0</v>
      </c>
      <c r="N669">
        <v>773.48260498000002</v>
      </c>
    </row>
    <row r="670" spans="1:14" x14ac:dyDescent="0.25">
      <c r="A670">
        <v>472.58034400000003</v>
      </c>
      <c r="B670" s="1">
        <f>DATE(2011,8,16) + TIME(13,55,41)</f>
        <v>40771.580335648148</v>
      </c>
      <c r="C670">
        <v>6569.3330077999999</v>
      </c>
      <c r="D670">
        <v>5305.375</v>
      </c>
      <c r="E670">
        <v>646.05487060999997</v>
      </c>
      <c r="F670">
        <v>101.32499695</v>
      </c>
      <c r="G670">
        <v>80</v>
      </c>
      <c r="H670">
        <v>79.934410095000004</v>
      </c>
      <c r="I670">
        <v>50</v>
      </c>
      <c r="J670">
        <v>43.501605988000001</v>
      </c>
      <c r="K670">
        <v>2400</v>
      </c>
      <c r="L670">
        <v>0</v>
      </c>
      <c r="M670">
        <v>0</v>
      </c>
      <c r="N670">
        <v>773.06225586000005</v>
      </c>
    </row>
    <row r="671" spans="1:14" x14ac:dyDescent="0.25">
      <c r="A671">
        <v>474.607754</v>
      </c>
      <c r="B671" s="1">
        <f>DATE(2011,8,18) + TIME(14,35,9)</f>
        <v>40773.607743055552</v>
      </c>
      <c r="C671">
        <v>6563.8535155999998</v>
      </c>
      <c r="D671">
        <v>5299.8886719000002</v>
      </c>
      <c r="E671">
        <v>646.14447021000001</v>
      </c>
      <c r="F671">
        <v>101.32499695</v>
      </c>
      <c r="G671">
        <v>80</v>
      </c>
      <c r="H671">
        <v>79.934555054</v>
      </c>
      <c r="I671">
        <v>50</v>
      </c>
      <c r="J671">
        <v>43.412754059000001</v>
      </c>
      <c r="K671">
        <v>2400</v>
      </c>
      <c r="L671">
        <v>0</v>
      </c>
      <c r="M671">
        <v>0</v>
      </c>
      <c r="N671">
        <v>772.62963866999996</v>
      </c>
    </row>
    <row r="672" spans="1:14" x14ac:dyDescent="0.25">
      <c r="A672">
        <v>476.66250600000001</v>
      </c>
      <c r="B672" s="1">
        <f>DATE(2011,8,20) + TIME(15,54,0)</f>
        <v>40775.662499999999</v>
      </c>
      <c r="C672">
        <v>6558.3789061999996</v>
      </c>
      <c r="D672">
        <v>5294.4072266000003</v>
      </c>
      <c r="E672">
        <v>646.24072265999996</v>
      </c>
      <c r="F672">
        <v>101.32499695</v>
      </c>
      <c r="G672">
        <v>80</v>
      </c>
      <c r="H672">
        <v>79.934692382999998</v>
      </c>
      <c r="I672">
        <v>50</v>
      </c>
      <c r="J672">
        <v>43.323112488</v>
      </c>
      <c r="K672">
        <v>2400</v>
      </c>
      <c r="L672">
        <v>0</v>
      </c>
      <c r="M672">
        <v>0</v>
      </c>
      <c r="N672">
        <v>772.18328856999995</v>
      </c>
    </row>
    <row r="673" spans="1:14" x14ac:dyDescent="0.25">
      <c r="A673">
        <v>478.72907300000003</v>
      </c>
      <c r="B673" s="1">
        <f>DATE(2011,8,22) + TIME(17,29,51)</f>
        <v>40777.729062500002</v>
      </c>
      <c r="C673">
        <v>6552.9121094000002</v>
      </c>
      <c r="D673">
        <v>5288.9340819999998</v>
      </c>
      <c r="E673">
        <v>646.34088135000002</v>
      </c>
      <c r="F673">
        <v>101.32499695</v>
      </c>
      <c r="G673">
        <v>80</v>
      </c>
      <c r="H673">
        <v>79.934837341000005</v>
      </c>
      <c r="I673">
        <v>50</v>
      </c>
      <c r="J673">
        <v>43.233013153000002</v>
      </c>
      <c r="K673">
        <v>2400</v>
      </c>
      <c r="L673">
        <v>0</v>
      </c>
      <c r="M673">
        <v>0</v>
      </c>
      <c r="N673">
        <v>771.72241211000005</v>
      </c>
    </row>
    <row r="674" spans="1:14" x14ac:dyDescent="0.25">
      <c r="A674">
        <v>480.81110200000001</v>
      </c>
      <c r="B674" s="1">
        <f>DATE(2011,8,24) + TIME(19,27,59)</f>
        <v>40779.811099537037</v>
      </c>
      <c r="C674">
        <v>6547.4726561999996</v>
      </c>
      <c r="D674">
        <v>5283.4892577999999</v>
      </c>
      <c r="E674">
        <v>646.44940185999997</v>
      </c>
      <c r="F674">
        <v>101.32499695</v>
      </c>
      <c r="G674">
        <v>80</v>
      </c>
      <c r="H674">
        <v>79.934974670000003</v>
      </c>
      <c r="I674">
        <v>50</v>
      </c>
      <c r="J674">
        <v>43.142398833999998</v>
      </c>
      <c r="K674">
        <v>2400</v>
      </c>
      <c r="L674">
        <v>0</v>
      </c>
      <c r="M674">
        <v>0</v>
      </c>
      <c r="N674">
        <v>771.24945068</v>
      </c>
    </row>
    <row r="675" spans="1:14" x14ac:dyDescent="0.25">
      <c r="A675">
        <v>482.91022199999998</v>
      </c>
      <c r="B675" s="1">
        <f>DATE(2011,8,26) + TIME(21,50,43)</f>
        <v>40781.910219907404</v>
      </c>
      <c r="C675">
        <v>6542.0581055000002</v>
      </c>
      <c r="D675">
        <v>5278.0698241999999</v>
      </c>
      <c r="E675">
        <v>646.56567383000004</v>
      </c>
      <c r="F675">
        <v>101.32499695</v>
      </c>
      <c r="G675">
        <v>80</v>
      </c>
      <c r="H675">
        <v>79.935119628999999</v>
      </c>
      <c r="I675">
        <v>50</v>
      </c>
      <c r="J675">
        <v>43.051216125000003</v>
      </c>
      <c r="K675">
        <v>2400</v>
      </c>
      <c r="L675">
        <v>0</v>
      </c>
      <c r="M675">
        <v>0</v>
      </c>
      <c r="N675">
        <v>770.76306151999995</v>
      </c>
    </row>
    <row r="676" spans="1:14" x14ac:dyDescent="0.25">
      <c r="A676">
        <v>485.025353</v>
      </c>
      <c r="B676" s="1">
        <f>DATE(2011,8,29) + TIME(0,36,30)</f>
        <v>40784.025347222225</v>
      </c>
      <c r="C676">
        <v>6536.6669922000001</v>
      </c>
      <c r="D676">
        <v>5272.6733397999997</v>
      </c>
      <c r="E676">
        <v>646.68963623000002</v>
      </c>
      <c r="F676">
        <v>101.32499695</v>
      </c>
      <c r="G676">
        <v>80</v>
      </c>
      <c r="H676">
        <v>79.935256957999997</v>
      </c>
      <c r="I676">
        <v>50</v>
      </c>
      <c r="J676">
        <v>42.959465027</v>
      </c>
      <c r="K676">
        <v>2400</v>
      </c>
      <c r="L676">
        <v>0</v>
      </c>
      <c r="M676">
        <v>0</v>
      </c>
      <c r="N676">
        <v>770.26239013999998</v>
      </c>
    </row>
    <row r="677" spans="1:14" x14ac:dyDescent="0.25">
      <c r="A677">
        <v>487.15017799999998</v>
      </c>
      <c r="B677" s="1">
        <f>DATE(2011,8,31) + TIME(3,36,15)</f>
        <v>40786.150173611109</v>
      </c>
      <c r="C677">
        <v>6531.3037108999997</v>
      </c>
      <c r="D677">
        <v>5267.3061522999997</v>
      </c>
      <c r="E677">
        <v>646.82086182</v>
      </c>
      <c r="F677">
        <v>101.32499695</v>
      </c>
      <c r="G677">
        <v>80</v>
      </c>
      <c r="H677">
        <v>79.935401916999993</v>
      </c>
      <c r="I677">
        <v>50</v>
      </c>
      <c r="J677">
        <v>42.867282867</v>
      </c>
      <c r="K677">
        <v>2400</v>
      </c>
      <c r="L677">
        <v>0</v>
      </c>
      <c r="M677">
        <v>0</v>
      </c>
      <c r="N677">
        <v>769.74761963000003</v>
      </c>
    </row>
    <row r="678" spans="1:14" x14ac:dyDescent="0.25">
      <c r="A678">
        <v>488</v>
      </c>
      <c r="B678" s="1">
        <f>DATE(2011,9,1) + TIME(0,0,0)</f>
        <v>40787</v>
      </c>
      <c r="C678">
        <v>6527.3925780999998</v>
      </c>
      <c r="D678">
        <v>5263.3886719000002</v>
      </c>
      <c r="E678">
        <v>646.64978026999995</v>
      </c>
      <c r="F678">
        <v>101.32499695</v>
      </c>
      <c r="G678">
        <v>80</v>
      </c>
      <c r="H678">
        <v>79.935325622999997</v>
      </c>
      <c r="I678">
        <v>50</v>
      </c>
      <c r="J678">
        <v>42.818946838000002</v>
      </c>
      <c r="K678">
        <v>2400</v>
      </c>
      <c r="L678">
        <v>0</v>
      </c>
      <c r="M678">
        <v>0</v>
      </c>
      <c r="N678">
        <v>769.24414062000005</v>
      </c>
    </row>
    <row r="679" spans="1:14" x14ac:dyDescent="0.25">
      <c r="A679">
        <v>490.13934399999999</v>
      </c>
      <c r="B679" s="1">
        <f>DATE(2011,9,3) + TIME(3,20,39)</f>
        <v>40789.139340277776</v>
      </c>
      <c r="C679">
        <v>6523.5053711</v>
      </c>
      <c r="D679">
        <v>5259.5024414</v>
      </c>
      <c r="E679">
        <v>647.08581543000003</v>
      </c>
      <c r="F679">
        <v>101.32499695</v>
      </c>
      <c r="G679">
        <v>80</v>
      </c>
      <c r="H679">
        <v>79.935615540000001</v>
      </c>
      <c r="I679">
        <v>50</v>
      </c>
      <c r="J679">
        <v>42.730640411000003</v>
      </c>
      <c r="K679">
        <v>2400</v>
      </c>
      <c r="L679">
        <v>0</v>
      </c>
      <c r="M679">
        <v>0</v>
      </c>
      <c r="N679">
        <v>769.01788329999999</v>
      </c>
    </row>
    <row r="680" spans="1:14" x14ac:dyDescent="0.25">
      <c r="A680">
        <v>492.30670700000002</v>
      </c>
      <c r="B680" s="1">
        <f>DATE(2011,9,5) + TIME(7,21,39)</f>
        <v>40791.306701388887</v>
      </c>
      <c r="C680">
        <v>6518.4677733999997</v>
      </c>
      <c r="D680">
        <v>5254.4609375</v>
      </c>
      <c r="E680">
        <v>647.20428466999999</v>
      </c>
      <c r="F680">
        <v>101.32499695</v>
      </c>
      <c r="G680">
        <v>80</v>
      </c>
      <c r="H680">
        <v>79.935752868999998</v>
      </c>
      <c r="I680">
        <v>50</v>
      </c>
      <c r="J680">
        <v>42.639644623000002</v>
      </c>
      <c r="K680">
        <v>2400</v>
      </c>
      <c r="L680">
        <v>0</v>
      </c>
      <c r="M680">
        <v>0</v>
      </c>
      <c r="N680">
        <v>768.45159911999997</v>
      </c>
    </row>
    <row r="681" spans="1:14" x14ac:dyDescent="0.25">
      <c r="A681">
        <v>494.49829499999998</v>
      </c>
      <c r="B681" s="1">
        <f>DATE(2011,9,7) + TIME(11,57,32)</f>
        <v>40793.498287037037</v>
      </c>
      <c r="C681">
        <v>6513.2490233999997</v>
      </c>
      <c r="D681">
        <v>5249.2392577999999</v>
      </c>
      <c r="E681">
        <v>647.35424805000002</v>
      </c>
      <c r="F681">
        <v>101.32499695</v>
      </c>
      <c r="G681">
        <v>80</v>
      </c>
      <c r="H681">
        <v>79.935890197999996</v>
      </c>
      <c r="I681">
        <v>50</v>
      </c>
      <c r="J681">
        <v>42.546619415000002</v>
      </c>
      <c r="K681">
        <v>2400</v>
      </c>
      <c r="L681">
        <v>0</v>
      </c>
      <c r="M681">
        <v>0</v>
      </c>
      <c r="N681">
        <v>767.88287353999999</v>
      </c>
    </row>
    <row r="682" spans="1:14" x14ac:dyDescent="0.25">
      <c r="A682">
        <v>496.69941799999998</v>
      </c>
      <c r="B682" s="1">
        <f>DATE(2011,9,9) + TIME(16,47,9)</f>
        <v>40795.69940972222</v>
      </c>
      <c r="C682">
        <v>6508.0073241999999</v>
      </c>
      <c r="D682">
        <v>5243.9941405999998</v>
      </c>
      <c r="E682">
        <v>647.52099609000004</v>
      </c>
      <c r="F682">
        <v>101.32499695</v>
      </c>
      <c r="G682">
        <v>80</v>
      </c>
      <c r="H682">
        <v>79.936027526999993</v>
      </c>
      <c r="I682">
        <v>50</v>
      </c>
      <c r="J682">
        <v>42.452293396000002</v>
      </c>
      <c r="K682">
        <v>2400</v>
      </c>
      <c r="L682">
        <v>0</v>
      </c>
      <c r="M682">
        <v>0</v>
      </c>
      <c r="N682">
        <v>767.30017090000001</v>
      </c>
    </row>
    <row r="683" spans="1:14" x14ac:dyDescent="0.25">
      <c r="A683">
        <v>498.91499599999997</v>
      </c>
      <c r="B683" s="1">
        <f>DATE(2011,9,11) + TIME(21,57,35)</f>
        <v>40797.914988425924</v>
      </c>
      <c r="C683">
        <v>6502.7846680000002</v>
      </c>
      <c r="D683">
        <v>5238.7690430000002</v>
      </c>
      <c r="E683">
        <v>647.70324706999997</v>
      </c>
      <c r="F683">
        <v>101.32499695</v>
      </c>
      <c r="G683">
        <v>80</v>
      </c>
      <c r="H683">
        <v>79.936164856000005</v>
      </c>
      <c r="I683">
        <v>50</v>
      </c>
      <c r="J683">
        <v>42.356834411999998</v>
      </c>
      <c r="K683">
        <v>2400</v>
      </c>
      <c r="L683">
        <v>0</v>
      </c>
      <c r="M683">
        <v>0</v>
      </c>
      <c r="N683">
        <v>766.70269774999997</v>
      </c>
    </row>
    <row r="684" spans="1:14" x14ac:dyDescent="0.25">
      <c r="A684">
        <v>501.14995299999998</v>
      </c>
      <c r="B684" s="1">
        <f>DATE(2011,9,14) + TIME(3,35,55)</f>
        <v>40800.149942129632</v>
      </c>
      <c r="C684">
        <v>6497.5820311999996</v>
      </c>
      <c r="D684">
        <v>5233.5639647999997</v>
      </c>
      <c r="E684">
        <v>647.89898682</v>
      </c>
      <c r="F684">
        <v>101.32499695</v>
      </c>
      <c r="G684">
        <v>80</v>
      </c>
      <c r="H684">
        <v>79.936309813999998</v>
      </c>
      <c r="I684">
        <v>50</v>
      </c>
      <c r="J684">
        <v>42.260246277</v>
      </c>
      <c r="K684">
        <v>2400</v>
      </c>
      <c r="L684">
        <v>0</v>
      </c>
      <c r="M684">
        <v>0</v>
      </c>
      <c r="N684">
        <v>766.08782958999996</v>
      </c>
    </row>
    <row r="685" spans="1:14" x14ac:dyDescent="0.25">
      <c r="A685">
        <v>503.409154</v>
      </c>
      <c r="B685" s="1">
        <f>DATE(2011,9,16) + TIME(9,49,10)</f>
        <v>40802.409143518518</v>
      </c>
      <c r="C685">
        <v>6492.3925780999998</v>
      </c>
      <c r="D685">
        <v>5228.3715819999998</v>
      </c>
      <c r="E685">
        <v>648.10797118999994</v>
      </c>
      <c r="F685">
        <v>101.32499695</v>
      </c>
      <c r="G685">
        <v>80</v>
      </c>
      <c r="H685">
        <v>79.936454772999994</v>
      </c>
      <c r="I685">
        <v>50</v>
      </c>
      <c r="J685">
        <v>42.162437439000001</v>
      </c>
      <c r="K685">
        <v>2400</v>
      </c>
      <c r="L685">
        <v>0</v>
      </c>
      <c r="M685">
        <v>0</v>
      </c>
      <c r="N685">
        <v>765.45404053000004</v>
      </c>
    </row>
    <row r="686" spans="1:14" x14ac:dyDescent="0.25">
      <c r="A686">
        <v>505.68748799999997</v>
      </c>
      <c r="B686" s="1">
        <f>DATE(2011,9,18) + TIME(16,29,58)</f>
        <v>40804.687476851854</v>
      </c>
      <c r="C686">
        <v>6487.2128905999998</v>
      </c>
      <c r="D686">
        <v>5223.1899414</v>
      </c>
      <c r="E686">
        <v>648.32897949000005</v>
      </c>
      <c r="F686">
        <v>101.32499695</v>
      </c>
      <c r="G686">
        <v>80</v>
      </c>
      <c r="H686">
        <v>79.936592102000006</v>
      </c>
      <c r="I686">
        <v>50</v>
      </c>
      <c r="J686">
        <v>42.063503265000001</v>
      </c>
      <c r="K686">
        <v>2400</v>
      </c>
      <c r="L686">
        <v>0</v>
      </c>
      <c r="M686">
        <v>0</v>
      </c>
      <c r="N686">
        <v>764.80010986000002</v>
      </c>
    </row>
    <row r="687" spans="1:14" x14ac:dyDescent="0.25">
      <c r="A687">
        <v>507.97726999999998</v>
      </c>
      <c r="B687" s="1">
        <f>DATE(2011,9,20) + TIME(23,27,16)</f>
        <v>40806.977268518516</v>
      </c>
      <c r="C687">
        <v>6482.0541991999999</v>
      </c>
      <c r="D687">
        <v>5218.0292969000002</v>
      </c>
      <c r="E687">
        <v>648.56225586000005</v>
      </c>
      <c r="F687">
        <v>101.32499695</v>
      </c>
      <c r="G687">
        <v>80</v>
      </c>
      <c r="H687">
        <v>79.936737061000002</v>
      </c>
      <c r="I687">
        <v>50</v>
      </c>
      <c r="J687">
        <v>41.963642120000003</v>
      </c>
      <c r="K687">
        <v>2400</v>
      </c>
      <c r="L687">
        <v>0</v>
      </c>
      <c r="M687">
        <v>0</v>
      </c>
      <c r="N687">
        <v>764.12750243999994</v>
      </c>
    </row>
    <row r="688" spans="1:14" x14ac:dyDescent="0.25">
      <c r="A688">
        <v>510.28356300000002</v>
      </c>
      <c r="B688" s="1">
        <f>DATE(2011,9,23) + TIME(6,48,19)</f>
        <v>40809.283553240741</v>
      </c>
      <c r="C688">
        <v>6476.9238280999998</v>
      </c>
      <c r="D688">
        <v>5212.8974608999997</v>
      </c>
      <c r="E688">
        <v>648.81011963000003</v>
      </c>
      <c r="F688">
        <v>101.32499695</v>
      </c>
      <c r="G688">
        <v>80</v>
      </c>
      <c r="H688">
        <v>79.936882018999995</v>
      </c>
      <c r="I688">
        <v>50</v>
      </c>
      <c r="J688">
        <v>41.862770081000001</v>
      </c>
      <c r="K688">
        <v>2400</v>
      </c>
      <c r="L688">
        <v>0</v>
      </c>
      <c r="M688">
        <v>0</v>
      </c>
      <c r="N688">
        <v>763.4375</v>
      </c>
    </row>
    <row r="689" spans="1:14" x14ac:dyDescent="0.25">
      <c r="A689">
        <v>512.61155900000006</v>
      </c>
      <c r="B689" s="1">
        <f>DATE(2011,9,25) + TIME(14,40,38)</f>
        <v>40811.611550925925</v>
      </c>
      <c r="C689">
        <v>6471.8149414</v>
      </c>
      <c r="D689">
        <v>5207.7871094000002</v>
      </c>
      <c r="E689">
        <v>649.07287598000005</v>
      </c>
      <c r="F689">
        <v>101.32499695</v>
      </c>
      <c r="G689">
        <v>80</v>
      </c>
      <c r="H689">
        <v>79.937026978000006</v>
      </c>
      <c r="I689">
        <v>50</v>
      </c>
      <c r="J689">
        <v>41.760719299000002</v>
      </c>
      <c r="K689">
        <v>2400</v>
      </c>
      <c r="L689">
        <v>0</v>
      </c>
      <c r="M689">
        <v>0</v>
      </c>
      <c r="N689">
        <v>762.72845458999996</v>
      </c>
    </row>
    <row r="690" spans="1:14" x14ac:dyDescent="0.25">
      <c r="A690">
        <v>514.95431099999996</v>
      </c>
      <c r="B690" s="1">
        <f>DATE(2011,9,27) + TIME(22,54,12)</f>
        <v>40813.954305555555</v>
      </c>
      <c r="C690">
        <v>6466.7241211</v>
      </c>
      <c r="D690">
        <v>5202.6948241999999</v>
      </c>
      <c r="E690">
        <v>649.34887694999998</v>
      </c>
      <c r="F690">
        <v>101.32499695</v>
      </c>
      <c r="G690">
        <v>80</v>
      </c>
      <c r="H690">
        <v>79.937164307000003</v>
      </c>
      <c r="I690">
        <v>50</v>
      </c>
      <c r="J690">
        <v>41.657596587999997</v>
      </c>
      <c r="K690">
        <v>2400</v>
      </c>
      <c r="L690">
        <v>0</v>
      </c>
      <c r="M690">
        <v>0</v>
      </c>
      <c r="N690">
        <v>761.99914550999995</v>
      </c>
    </row>
    <row r="691" spans="1:14" x14ac:dyDescent="0.25">
      <c r="A691">
        <v>517.30722400000002</v>
      </c>
      <c r="B691" s="1">
        <f>DATE(2011,9,30) + TIME(7,22,24)</f>
        <v>40816.307222222225</v>
      </c>
      <c r="C691">
        <v>6461.6616211</v>
      </c>
      <c r="D691">
        <v>5197.6313477000003</v>
      </c>
      <c r="E691">
        <v>649.63922118999994</v>
      </c>
      <c r="F691">
        <v>101.32499695</v>
      </c>
      <c r="G691">
        <v>80</v>
      </c>
      <c r="H691">
        <v>79.937309264999996</v>
      </c>
      <c r="I691">
        <v>50</v>
      </c>
      <c r="J691">
        <v>41.553520202999998</v>
      </c>
      <c r="K691">
        <v>2400</v>
      </c>
      <c r="L691">
        <v>0</v>
      </c>
      <c r="M691">
        <v>0</v>
      </c>
      <c r="N691">
        <v>761.25146484000004</v>
      </c>
    </row>
    <row r="692" spans="1:14" x14ac:dyDescent="0.25">
      <c r="A692">
        <v>518</v>
      </c>
      <c r="B692" s="1">
        <f>DATE(2011,10,1) + TIME(0,0,0)</f>
        <v>40817</v>
      </c>
      <c r="C692">
        <v>6458.4467772999997</v>
      </c>
      <c r="D692">
        <v>5194.4125977000003</v>
      </c>
      <c r="E692">
        <v>649.43402100000003</v>
      </c>
      <c r="F692">
        <v>101.32499695</v>
      </c>
      <c r="G692">
        <v>80</v>
      </c>
      <c r="H692">
        <v>79.937210082999997</v>
      </c>
      <c r="I692">
        <v>50</v>
      </c>
      <c r="J692">
        <v>41.510021209999998</v>
      </c>
      <c r="K692">
        <v>2400</v>
      </c>
      <c r="L692">
        <v>0</v>
      </c>
      <c r="M692">
        <v>0</v>
      </c>
      <c r="N692">
        <v>760.53668213000003</v>
      </c>
    </row>
    <row r="693" spans="1:14" x14ac:dyDescent="0.25">
      <c r="A693">
        <v>520.36766999999998</v>
      </c>
      <c r="B693" s="1">
        <f>DATE(2011,10,3) + TIME(8,49,26)</f>
        <v>40819.367662037039</v>
      </c>
      <c r="C693">
        <v>6454.8100586</v>
      </c>
      <c r="D693">
        <v>5190.7783202999999</v>
      </c>
      <c r="E693">
        <v>650.12017821999996</v>
      </c>
      <c r="F693">
        <v>101.32499695</v>
      </c>
      <c r="G693">
        <v>80</v>
      </c>
      <c r="H693">
        <v>79.937507628999995</v>
      </c>
      <c r="I693">
        <v>50</v>
      </c>
      <c r="J693">
        <v>41.409923552999999</v>
      </c>
      <c r="K693">
        <v>2400</v>
      </c>
      <c r="L693">
        <v>0</v>
      </c>
      <c r="M693">
        <v>0</v>
      </c>
      <c r="N693">
        <v>760.26959228999999</v>
      </c>
    </row>
    <row r="694" spans="1:14" x14ac:dyDescent="0.25">
      <c r="A694">
        <v>522.76320099999998</v>
      </c>
      <c r="B694" s="1">
        <f>DATE(2011,10,5) + TIME(18,19,0)</f>
        <v>40821.763194444444</v>
      </c>
      <c r="C694">
        <v>6450.0639647999997</v>
      </c>
      <c r="D694">
        <v>5186.0307616999999</v>
      </c>
      <c r="E694">
        <v>650.40093993999994</v>
      </c>
      <c r="F694">
        <v>101.32499695</v>
      </c>
      <c r="G694">
        <v>80</v>
      </c>
      <c r="H694">
        <v>79.937652588000006</v>
      </c>
      <c r="I694">
        <v>50</v>
      </c>
      <c r="J694">
        <v>41.306240082000002</v>
      </c>
      <c r="K694">
        <v>2400</v>
      </c>
      <c r="L694">
        <v>0</v>
      </c>
      <c r="M694">
        <v>0</v>
      </c>
      <c r="N694">
        <v>759.46087646000001</v>
      </c>
    </row>
    <row r="695" spans="1:14" x14ac:dyDescent="0.25">
      <c r="A695">
        <v>525.18471499999998</v>
      </c>
      <c r="B695" s="1">
        <f>DATE(2011,10,8) + TIME(4,25,59)</f>
        <v>40824.184710648151</v>
      </c>
      <c r="C695">
        <v>6445.1362305000002</v>
      </c>
      <c r="D695">
        <v>5181.1025391000003</v>
      </c>
      <c r="E695">
        <v>650.72845458999996</v>
      </c>
      <c r="F695">
        <v>101.32499695</v>
      </c>
      <c r="G695">
        <v>80</v>
      </c>
      <c r="H695">
        <v>79.937789917000003</v>
      </c>
      <c r="I695">
        <v>50</v>
      </c>
      <c r="J695">
        <v>41.199768065999997</v>
      </c>
      <c r="K695">
        <v>2400</v>
      </c>
      <c r="L695">
        <v>0</v>
      </c>
      <c r="M695">
        <v>0</v>
      </c>
      <c r="N695">
        <v>758.64886475000003</v>
      </c>
    </row>
    <row r="696" spans="1:14" x14ac:dyDescent="0.25">
      <c r="A696">
        <v>527.62798399999997</v>
      </c>
      <c r="B696" s="1">
        <f>DATE(2011,10,10) + TIME(15,4,17)</f>
        <v>40826.627974537034</v>
      </c>
      <c r="C696">
        <v>6440.1777344000002</v>
      </c>
      <c r="D696">
        <v>5176.1430664</v>
      </c>
      <c r="E696">
        <v>651.08300781000003</v>
      </c>
      <c r="F696">
        <v>101.32499695</v>
      </c>
      <c r="G696">
        <v>80</v>
      </c>
      <c r="H696">
        <v>79.937927246000001</v>
      </c>
      <c r="I696">
        <v>50</v>
      </c>
      <c r="J696">
        <v>41.091053008999999</v>
      </c>
      <c r="K696">
        <v>2400</v>
      </c>
      <c r="L696">
        <v>0</v>
      </c>
      <c r="M696">
        <v>0</v>
      </c>
      <c r="N696">
        <v>757.81744385000002</v>
      </c>
    </row>
    <row r="697" spans="1:14" x14ac:dyDescent="0.25">
      <c r="A697">
        <v>530.08152900000005</v>
      </c>
      <c r="B697" s="1">
        <f>DATE(2011,10,13) + TIME(1,57,24)</f>
        <v>40829.08152777778</v>
      </c>
      <c r="C697">
        <v>6435.2246094000002</v>
      </c>
      <c r="D697">
        <v>5171.1889647999997</v>
      </c>
      <c r="E697">
        <v>651.45751953000001</v>
      </c>
      <c r="F697">
        <v>101.32499695</v>
      </c>
      <c r="G697">
        <v>80</v>
      </c>
      <c r="H697">
        <v>79.938072204999997</v>
      </c>
      <c r="I697">
        <v>50</v>
      </c>
      <c r="J697">
        <v>40.980663300000003</v>
      </c>
      <c r="K697">
        <v>2400</v>
      </c>
      <c r="L697">
        <v>0</v>
      </c>
      <c r="M697">
        <v>0</v>
      </c>
      <c r="N697">
        <v>756.96466064000003</v>
      </c>
    </row>
    <row r="698" spans="1:14" x14ac:dyDescent="0.25">
      <c r="A698">
        <v>532.54983800000002</v>
      </c>
      <c r="B698" s="1">
        <f>DATE(2011,10,15) + TIME(13,11,45)</f>
        <v>40831.549826388888</v>
      </c>
      <c r="C698">
        <v>6430.2958983999997</v>
      </c>
      <c r="D698">
        <v>5166.2597655999998</v>
      </c>
      <c r="E698">
        <v>651.85260010000002</v>
      </c>
      <c r="F698">
        <v>101.32499695</v>
      </c>
      <c r="G698">
        <v>80</v>
      </c>
      <c r="H698">
        <v>79.938217163000004</v>
      </c>
      <c r="I698">
        <v>50</v>
      </c>
      <c r="J698">
        <v>40.868732452000003</v>
      </c>
      <c r="K698">
        <v>2400</v>
      </c>
      <c r="L698">
        <v>0</v>
      </c>
      <c r="M698">
        <v>0</v>
      </c>
      <c r="N698">
        <v>756.09350586000005</v>
      </c>
    </row>
    <row r="699" spans="1:14" x14ac:dyDescent="0.25">
      <c r="A699">
        <v>535.03806899999995</v>
      </c>
      <c r="B699" s="1">
        <f>DATE(2011,10,18) + TIME(0,54,49)</f>
        <v>40834.03806712963</v>
      </c>
      <c r="C699">
        <v>6425.3881836</v>
      </c>
      <c r="D699">
        <v>5161.3510741999999</v>
      </c>
      <c r="E699">
        <v>652.26745604999996</v>
      </c>
      <c r="F699">
        <v>101.32499695</v>
      </c>
      <c r="G699">
        <v>80</v>
      </c>
      <c r="H699">
        <v>79.938362122000001</v>
      </c>
      <c r="I699">
        <v>50</v>
      </c>
      <c r="J699">
        <v>40.755222320999998</v>
      </c>
      <c r="K699">
        <v>2400</v>
      </c>
      <c r="L699">
        <v>0</v>
      </c>
      <c r="M699">
        <v>0</v>
      </c>
      <c r="N699">
        <v>755.20245361000002</v>
      </c>
    </row>
    <row r="700" spans="1:14" x14ac:dyDescent="0.25">
      <c r="A700">
        <v>537.54677000000004</v>
      </c>
      <c r="B700" s="1">
        <f>DATE(2011,10,20) + TIME(13,7,20)</f>
        <v>40836.546759259261</v>
      </c>
      <c r="C700">
        <v>6420.4960938000004</v>
      </c>
      <c r="D700">
        <v>5156.4584961</v>
      </c>
      <c r="E700">
        <v>652.70147704999999</v>
      </c>
      <c r="F700">
        <v>101.32499695</v>
      </c>
      <c r="G700">
        <v>80</v>
      </c>
      <c r="H700">
        <v>79.938499450999998</v>
      </c>
      <c r="I700">
        <v>50</v>
      </c>
      <c r="J700">
        <v>40.640125275000003</v>
      </c>
      <c r="K700">
        <v>2400</v>
      </c>
      <c r="L700">
        <v>0</v>
      </c>
      <c r="M700">
        <v>0</v>
      </c>
      <c r="N700">
        <v>754.29052734000004</v>
      </c>
    </row>
    <row r="701" spans="1:14" x14ac:dyDescent="0.25">
      <c r="A701">
        <v>540.06775300000004</v>
      </c>
      <c r="B701" s="1">
        <f>DATE(2011,10,23) + TIME(1,37,33)</f>
        <v>40839.067743055559</v>
      </c>
      <c r="C701">
        <v>6415.6235352000003</v>
      </c>
      <c r="D701">
        <v>5151.5854491999999</v>
      </c>
      <c r="E701">
        <v>653.15338135000002</v>
      </c>
      <c r="F701">
        <v>101.32499695</v>
      </c>
      <c r="G701">
        <v>80</v>
      </c>
      <c r="H701">
        <v>79.938644409000005</v>
      </c>
      <c r="I701">
        <v>50</v>
      </c>
      <c r="J701">
        <v>40.523643493999998</v>
      </c>
      <c r="K701">
        <v>2400</v>
      </c>
      <c r="L701">
        <v>0</v>
      </c>
      <c r="M701">
        <v>0</v>
      </c>
      <c r="N701">
        <v>753.35845946999996</v>
      </c>
    </row>
    <row r="702" spans="1:14" x14ac:dyDescent="0.25">
      <c r="A702">
        <v>542.60585600000002</v>
      </c>
      <c r="B702" s="1">
        <f>DATE(2011,10,25) + TIME(14,32,25)</f>
        <v>40841.605844907404</v>
      </c>
      <c r="C702">
        <v>6410.7753905999998</v>
      </c>
      <c r="D702">
        <v>5146.7368164</v>
      </c>
      <c r="E702">
        <v>653.62561034999999</v>
      </c>
      <c r="F702">
        <v>101.32499695</v>
      </c>
      <c r="G702">
        <v>80</v>
      </c>
      <c r="H702">
        <v>79.938789368000002</v>
      </c>
      <c r="I702">
        <v>50</v>
      </c>
      <c r="J702">
        <v>40.405704497999999</v>
      </c>
      <c r="K702">
        <v>2400</v>
      </c>
      <c r="L702">
        <v>0</v>
      </c>
      <c r="M702">
        <v>0</v>
      </c>
      <c r="N702">
        <v>752.40869140999996</v>
      </c>
    </row>
    <row r="703" spans="1:14" x14ac:dyDescent="0.25">
      <c r="A703">
        <v>545.16648599999996</v>
      </c>
      <c r="B703" s="1">
        <f>DATE(2011,10,28) + TIME(3,59,44)</f>
        <v>40844.166481481479</v>
      </c>
      <c r="C703">
        <v>6405.9458008000001</v>
      </c>
      <c r="D703">
        <v>5141.9067383000001</v>
      </c>
      <c r="E703">
        <v>654.11840819999998</v>
      </c>
      <c r="F703">
        <v>101.32499695</v>
      </c>
      <c r="G703">
        <v>80</v>
      </c>
      <c r="H703">
        <v>79.938934325999995</v>
      </c>
      <c r="I703">
        <v>50</v>
      </c>
      <c r="J703">
        <v>40.286151885999999</v>
      </c>
      <c r="K703">
        <v>2400</v>
      </c>
      <c r="L703">
        <v>0</v>
      </c>
      <c r="M703">
        <v>0</v>
      </c>
      <c r="N703">
        <v>751.43975829999999</v>
      </c>
    </row>
    <row r="704" spans="1:14" x14ac:dyDescent="0.25">
      <c r="A704">
        <v>547.75523999999996</v>
      </c>
      <c r="B704" s="1">
        <f>DATE(2011,10,30) + TIME(18,7,32)</f>
        <v>40846.755231481482</v>
      </c>
      <c r="C704">
        <v>6401.1254883000001</v>
      </c>
      <c r="D704">
        <v>5137.0859375</v>
      </c>
      <c r="E704">
        <v>654.6328125</v>
      </c>
      <c r="F704">
        <v>101.32499695</v>
      </c>
      <c r="G704">
        <v>80</v>
      </c>
      <c r="H704">
        <v>79.939079285000005</v>
      </c>
      <c r="I704">
        <v>50</v>
      </c>
      <c r="J704">
        <v>40.164772034000002</v>
      </c>
      <c r="K704">
        <v>2400</v>
      </c>
      <c r="L704">
        <v>0</v>
      </c>
      <c r="M704">
        <v>0</v>
      </c>
      <c r="N704">
        <v>750.45007324000005</v>
      </c>
    </row>
    <row r="705" spans="1:14" x14ac:dyDescent="0.25">
      <c r="A705">
        <v>549</v>
      </c>
      <c r="B705" s="1">
        <f>DATE(2011,11,1) + TIME(0,0,0)</f>
        <v>40848</v>
      </c>
      <c r="C705">
        <v>6397.3339844000002</v>
      </c>
      <c r="D705">
        <v>5133.2924805000002</v>
      </c>
      <c r="E705">
        <v>654.75903319999998</v>
      </c>
      <c r="F705">
        <v>101.32499695</v>
      </c>
      <c r="G705">
        <v>80</v>
      </c>
      <c r="H705">
        <v>79.939064025999997</v>
      </c>
      <c r="I705">
        <v>50</v>
      </c>
      <c r="J705">
        <v>40.088897705000001</v>
      </c>
      <c r="K705">
        <v>2400</v>
      </c>
      <c r="L705">
        <v>0</v>
      </c>
      <c r="M705">
        <v>0</v>
      </c>
      <c r="N705">
        <v>749.52581786999997</v>
      </c>
    </row>
    <row r="706" spans="1:14" x14ac:dyDescent="0.25">
      <c r="A706">
        <v>549.000001</v>
      </c>
      <c r="B706" s="1">
        <f>DATE(2011,11,1) + TIME(0,0,0)</f>
        <v>40848</v>
      </c>
      <c r="C706">
        <v>5132.3647461</v>
      </c>
      <c r="D706">
        <v>3862.8691405999998</v>
      </c>
      <c r="E706">
        <v>2591.9118652000002</v>
      </c>
      <c r="F706">
        <v>655.25592041000004</v>
      </c>
      <c r="G706">
        <v>80</v>
      </c>
      <c r="H706">
        <v>79.938926696999999</v>
      </c>
      <c r="I706">
        <v>50</v>
      </c>
      <c r="J706">
        <v>40.088966370000001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549.00000399999999</v>
      </c>
      <c r="B707" s="1">
        <f>DATE(2011,11,1) + TIME(0,0,0)</f>
        <v>40848</v>
      </c>
      <c r="C707">
        <v>5129.5869141000003</v>
      </c>
      <c r="D707">
        <v>3860.0847168</v>
      </c>
      <c r="E707">
        <v>2593.6965332</v>
      </c>
      <c r="F707">
        <v>656.74511718999997</v>
      </c>
      <c r="G707">
        <v>80</v>
      </c>
      <c r="H707">
        <v>79.938514709000003</v>
      </c>
      <c r="I707">
        <v>50</v>
      </c>
      <c r="J707">
        <v>40.089172363000003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549.00001299999997</v>
      </c>
      <c r="B708" s="1">
        <f>DATE(2011,11,1) + TIME(0,0,1)</f>
        <v>40848.000011574077</v>
      </c>
      <c r="C708">
        <v>5121.3037108999997</v>
      </c>
      <c r="D708">
        <v>3851.78125</v>
      </c>
      <c r="E708">
        <v>2599.03125</v>
      </c>
      <c r="F708">
        <v>661.19976807</v>
      </c>
      <c r="G708">
        <v>80</v>
      </c>
      <c r="H708">
        <v>79.937301636000001</v>
      </c>
      <c r="I708">
        <v>50</v>
      </c>
      <c r="J708">
        <v>40.089794159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549.00004000000001</v>
      </c>
      <c r="B709" s="1">
        <f>DATE(2011,11,1) + TIME(0,0,3)</f>
        <v>40848.000034722223</v>
      </c>
      <c r="C709">
        <v>5096.8964844000002</v>
      </c>
      <c r="D709">
        <v>3827.3142090000001</v>
      </c>
      <c r="E709">
        <v>2614.8618164</v>
      </c>
      <c r="F709">
        <v>674.44891356999995</v>
      </c>
      <c r="G709">
        <v>80</v>
      </c>
      <c r="H709">
        <v>79.933723450000002</v>
      </c>
      <c r="I709">
        <v>50</v>
      </c>
      <c r="J709">
        <v>40.091640472000002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549.00012100000004</v>
      </c>
      <c r="B710" s="1">
        <f>DATE(2011,11,1) + TIME(0,0,10)</f>
        <v>40848.000115740739</v>
      </c>
      <c r="C710">
        <v>5027.3808594000002</v>
      </c>
      <c r="D710">
        <v>3757.6320801000002</v>
      </c>
      <c r="E710">
        <v>2660.8574219000002</v>
      </c>
      <c r="F710">
        <v>713.19470215000001</v>
      </c>
      <c r="G710">
        <v>80</v>
      </c>
      <c r="H710">
        <v>79.923530579000001</v>
      </c>
      <c r="I710">
        <v>50</v>
      </c>
      <c r="J710">
        <v>40.097068786999998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549.00036399999999</v>
      </c>
      <c r="B711" s="1">
        <f>DATE(2011,11,1) + TIME(0,0,31)</f>
        <v>40848.000358796293</v>
      </c>
      <c r="C711">
        <v>4846.4018555000002</v>
      </c>
      <c r="D711">
        <v>3576.2387695000002</v>
      </c>
      <c r="E711">
        <v>2786.9194336</v>
      </c>
      <c r="F711">
        <v>821.19458008000004</v>
      </c>
      <c r="G711">
        <v>80</v>
      </c>
      <c r="H711">
        <v>79.897018433</v>
      </c>
      <c r="I711">
        <v>50</v>
      </c>
      <c r="J711">
        <v>40.112400055000002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549.00109299999997</v>
      </c>
      <c r="B712" s="1">
        <f>DATE(2011,11,1) + TIME(0,1,34)</f>
        <v>40848.001087962963</v>
      </c>
      <c r="C712">
        <v>4459.4526366999999</v>
      </c>
      <c r="D712">
        <v>3188.4785155999998</v>
      </c>
      <c r="E712">
        <v>3086.8977051000002</v>
      </c>
      <c r="F712">
        <v>1087.5501709</v>
      </c>
      <c r="G712">
        <v>80</v>
      </c>
      <c r="H712">
        <v>79.840499878000003</v>
      </c>
      <c r="I712">
        <v>50</v>
      </c>
      <c r="J712">
        <v>40.151737212999997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549.00297599999999</v>
      </c>
      <c r="B713" s="1">
        <f>DATE(2011,11,1) + TIME(0,4,17)</f>
        <v>40848.002974537034</v>
      </c>
      <c r="C713">
        <v>3905.3154297000001</v>
      </c>
      <c r="D713">
        <v>2633.4970702999999</v>
      </c>
      <c r="E713">
        <v>3581.5029297000001</v>
      </c>
      <c r="F713">
        <v>1548.5117187999999</v>
      </c>
      <c r="G713">
        <v>80</v>
      </c>
      <c r="H713">
        <v>79.759834290000001</v>
      </c>
      <c r="I713">
        <v>50</v>
      </c>
      <c r="J713">
        <v>40.226608276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549.00637500000005</v>
      </c>
      <c r="B714" s="1">
        <f>DATE(2011,11,1) + TIME(0,9,10)</f>
        <v>40848.006365740737</v>
      </c>
      <c r="C714">
        <v>3397.2946777000002</v>
      </c>
      <c r="D714">
        <v>2124.9553222999998</v>
      </c>
      <c r="E714">
        <v>4086.484375</v>
      </c>
      <c r="F714">
        <v>2037.6889647999999</v>
      </c>
      <c r="G714">
        <v>80</v>
      </c>
      <c r="H714">
        <v>79.686195373999993</v>
      </c>
      <c r="I714">
        <v>50</v>
      </c>
      <c r="J714">
        <v>40.320819855000003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549.01278500000001</v>
      </c>
      <c r="B715" s="1">
        <f>DATE(2011,11,1) + TIME(0,18,24)</f>
        <v>40848.012777777774</v>
      </c>
      <c r="C715">
        <v>2925.6062012000002</v>
      </c>
      <c r="D715">
        <v>1653.0070800999999</v>
      </c>
      <c r="E715">
        <v>4579.8823241999999</v>
      </c>
      <c r="F715">
        <v>2526.8027344000002</v>
      </c>
      <c r="G715">
        <v>80</v>
      </c>
      <c r="H715">
        <v>79.618156432999996</v>
      </c>
      <c r="I715">
        <v>50</v>
      </c>
      <c r="J715">
        <v>40.445846558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549.02514199999996</v>
      </c>
      <c r="B716" s="1">
        <f>DATE(2011,11,1) + TIME(0,36,12)</f>
        <v>40848.025138888886</v>
      </c>
      <c r="C716">
        <v>2472.9697265999998</v>
      </c>
      <c r="D716">
        <v>1200.3833007999999</v>
      </c>
      <c r="E716">
        <v>5057.5625</v>
      </c>
      <c r="F716">
        <v>3005.9104004000001</v>
      </c>
      <c r="G716">
        <v>80</v>
      </c>
      <c r="H716">
        <v>79.553253174000005</v>
      </c>
      <c r="I716">
        <v>50</v>
      </c>
      <c r="J716">
        <v>40.628631591999998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549.04982500000006</v>
      </c>
      <c r="B717" s="1">
        <f>DATE(2011,11,1) + TIME(1,11,44)</f>
        <v>40848.049814814818</v>
      </c>
      <c r="C717">
        <v>2019.3251952999999</v>
      </c>
      <c r="D717">
        <v>747.04754638999998</v>
      </c>
      <c r="E717">
        <v>5534.5576172000001</v>
      </c>
      <c r="F717">
        <v>3488.7912597999998</v>
      </c>
      <c r="G717">
        <v>80</v>
      </c>
      <c r="H717">
        <v>79.488739014000004</v>
      </c>
      <c r="I717">
        <v>50</v>
      </c>
      <c r="J717">
        <v>40.928623199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549.09925299999998</v>
      </c>
      <c r="B718" s="1">
        <f>DATE(2011,11,1) + TIME(2,22,55)</f>
        <v>40848.099247685182</v>
      </c>
      <c r="C718">
        <v>1561.0893555</v>
      </c>
      <c r="D718">
        <v>289.37945557</v>
      </c>
      <c r="E718">
        <v>6014.1357422000001</v>
      </c>
      <c r="F718">
        <v>3979.9038086</v>
      </c>
      <c r="G718">
        <v>80</v>
      </c>
      <c r="H718">
        <v>79.424186707000004</v>
      </c>
      <c r="I718">
        <v>50</v>
      </c>
      <c r="J718">
        <v>41.445034026999998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549.19263000000001</v>
      </c>
      <c r="B719" s="1">
        <f>DATE(2011,11,1) + TIME(4,37,23)</f>
        <v>40848.192627314813</v>
      </c>
      <c r="C719">
        <v>1110.0340576000001</v>
      </c>
      <c r="D719">
        <v>-161.03683472</v>
      </c>
      <c r="E719">
        <v>6480.4814452999999</v>
      </c>
      <c r="F719">
        <v>4464.6367188000004</v>
      </c>
      <c r="G719">
        <v>80</v>
      </c>
      <c r="H719">
        <v>79.360694885000001</v>
      </c>
      <c r="I719">
        <v>50</v>
      </c>
      <c r="J719">
        <v>42.285484314000001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549.30152399999997</v>
      </c>
      <c r="B720" s="1">
        <f>DATE(2011,11,1) + TIME(7,14,11)</f>
        <v>40848.301516203705</v>
      </c>
      <c r="C720">
        <v>1109.5865478999999</v>
      </c>
      <c r="D720">
        <v>101.32499695</v>
      </c>
      <c r="E720">
        <v>6811.3217772999997</v>
      </c>
      <c r="F720">
        <v>4813.4189452999999</v>
      </c>
      <c r="G720">
        <v>80</v>
      </c>
      <c r="H720">
        <v>79.352104186999995</v>
      </c>
      <c r="I720">
        <v>50</v>
      </c>
      <c r="J720">
        <v>43.142250060999999</v>
      </c>
      <c r="K720">
        <v>0</v>
      </c>
      <c r="L720">
        <v>2094.0895995999999</v>
      </c>
      <c r="M720">
        <v>2400</v>
      </c>
      <c r="N720">
        <v>0</v>
      </c>
    </row>
    <row r="721" spans="1:14" x14ac:dyDescent="0.25">
      <c r="A721">
        <v>549.42635800000005</v>
      </c>
      <c r="B721" s="1">
        <f>DATE(2011,11,1) + TIME(10,13,57)</f>
        <v>40848.426354166666</v>
      </c>
      <c r="C721">
        <v>1023.4736938</v>
      </c>
      <c r="D721">
        <v>101.32499695</v>
      </c>
      <c r="E721">
        <v>7065.6123047000001</v>
      </c>
      <c r="F721">
        <v>5084.8457030999998</v>
      </c>
      <c r="G721">
        <v>80</v>
      </c>
      <c r="H721">
        <v>79.328971863000007</v>
      </c>
      <c r="I721">
        <v>50</v>
      </c>
      <c r="J721">
        <v>43.996871947999999</v>
      </c>
      <c r="K721">
        <v>0</v>
      </c>
      <c r="L721">
        <v>1919.0426024999999</v>
      </c>
      <c r="M721">
        <v>2400</v>
      </c>
      <c r="N721">
        <v>0</v>
      </c>
    </row>
    <row r="722" spans="1:14" x14ac:dyDescent="0.25">
      <c r="A722">
        <v>549.56995300000005</v>
      </c>
      <c r="B722" s="1">
        <f>DATE(2011,11,1) + TIME(13,40,43)</f>
        <v>40848.56994212963</v>
      </c>
      <c r="C722">
        <v>951.35656738</v>
      </c>
      <c r="D722">
        <v>101.32499695</v>
      </c>
      <c r="E722">
        <v>7272.4521483999997</v>
      </c>
      <c r="F722">
        <v>5307.9296875</v>
      </c>
      <c r="G722">
        <v>80</v>
      </c>
      <c r="H722">
        <v>79.304924010999997</v>
      </c>
      <c r="I722">
        <v>50</v>
      </c>
      <c r="J722">
        <v>44.840534210000001</v>
      </c>
      <c r="K722">
        <v>0</v>
      </c>
      <c r="L722">
        <v>1779.9997559000001</v>
      </c>
      <c r="M722">
        <v>2400</v>
      </c>
      <c r="N722">
        <v>0</v>
      </c>
    </row>
    <row r="723" spans="1:14" x14ac:dyDescent="0.25">
      <c r="A723">
        <v>549.73731099999998</v>
      </c>
      <c r="B723" s="1">
        <f>DATE(2011,11,1) + TIME(17,41,43)</f>
        <v>40848.737303240741</v>
      </c>
      <c r="C723">
        <v>889.64929199000005</v>
      </c>
      <c r="D723">
        <v>101.32499695</v>
      </c>
      <c r="E723">
        <v>7447.7421875</v>
      </c>
      <c r="F723">
        <v>5498.5185547000001</v>
      </c>
      <c r="G723">
        <v>80</v>
      </c>
      <c r="H723">
        <v>79.279197693</v>
      </c>
      <c r="I723">
        <v>50</v>
      </c>
      <c r="J723">
        <v>45.666801452999998</v>
      </c>
      <c r="K723">
        <v>0</v>
      </c>
      <c r="L723">
        <v>1662.4020995999999</v>
      </c>
      <c r="M723">
        <v>2400</v>
      </c>
      <c r="N723">
        <v>0</v>
      </c>
    </row>
    <row r="724" spans="1:14" x14ac:dyDescent="0.25">
      <c r="A724">
        <v>549.93642899999998</v>
      </c>
      <c r="B724" s="1">
        <f>DATE(2011,11,1) + TIME(22,28,27)</f>
        <v>40848.936423611114</v>
      </c>
      <c r="C724">
        <v>834.97833251999998</v>
      </c>
      <c r="D724">
        <v>101.32499695</v>
      </c>
      <c r="E724">
        <v>7601.1923827999999</v>
      </c>
      <c r="F724">
        <v>5666.2377930000002</v>
      </c>
      <c r="G724">
        <v>80</v>
      </c>
      <c r="H724">
        <v>79.250717163000004</v>
      </c>
      <c r="I724">
        <v>50</v>
      </c>
      <c r="J724">
        <v>46.468906402999998</v>
      </c>
      <c r="K724">
        <v>0</v>
      </c>
      <c r="L724">
        <v>1558.6622314000001</v>
      </c>
      <c r="M724">
        <v>2400</v>
      </c>
      <c r="N724">
        <v>0</v>
      </c>
    </row>
    <row r="725" spans="1:14" x14ac:dyDescent="0.25">
      <c r="A725">
        <v>550.18033800000001</v>
      </c>
      <c r="B725" s="1">
        <f>DATE(2011,11,2) + TIME(4,19,41)</f>
        <v>40849.180335648147</v>
      </c>
      <c r="C725">
        <v>785.19494628999996</v>
      </c>
      <c r="D725">
        <v>101.32499695</v>
      </c>
      <c r="E725">
        <v>7739.3374022999997</v>
      </c>
      <c r="F725">
        <v>5817.4829102000003</v>
      </c>
      <c r="G725">
        <v>80</v>
      </c>
      <c r="H725">
        <v>79.218116760000001</v>
      </c>
      <c r="I725">
        <v>50</v>
      </c>
      <c r="J725">
        <v>47.238136292</v>
      </c>
      <c r="K725">
        <v>0</v>
      </c>
      <c r="L725">
        <v>1464.3669434000001</v>
      </c>
      <c r="M725">
        <v>2400</v>
      </c>
      <c r="N725">
        <v>0</v>
      </c>
    </row>
    <row r="726" spans="1:14" x14ac:dyDescent="0.25">
      <c r="A726">
        <v>550.49163399999998</v>
      </c>
      <c r="B726" s="1">
        <f>DATE(2011,11,2) + TIME(11,47,57)</f>
        <v>40849.491631944446</v>
      </c>
      <c r="C726">
        <v>738.88830566000001</v>
      </c>
      <c r="D726">
        <v>101.32499695</v>
      </c>
      <c r="E726">
        <v>7866.8764647999997</v>
      </c>
      <c r="F726">
        <v>5956.7246094000002</v>
      </c>
      <c r="G726">
        <v>80</v>
      </c>
      <c r="H726">
        <v>79.179306030000006</v>
      </c>
      <c r="I726">
        <v>50</v>
      </c>
      <c r="J726">
        <v>47.962070464999996</v>
      </c>
      <c r="K726">
        <v>0</v>
      </c>
      <c r="L726">
        <v>1376.7142334</v>
      </c>
      <c r="M726">
        <v>2400</v>
      </c>
      <c r="N726">
        <v>0</v>
      </c>
    </row>
    <row r="727" spans="1:14" x14ac:dyDescent="0.25">
      <c r="A727">
        <v>550.88369299999999</v>
      </c>
      <c r="B727" s="1">
        <f>DATE(2011,11,2) + TIME(21,12,31)</f>
        <v>40849.883692129632</v>
      </c>
      <c r="C727">
        <v>697.44091796999999</v>
      </c>
      <c r="D727">
        <v>101.32499695</v>
      </c>
      <c r="E727">
        <v>7980.6713866999999</v>
      </c>
      <c r="F727">
        <v>6079.9169922000001</v>
      </c>
      <c r="G727">
        <v>80</v>
      </c>
      <c r="H727">
        <v>79.133399963000002</v>
      </c>
      <c r="I727">
        <v>50</v>
      </c>
      <c r="J727">
        <v>48.590023041000002</v>
      </c>
      <c r="K727">
        <v>0</v>
      </c>
      <c r="L727">
        <v>1298.2678223</v>
      </c>
      <c r="M727">
        <v>2400</v>
      </c>
      <c r="N727">
        <v>0</v>
      </c>
    </row>
    <row r="728" spans="1:14" x14ac:dyDescent="0.25">
      <c r="A728">
        <v>551.282149</v>
      </c>
      <c r="B728" s="1">
        <f>DATE(2011,11,3) + TIME(6,46,17)</f>
        <v>40850.282141203701</v>
      </c>
      <c r="C728">
        <v>666.76977538999995</v>
      </c>
      <c r="D728">
        <v>101.32499695</v>
      </c>
      <c r="E728">
        <v>8064.1098633000001</v>
      </c>
      <c r="F728">
        <v>6168.9130858999997</v>
      </c>
      <c r="G728">
        <v>80</v>
      </c>
      <c r="H728">
        <v>79.087234496999997</v>
      </c>
      <c r="I728">
        <v>50</v>
      </c>
      <c r="J728">
        <v>49.026306151999997</v>
      </c>
      <c r="K728">
        <v>0</v>
      </c>
      <c r="L728">
        <v>1240.2290039</v>
      </c>
      <c r="M728">
        <v>2400</v>
      </c>
      <c r="N728">
        <v>0</v>
      </c>
    </row>
    <row r="729" spans="1:14" x14ac:dyDescent="0.25">
      <c r="A729">
        <v>551.71114299999999</v>
      </c>
      <c r="B729" s="1">
        <f>DATE(2011,11,3) + TIME(17,4,2)</f>
        <v>40850.711134259262</v>
      </c>
      <c r="C729">
        <v>642.79077147999999</v>
      </c>
      <c r="D729">
        <v>101.32499695</v>
      </c>
      <c r="E729">
        <v>8129.8090819999998</v>
      </c>
      <c r="F729">
        <v>6238.0385741999999</v>
      </c>
      <c r="G729">
        <v>80</v>
      </c>
      <c r="H729">
        <v>79.038711547999995</v>
      </c>
      <c r="I729">
        <v>50</v>
      </c>
      <c r="J729">
        <v>49.339309692</v>
      </c>
      <c r="K729">
        <v>0</v>
      </c>
      <c r="L729">
        <v>1194.8189697</v>
      </c>
      <c r="M729">
        <v>2400</v>
      </c>
      <c r="N729">
        <v>0</v>
      </c>
    </row>
    <row r="730" spans="1:14" x14ac:dyDescent="0.25">
      <c r="A730">
        <v>552.18218899999999</v>
      </c>
      <c r="B730" s="1">
        <f>DATE(2011,11,4) + TIME(4,22,21)</f>
        <v>40851.182187500002</v>
      </c>
      <c r="C730">
        <v>623.91809081999997</v>
      </c>
      <c r="D730">
        <v>101.32499695</v>
      </c>
      <c r="E730">
        <v>8181.9731444999998</v>
      </c>
      <c r="F730">
        <v>6292.0200194999998</v>
      </c>
      <c r="G730">
        <v>80</v>
      </c>
      <c r="H730">
        <v>78.986831664999997</v>
      </c>
      <c r="I730">
        <v>50</v>
      </c>
      <c r="J730">
        <v>49.560699462999999</v>
      </c>
      <c r="K730">
        <v>0</v>
      </c>
      <c r="L730">
        <v>1159.0466309000001</v>
      </c>
      <c r="M730">
        <v>2400</v>
      </c>
      <c r="N730">
        <v>0</v>
      </c>
    </row>
    <row r="731" spans="1:14" x14ac:dyDescent="0.25">
      <c r="A731">
        <v>552.71321399999999</v>
      </c>
      <c r="B731" s="1">
        <f>DATE(2011,11,4) + TIME(17,7,1)</f>
        <v>40851.713206018518</v>
      </c>
      <c r="C731">
        <v>609.07336425999995</v>
      </c>
      <c r="D731">
        <v>101.32499695</v>
      </c>
      <c r="E731">
        <v>8223.4638672000001</v>
      </c>
      <c r="F731">
        <v>6334.1455077999999</v>
      </c>
      <c r="G731">
        <v>80</v>
      </c>
      <c r="H731">
        <v>78.930068969999994</v>
      </c>
      <c r="I731">
        <v>50</v>
      </c>
      <c r="J731">
        <v>49.714290619000003</v>
      </c>
      <c r="K731">
        <v>0</v>
      </c>
      <c r="L731">
        <v>1130.8703613</v>
      </c>
      <c r="M731">
        <v>2400</v>
      </c>
      <c r="N731">
        <v>0</v>
      </c>
    </row>
    <row r="732" spans="1:14" x14ac:dyDescent="0.25">
      <c r="A732">
        <v>553.32941100000005</v>
      </c>
      <c r="B732" s="1">
        <f>DATE(2011,11,5) + TIME(7,54,21)</f>
        <v>40852.329409722224</v>
      </c>
      <c r="C732">
        <v>597.55920409999999</v>
      </c>
      <c r="D732">
        <v>101.32499695</v>
      </c>
      <c r="E732">
        <v>8255.9980469000002</v>
      </c>
      <c r="F732">
        <v>6366.4223633000001</v>
      </c>
      <c r="G732">
        <v>80</v>
      </c>
      <c r="H732">
        <v>78.866386414000004</v>
      </c>
      <c r="I732">
        <v>50</v>
      </c>
      <c r="J732">
        <v>49.817493439000003</v>
      </c>
      <c r="K732">
        <v>0</v>
      </c>
      <c r="L732">
        <v>1108.9675293</v>
      </c>
      <c r="M732">
        <v>2400</v>
      </c>
      <c r="N732">
        <v>0</v>
      </c>
    </row>
    <row r="733" spans="1:14" x14ac:dyDescent="0.25">
      <c r="A733">
        <v>554.07039099999997</v>
      </c>
      <c r="B733" s="1">
        <f>DATE(2011,11,6) + TIME(1,41,21)</f>
        <v>40853.070381944446</v>
      </c>
      <c r="C733">
        <v>588.88488770000004</v>
      </c>
      <c r="D733">
        <v>101.32499695</v>
      </c>
      <c r="E733">
        <v>8280.6494141000003</v>
      </c>
      <c r="F733">
        <v>6390.1313477000003</v>
      </c>
      <c r="G733">
        <v>80</v>
      </c>
      <c r="H733">
        <v>78.792800903</v>
      </c>
      <c r="I733">
        <v>50</v>
      </c>
      <c r="J733">
        <v>49.883682251000003</v>
      </c>
      <c r="K733">
        <v>0</v>
      </c>
      <c r="L733">
        <v>1092.4023437999999</v>
      </c>
      <c r="M733">
        <v>2400</v>
      </c>
      <c r="N733">
        <v>0</v>
      </c>
    </row>
    <row r="734" spans="1:14" x14ac:dyDescent="0.25">
      <c r="A734">
        <v>554.84640400000001</v>
      </c>
      <c r="B734" s="1">
        <f>DATE(2011,11,6) + TIME(20,18,49)</f>
        <v>40853.846400462964</v>
      </c>
      <c r="C734">
        <v>583.27374268000005</v>
      </c>
      <c r="D734">
        <v>101.32499695</v>
      </c>
      <c r="E734">
        <v>8295.4052733999997</v>
      </c>
      <c r="F734">
        <v>6403.3544922000001</v>
      </c>
      <c r="G734">
        <v>80</v>
      </c>
      <c r="H734">
        <v>78.715431213000002</v>
      </c>
      <c r="I734">
        <v>50</v>
      </c>
      <c r="J734">
        <v>49.919776917</v>
      </c>
      <c r="K734">
        <v>0</v>
      </c>
      <c r="L734">
        <v>1081.6485596</v>
      </c>
      <c r="M734">
        <v>2400</v>
      </c>
      <c r="N734">
        <v>0</v>
      </c>
    </row>
    <row r="735" spans="1:14" x14ac:dyDescent="0.25">
      <c r="A735">
        <v>555.65787499999999</v>
      </c>
      <c r="B735" s="1">
        <f>DATE(2011,11,7) + TIME(15,47,20)</f>
        <v>40854.657870370371</v>
      </c>
      <c r="C735">
        <v>579.74755859000004</v>
      </c>
      <c r="D735">
        <v>101.32499695</v>
      </c>
      <c r="E735">
        <v>8303.7685547000001</v>
      </c>
      <c r="F735">
        <v>6410.1357422000001</v>
      </c>
      <c r="G735">
        <v>80</v>
      </c>
      <c r="H735">
        <v>78.634429932000003</v>
      </c>
      <c r="I735">
        <v>50</v>
      </c>
      <c r="J735">
        <v>49.939079284999998</v>
      </c>
      <c r="K735">
        <v>0</v>
      </c>
      <c r="L735">
        <v>1074.8195800999999</v>
      </c>
      <c r="M735">
        <v>2400</v>
      </c>
      <c r="N735">
        <v>0</v>
      </c>
    </row>
    <row r="736" spans="1:14" x14ac:dyDescent="0.25">
      <c r="A736">
        <v>556.52811799999995</v>
      </c>
      <c r="B736" s="1">
        <f>DATE(2011,11,8) + TIME(12,40,29)</f>
        <v>40855.528113425928</v>
      </c>
      <c r="C736">
        <v>577.56561279000005</v>
      </c>
      <c r="D736">
        <v>101.32499695</v>
      </c>
      <c r="E736">
        <v>8307.8837891000003</v>
      </c>
      <c r="F736">
        <v>6412.7265625</v>
      </c>
      <c r="G736">
        <v>80</v>
      </c>
      <c r="H736">
        <v>78.548271178999997</v>
      </c>
      <c r="I736">
        <v>50</v>
      </c>
      <c r="J736">
        <v>49.949348450000002</v>
      </c>
      <c r="K736">
        <v>0</v>
      </c>
      <c r="L736">
        <v>1070.5070800999999</v>
      </c>
      <c r="M736">
        <v>2400</v>
      </c>
      <c r="N736">
        <v>0</v>
      </c>
    </row>
    <row r="737" spans="1:14" x14ac:dyDescent="0.25">
      <c r="A737">
        <v>557.48008400000003</v>
      </c>
      <c r="B737" s="1">
        <f>DATE(2011,11,9) + TIME(11,31,19)</f>
        <v>40856.480081018519</v>
      </c>
      <c r="C737">
        <v>576.25976562000005</v>
      </c>
      <c r="D737">
        <v>101.32499695</v>
      </c>
      <c r="E737">
        <v>8308.9169922000001</v>
      </c>
      <c r="F737">
        <v>6412.2973633000001</v>
      </c>
      <c r="G737">
        <v>80</v>
      </c>
      <c r="H737">
        <v>78.455322265999996</v>
      </c>
      <c r="I737">
        <v>50</v>
      </c>
      <c r="J737">
        <v>49.954715729</v>
      </c>
      <c r="K737">
        <v>0</v>
      </c>
      <c r="L737">
        <v>1067.8261719</v>
      </c>
      <c r="M737">
        <v>2400</v>
      </c>
      <c r="N737">
        <v>0</v>
      </c>
    </row>
    <row r="738" spans="1:14" x14ac:dyDescent="0.25">
      <c r="A738">
        <v>558.55453599999998</v>
      </c>
      <c r="B738" s="1">
        <f>DATE(2011,11,10) + TIME(13,18,31)</f>
        <v>40857.554525462961</v>
      </c>
      <c r="C738">
        <v>575.51635741999996</v>
      </c>
      <c r="D738">
        <v>101.32499695</v>
      </c>
      <c r="E738">
        <v>8307.6640625</v>
      </c>
      <c r="F738">
        <v>6409.6430664</v>
      </c>
      <c r="G738">
        <v>80</v>
      </c>
      <c r="H738">
        <v>78.352745056000003</v>
      </c>
      <c r="I738">
        <v>50</v>
      </c>
      <c r="J738">
        <v>49.957481383999998</v>
      </c>
      <c r="K738">
        <v>0</v>
      </c>
      <c r="L738">
        <v>1066.1757812000001</v>
      </c>
      <c r="M738">
        <v>2400</v>
      </c>
      <c r="N738">
        <v>0</v>
      </c>
    </row>
    <row r="739" spans="1:14" x14ac:dyDescent="0.25">
      <c r="A739">
        <v>559.71381499999995</v>
      </c>
      <c r="B739" s="1">
        <f>DATE(2011,11,11) + TIME(17,7,53)</f>
        <v>40858.713807870372</v>
      </c>
      <c r="C739">
        <v>575.11413574000005</v>
      </c>
      <c r="D739">
        <v>101.32499695</v>
      </c>
      <c r="E739">
        <v>8304.4326172000001</v>
      </c>
      <c r="F739">
        <v>6405.046875</v>
      </c>
      <c r="G739">
        <v>80</v>
      </c>
      <c r="H739">
        <v>78.242385863999999</v>
      </c>
      <c r="I739">
        <v>50</v>
      </c>
      <c r="J739">
        <v>49.958808898999997</v>
      </c>
      <c r="K739">
        <v>0</v>
      </c>
      <c r="L739">
        <v>1065.1644286999999</v>
      </c>
      <c r="M739">
        <v>2400</v>
      </c>
      <c r="N739">
        <v>0</v>
      </c>
    </row>
    <row r="740" spans="1:14" x14ac:dyDescent="0.25">
      <c r="A740">
        <v>560.91022099999998</v>
      </c>
      <c r="B740" s="1">
        <f>DATE(2011,11,12) + TIME(21,50,43)</f>
        <v>40859.910219907404</v>
      </c>
      <c r="C740">
        <v>574.89385986000002</v>
      </c>
      <c r="D740">
        <v>101.32499695</v>
      </c>
      <c r="E740">
        <v>8299.984375</v>
      </c>
      <c r="F740">
        <v>6399.3452147999997</v>
      </c>
      <c r="G740">
        <v>80</v>
      </c>
      <c r="H740">
        <v>78.127159118999998</v>
      </c>
      <c r="I740">
        <v>50</v>
      </c>
      <c r="J740">
        <v>49.959438323999997</v>
      </c>
      <c r="K740">
        <v>0</v>
      </c>
      <c r="L740">
        <v>1064.4935303</v>
      </c>
      <c r="M740">
        <v>2400</v>
      </c>
      <c r="N740">
        <v>0</v>
      </c>
    </row>
    <row r="741" spans="1:14" x14ac:dyDescent="0.25">
      <c r="A741">
        <v>562.19386999999995</v>
      </c>
      <c r="B741" s="1">
        <f>DATE(2011,11,14) + TIME(4,39,10)</f>
        <v>40861.193865740737</v>
      </c>
      <c r="C741">
        <v>574.77838135000002</v>
      </c>
      <c r="D741">
        <v>101.32499695</v>
      </c>
      <c r="E741">
        <v>8295.0048827999999</v>
      </c>
      <c r="F741">
        <v>6393.265625</v>
      </c>
      <c r="G741">
        <v>80</v>
      </c>
      <c r="H741">
        <v>78.004646300999994</v>
      </c>
      <c r="I741">
        <v>50</v>
      </c>
      <c r="J741">
        <v>49.959800719999997</v>
      </c>
      <c r="K741">
        <v>0</v>
      </c>
      <c r="L741">
        <v>1063.9821777</v>
      </c>
      <c r="M741">
        <v>2400</v>
      </c>
      <c r="N741">
        <v>0</v>
      </c>
    </row>
    <row r="742" spans="1:14" x14ac:dyDescent="0.25">
      <c r="A742">
        <v>563.59391000000005</v>
      </c>
      <c r="B742" s="1">
        <f>DATE(2011,11,15) + TIME(14,15,13)</f>
        <v>40862.593900462962</v>
      </c>
      <c r="C742">
        <v>574.69970703000001</v>
      </c>
      <c r="D742">
        <v>101.32499695</v>
      </c>
      <c r="E742">
        <v>8289.5185547000001</v>
      </c>
      <c r="F742">
        <v>6386.7695311999996</v>
      </c>
      <c r="G742">
        <v>80</v>
      </c>
      <c r="H742">
        <v>77.873016356999997</v>
      </c>
      <c r="I742">
        <v>50</v>
      </c>
      <c r="J742">
        <v>49.960033416999998</v>
      </c>
      <c r="K742">
        <v>0</v>
      </c>
      <c r="L742">
        <v>1063.5098877</v>
      </c>
      <c r="M742">
        <v>2400</v>
      </c>
      <c r="N742">
        <v>0</v>
      </c>
    </row>
    <row r="743" spans="1:14" x14ac:dyDescent="0.25">
      <c r="A743">
        <v>565.12108499999999</v>
      </c>
      <c r="B743" s="1">
        <f>DATE(2011,11,17) + TIME(2,54,21)</f>
        <v>40864.121076388888</v>
      </c>
      <c r="C743">
        <v>574.61993408000001</v>
      </c>
      <c r="D743">
        <v>101.32499695</v>
      </c>
      <c r="E743">
        <v>8283.5683594000002</v>
      </c>
      <c r="F743">
        <v>6379.8759766000003</v>
      </c>
      <c r="G743">
        <v>80</v>
      </c>
      <c r="H743">
        <v>77.731246948000006</v>
      </c>
      <c r="I743">
        <v>50</v>
      </c>
      <c r="J743">
        <v>49.960205078000001</v>
      </c>
      <c r="K743">
        <v>0</v>
      </c>
      <c r="L743">
        <v>1063.0084228999999</v>
      </c>
      <c r="M743">
        <v>2400</v>
      </c>
      <c r="N743">
        <v>0</v>
      </c>
    </row>
    <row r="744" spans="1:14" x14ac:dyDescent="0.25">
      <c r="A744">
        <v>566.72420699999998</v>
      </c>
      <c r="B744" s="1">
        <f>DATE(2011,11,18) + TIME(17,22,51)</f>
        <v>40865.72420138889</v>
      </c>
      <c r="C744">
        <v>574.51184081999997</v>
      </c>
      <c r="D744">
        <v>101.32499695</v>
      </c>
      <c r="E744">
        <v>8277.2597655999998</v>
      </c>
      <c r="F744">
        <v>6372.6875</v>
      </c>
      <c r="G744">
        <v>80</v>
      </c>
      <c r="H744">
        <v>77.581687927000004</v>
      </c>
      <c r="I744">
        <v>50</v>
      </c>
      <c r="J744">
        <v>49.960334778000004</v>
      </c>
      <c r="K744">
        <v>0</v>
      </c>
      <c r="L744">
        <v>1062.4438477000001</v>
      </c>
      <c r="M744">
        <v>2400</v>
      </c>
      <c r="N744">
        <v>0</v>
      </c>
    </row>
    <row r="745" spans="1:14" x14ac:dyDescent="0.25">
      <c r="A745">
        <v>568.38775099999998</v>
      </c>
      <c r="B745" s="1">
        <f>DATE(2011,11,20) + TIME(9,18,21)</f>
        <v>40867.387743055559</v>
      </c>
      <c r="C745">
        <v>574.38751220999995</v>
      </c>
      <c r="D745">
        <v>101.32499695</v>
      </c>
      <c r="E745">
        <v>8270.8779297000001</v>
      </c>
      <c r="F745">
        <v>6365.5166016000003</v>
      </c>
      <c r="G745">
        <v>80</v>
      </c>
      <c r="H745">
        <v>77.425811768000003</v>
      </c>
      <c r="I745">
        <v>50</v>
      </c>
      <c r="J745">
        <v>49.960460662999999</v>
      </c>
      <c r="K745">
        <v>0</v>
      </c>
      <c r="L745">
        <v>1061.8273925999999</v>
      </c>
      <c r="M745">
        <v>2400</v>
      </c>
      <c r="N745">
        <v>0</v>
      </c>
    </row>
    <row r="746" spans="1:14" x14ac:dyDescent="0.25">
      <c r="A746">
        <v>570.17496800000004</v>
      </c>
      <c r="B746" s="1">
        <f>DATE(2011,11,22) + TIME(4,11,57)</f>
        <v>40869.17496527778</v>
      </c>
      <c r="C746">
        <v>574.26324463000003</v>
      </c>
      <c r="D746">
        <v>101.32499695</v>
      </c>
      <c r="E746">
        <v>8264.5097655999998</v>
      </c>
      <c r="F746">
        <v>6358.4448241999999</v>
      </c>
      <c r="G746">
        <v>80</v>
      </c>
      <c r="H746">
        <v>77.261116028000004</v>
      </c>
      <c r="I746">
        <v>50</v>
      </c>
      <c r="J746">
        <v>49.960597991999997</v>
      </c>
      <c r="K746">
        <v>0</v>
      </c>
      <c r="L746">
        <v>1061.1665039</v>
      </c>
      <c r="M746">
        <v>2400</v>
      </c>
      <c r="N746">
        <v>0</v>
      </c>
    </row>
    <row r="747" spans="1:14" x14ac:dyDescent="0.25">
      <c r="A747">
        <v>572.10480600000005</v>
      </c>
      <c r="B747" s="1">
        <f>DATE(2011,11,24) + TIME(2,30,55)</f>
        <v>40871.104803240742</v>
      </c>
      <c r="C747">
        <v>574.11938477000001</v>
      </c>
      <c r="D747">
        <v>101.32499695</v>
      </c>
      <c r="E747">
        <v>8257.9833983999997</v>
      </c>
      <c r="F747">
        <v>6351.2670897999997</v>
      </c>
      <c r="G747">
        <v>80</v>
      </c>
      <c r="H747">
        <v>77.086112975999995</v>
      </c>
      <c r="I747">
        <v>50</v>
      </c>
      <c r="J747">
        <v>49.960731506000002</v>
      </c>
      <c r="K747">
        <v>0</v>
      </c>
      <c r="L747">
        <v>1060.4373779</v>
      </c>
      <c r="M747">
        <v>2400</v>
      </c>
      <c r="N747">
        <v>0</v>
      </c>
    </row>
    <row r="748" spans="1:14" x14ac:dyDescent="0.25">
      <c r="A748">
        <v>574.145039</v>
      </c>
      <c r="B748" s="1">
        <f>DATE(2011,11,26) + TIME(3,28,51)</f>
        <v>40873.14503472222</v>
      </c>
      <c r="C748">
        <v>573.94683838000003</v>
      </c>
      <c r="D748">
        <v>101.32499695</v>
      </c>
      <c r="E748">
        <v>8251.2822266000003</v>
      </c>
      <c r="F748">
        <v>6343.9599608999997</v>
      </c>
      <c r="G748">
        <v>80</v>
      </c>
      <c r="H748">
        <v>76.901741028000004</v>
      </c>
      <c r="I748">
        <v>50</v>
      </c>
      <c r="J748">
        <v>49.960861205999997</v>
      </c>
      <c r="K748">
        <v>0</v>
      </c>
      <c r="L748">
        <v>1059.6336670000001</v>
      </c>
      <c r="M748">
        <v>2400</v>
      </c>
      <c r="N748">
        <v>0</v>
      </c>
    </row>
    <row r="749" spans="1:14" x14ac:dyDescent="0.25">
      <c r="A749">
        <v>576.25608499999998</v>
      </c>
      <c r="B749" s="1">
        <f>DATE(2011,11,28) + TIME(6,8,45)</f>
        <v>40875.256076388891</v>
      </c>
      <c r="C749">
        <v>573.75354003999996</v>
      </c>
      <c r="D749">
        <v>101.32499695</v>
      </c>
      <c r="E749">
        <v>8244.5400391000003</v>
      </c>
      <c r="F749">
        <v>6336.6660155999998</v>
      </c>
      <c r="G749">
        <v>80</v>
      </c>
      <c r="H749">
        <v>76.710258483999993</v>
      </c>
      <c r="I749">
        <v>50</v>
      </c>
      <c r="J749">
        <v>49.960983276</v>
      </c>
      <c r="K749">
        <v>0</v>
      </c>
      <c r="L749">
        <v>1058.7709961</v>
      </c>
      <c r="M749">
        <v>2400</v>
      </c>
      <c r="N749">
        <v>0</v>
      </c>
    </row>
    <row r="750" spans="1:14" x14ac:dyDescent="0.25">
      <c r="A750">
        <v>578.47606399999995</v>
      </c>
      <c r="B750" s="1">
        <f>DATE(2011,11,30) + TIME(11,25,31)</f>
        <v>40877.476053240738</v>
      </c>
      <c r="C750">
        <v>573.55975341999999</v>
      </c>
      <c r="D750">
        <v>101.32499695</v>
      </c>
      <c r="E750">
        <v>8237.8681641000003</v>
      </c>
      <c r="F750">
        <v>6329.5029297000001</v>
      </c>
      <c r="G750">
        <v>80</v>
      </c>
      <c r="H750">
        <v>76.511146545000003</v>
      </c>
      <c r="I750">
        <v>50</v>
      </c>
      <c r="J750">
        <v>49.961116791000002</v>
      </c>
      <c r="K750">
        <v>0</v>
      </c>
      <c r="L750">
        <v>1057.8681641000001</v>
      </c>
      <c r="M750">
        <v>2400</v>
      </c>
      <c r="N750">
        <v>0</v>
      </c>
    </row>
    <row r="751" spans="1:14" x14ac:dyDescent="0.25">
      <c r="A751">
        <v>579</v>
      </c>
      <c r="B751" s="1">
        <f>DATE(2011,12,1) + TIME(0,0,0)</f>
        <v>40878</v>
      </c>
      <c r="C751">
        <v>572.93255614999998</v>
      </c>
      <c r="D751">
        <v>101.32499695</v>
      </c>
      <c r="E751">
        <v>8232.7246094000002</v>
      </c>
      <c r="F751">
        <v>6323.9213866999999</v>
      </c>
      <c r="G751">
        <v>80</v>
      </c>
      <c r="H751">
        <v>76.434181213000002</v>
      </c>
      <c r="I751">
        <v>50</v>
      </c>
      <c r="J751">
        <v>49.960834503000001</v>
      </c>
      <c r="K751">
        <v>0</v>
      </c>
      <c r="L751">
        <v>1056.9741211</v>
      </c>
      <c r="M751">
        <v>2400</v>
      </c>
      <c r="N751">
        <v>0</v>
      </c>
    </row>
    <row r="752" spans="1:14" x14ac:dyDescent="0.25">
      <c r="A752">
        <v>581.38331700000003</v>
      </c>
      <c r="B752" s="1">
        <f>DATE(2011,12,3) + TIME(9,11,58)</f>
        <v>40880.383310185185</v>
      </c>
      <c r="C752">
        <v>573.34954833999996</v>
      </c>
      <c r="D752">
        <v>101.32499695</v>
      </c>
      <c r="E752">
        <v>8229.375</v>
      </c>
      <c r="F752">
        <v>6320.46875</v>
      </c>
      <c r="G752">
        <v>80</v>
      </c>
      <c r="H752">
        <v>76.239875792999996</v>
      </c>
      <c r="I752">
        <v>50</v>
      </c>
      <c r="J752">
        <v>49.961330414000003</v>
      </c>
      <c r="K752">
        <v>0</v>
      </c>
      <c r="L752">
        <v>1056.6679687999999</v>
      </c>
      <c r="M752">
        <v>2400</v>
      </c>
      <c r="N752">
        <v>0</v>
      </c>
    </row>
    <row r="753" spans="1:14" x14ac:dyDescent="0.25">
      <c r="A753">
        <v>583.81290200000001</v>
      </c>
      <c r="B753" s="1">
        <f>DATE(2011,12,5) + TIME(19,30,34)</f>
        <v>40882.812893518516</v>
      </c>
      <c r="C753">
        <v>573.09271239999998</v>
      </c>
      <c r="D753">
        <v>101.32499695</v>
      </c>
      <c r="E753">
        <v>8222.8486327999999</v>
      </c>
      <c r="F753">
        <v>6313.5419922000001</v>
      </c>
      <c r="G753">
        <v>80</v>
      </c>
      <c r="H753">
        <v>76.031974792</v>
      </c>
      <c r="I753">
        <v>50</v>
      </c>
      <c r="J753">
        <v>49.961433411000002</v>
      </c>
      <c r="K753">
        <v>0</v>
      </c>
      <c r="L753">
        <v>1055.6477050999999</v>
      </c>
      <c r="M753">
        <v>2400</v>
      </c>
      <c r="N753">
        <v>0</v>
      </c>
    </row>
    <row r="754" spans="1:14" x14ac:dyDescent="0.25">
      <c r="A754">
        <v>586.28818999999999</v>
      </c>
      <c r="B754" s="1">
        <f>DATE(2011,12,8) + TIME(6,54,59)</f>
        <v>40885.288182870368</v>
      </c>
      <c r="C754">
        <v>572.84069824000005</v>
      </c>
      <c r="D754">
        <v>101.32499695</v>
      </c>
      <c r="E754">
        <v>8216.2705077999999</v>
      </c>
      <c r="F754">
        <v>6306.6083983999997</v>
      </c>
      <c r="G754">
        <v>80</v>
      </c>
      <c r="H754">
        <v>75.816589355000005</v>
      </c>
      <c r="I754">
        <v>50</v>
      </c>
      <c r="J754">
        <v>49.961547852000002</v>
      </c>
      <c r="K754">
        <v>0</v>
      </c>
      <c r="L754">
        <v>1054.5839844</v>
      </c>
      <c r="M754">
        <v>2400</v>
      </c>
      <c r="N754">
        <v>0</v>
      </c>
    </row>
    <row r="755" spans="1:14" x14ac:dyDescent="0.25">
      <c r="A755">
        <v>588.81586900000002</v>
      </c>
      <c r="B755" s="1">
        <f>DATE(2011,12,10) + TIME(19,34,51)</f>
        <v>40887.815868055557</v>
      </c>
      <c r="C755">
        <v>572.59375</v>
      </c>
      <c r="D755">
        <v>101.32499695</v>
      </c>
      <c r="E755">
        <v>8209.8212891000003</v>
      </c>
      <c r="F755">
        <v>6299.8432616999999</v>
      </c>
      <c r="G755">
        <v>80</v>
      </c>
      <c r="H755">
        <v>75.596511840999995</v>
      </c>
      <c r="I755">
        <v>50</v>
      </c>
      <c r="J755">
        <v>49.961673736999998</v>
      </c>
      <c r="K755">
        <v>0</v>
      </c>
      <c r="L755">
        <v>1053.4940185999999</v>
      </c>
      <c r="M755">
        <v>2400</v>
      </c>
      <c r="N755">
        <v>0</v>
      </c>
    </row>
    <row r="756" spans="1:14" x14ac:dyDescent="0.25">
      <c r="A756">
        <v>591.36656600000003</v>
      </c>
      <c r="B756" s="1">
        <f>DATE(2011,12,13) + TIME(8,47,51)</f>
        <v>40890.366562499999</v>
      </c>
      <c r="C756">
        <v>572.34033203000001</v>
      </c>
      <c r="D756">
        <v>101.32499695</v>
      </c>
      <c r="E756">
        <v>8203.5048827999999</v>
      </c>
      <c r="F756">
        <v>6293.2446289</v>
      </c>
      <c r="G756">
        <v>80</v>
      </c>
      <c r="H756">
        <v>75.374298096000004</v>
      </c>
      <c r="I756">
        <v>50</v>
      </c>
      <c r="J756">
        <v>49.961799622000001</v>
      </c>
      <c r="K756">
        <v>0</v>
      </c>
      <c r="L756">
        <v>1052.3746338000001</v>
      </c>
      <c r="M756">
        <v>2400</v>
      </c>
      <c r="N756">
        <v>0</v>
      </c>
    </row>
    <row r="757" spans="1:14" x14ac:dyDescent="0.25">
      <c r="A757">
        <v>593.93645800000002</v>
      </c>
      <c r="B757" s="1">
        <f>DATE(2011,12,15) + TIME(22,28,30)</f>
        <v>40892.93645833333</v>
      </c>
      <c r="C757">
        <v>572.08703613</v>
      </c>
      <c r="D757">
        <v>101.32499695</v>
      </c>
      <c r="E757">
        <v>8197.3691405999998</v>
      </c>
      <c r="F757">
        <v>6286.859375</v>
      </c>
      <c r="G757">
        <v>80</v>
      </c>
      <c r="H757">
        <v>75.151542664000004</v>
      </c>
      <c r="I757">
        <v>50</v>
      </c>
      <c r="J757">
        <v>49.961929321</v>
      </c>
      <c r="K757">
        <v>0</v>
      </c>
      <c r="L757">
        <v>1051.2379149999999</v>
      </c>
      <c r="M757">
        <v>2400</v>
      </c>
      <c r="N757">
        <v>0</v>
      </c>
    </row>
    <row r="758" spans="1:14" x14ac:dyDescent="0.25">
      <c r="A758">
        <v>596.53299600000003</v>
      </c>
      <c r="B758" s="1">
        <f>DATE(2011,12,18) + TIME(12,47,30)</f>
        <v>40895.532986111109</v>
      </c>
      <c r="C758">
        <v>571.83447265999996</v>
      </c>
      <c r="D758">
        <v>101.32499695</v>
      </c>
      <c r="E758">
        <v>8191.4106444999998</v>
      </c>
      <c r="F758">
        <v>6280.6787108999997</v>
      </c>
      <c r="G758">
        <v>80</v>
      </c>
      <c r="H758">
        <v>74.928604125999996</v>
      </c>
      <c r="I758">
        <v>50</v>
      </c>
      <c r="J758">
        <v>49.962055206000002</v>
      </c>
      <c r="K758">
        <v>0</v>
      </c>
      <c r="L758">
        <v>1050.0853271000001</v>
      </c>
      <c r="M758">
        <v>2400</v>
      </c>
      <c r="N758">
        <v>0</v>
      </c>
    </row>
    <row r="759" spans="1:14" x14ac:dyDescent="0.25">
      <c r="A759">
        <v>599.16411300000004</v>
      </c>
      <c r="B759" s="1">
        <f>DATE(2011,12,21) + TIME(3,56,19)</f>
        <v>40898.1641087963</v>
      </c>
      <c r="C759">
        <v>571.58093262</v>
      </c>
      <c r="D759">
        <v>101.32499695</v>
      </c>
      <c r="E759">
        <v>8185.6010741999999</v>
      </c>
      <c r="F759">
        <v>6274.6699219000002</v>
      </c>
      <c r="G759">
        <v>80</v>
      </c>
      <c r="H759">
        <v>74.705192565999994</v>
      </c>
      <c r="I759">
        <v>50</v>
      </c>
      <c r="J759">
        <v>49.962181090999998</v>
      </c>
      <c r="K759">
        <v>0</v>
      </c>
      <c r="L759">
        <v>1048.9132079999999</v>
      </c>
      <c r="M759">
        <v>2400</v>
      </c>
      <c r="N759">
        <v>0</v>
      </c>
    </row>
    <row r="760" spans="1:14" x14ac:dyDescent="0.25">
      <c r="A760">
        <v>601.83743300000003</v>
      </c>
      <c r="B760" s="1">
        <f>DATE(2011,12,23) + TIME(20,5,54)</f>
        <v>40900.837430555555</v>
      </c>
      <c r="C760">
        <v>571.32464600000003</v>
      </c>
      <c r="D760">
        <v>101.32499695</v>
      </c>
      <c r="E760">
        <v>8179.9130858999997</v>
      </c>
      <c r="F760">
        <v>6268.8032227000003</v>
      </c>
      <c r="G760">
        <v>80</v>
      </c>
      <c r="H760">
        <v>74.481040954999997</v>
      </c>
      <c r="I760">
        <v>50</v>
      </c>
      <c r="J760">
        <v>49.962306976000001</v>
      </c>
      <c r="K760">
        <v>0</v>
      </c>
      <c r="L760">
        <v>1047.7171631000001</v>
      </c>
      <c r="M760">
        <v>2400</v>
      </c>
      <c r="N760">
        <v>0</v>
      </c>
    </row>
    <row r="761" spans="1:14" x14ac:dyDescent="0.25">
      <c r="A761">
        <v>604.55826500000001</v>
      </c>
      <c r="B761" s="1">
        <f>DATE(2011,12,26) + TIME(13,23,54)</f>
        <v>40903.558263888888</v>
      </c>
      <c r="C761">
        <v>571.06463623000002</v>
      </c>
      <c r="D761">
        <v>101.32499695</v>
      </c>
      <c r="E761">
        <v>8174.3247069999998</v>
      </c>
      <c r="F761">
        <v>6263.0517577999999</v>
      </c>
      <c r="G761">
        <v>80</v>
      </c>
      <c r="H761">
        <v>74.255706786999994</v>
      </c>
      <c r="I761">
        <v>50</v>
      </c>
      <c r="J761">
        <v>49.962432861000003</v>
      </c>
      <c r="K761">
        <v>0</v>
      </c>
      <c r="L761">
        <v>1046.4927978999999</v>
      </c>
      <c r="M761">
        <v>2400</v>
      </c>
      <c r="N761">
        <v>0</v>
      </c>
    </row>
    <row r="762" spans="1:14" x14ac:dyDescent="0.25">
      <c r="A762">
        <v>607.33479899999998</v>
      </c>
      <c r="B762" s="1">
        <f>DATE(2011,12,29) + TIME(8,2,6)</f>
        <v>40906.334791666668</v>
      </c>
      <c r="C762">
        <v>570.80126953000001</v>
      </c>
      <c r="D762">
        <v>101.32499695</v>
      </c>
      <c r="E762">
        <v>8168.8183594000002</v>
      </c>
      <c r="F762">
        <v>6257.3974608999997</v>
      </c>
      <c r="G762">
        <v>80</v>
      </c>
      <c r="H762">
        <v>74.028648376000007</v>
      </c>
      <c r="I762">
        <v>50</v>
      </c>
      <c r="J762">
        <v>49.962558745999999</v>
      </c>
      <c r="K762">
        <v>0</v>
      </c>
      <c r="L762">
        <v>1045.2363281</v>
      </c>
      <c r="M762">
        <v>2400</v>
      </c>
      <c r="N762">
        <v>0</v>
      </c>
    </row>
    <row r="763" spans="1:14" x14ac:dyDescent="0.25">
      <c r="A763">
        <v>610</v>
      </c>
      <c r="B763" s="1">
        <f>DATE(2012,1,1) + TIME(0,0,0)</f>
        <v>40909</v>
      </c>
      <c r="C763">
        <v>570.51007079999999</v>
      </c>
      <c r="D763">
        <v>101.32499695</v>
      </c>
      <c r="E763">
        <v>8163.4160155999998</v>
      </c>
      <c r="F763">
        <v>6251.859375</v>
      </c>
      <c r="G763">
        <v>80</v>
      </c>
      <c r="H763">
        <v>73.805877686000002</v>
      </c>
      <c r="I763">
        <v>50</v>
      </c>
      <c r="J763">
        <v>49.962665557999998</v>
      </c>
      <c r="K763">
        <v>0</v>
      </c>
      <c r="L763">
        <v>1043.9429932</v>
      </c>
      <c r="M763">
        <v>2400</v>
      </c>
      <c r="N763">
        <v>0</v>
      </c>
    </row>
    <row r="764" spans="1:14" x14ac:dyDescent="0.25">
      <c r="A764">
        <v>612.79997100000003</v>
      </c>
      <c r="B764" s="1">
        <f>DATE(2012,1,3) + TIME(19,11,57)</f>
        <v>40911.79996527778</v>
      </c>
      <c r="C764">
        <v>570.27752685999997</v>
      </c>
      <c r="D764">
        <v>101.32499695</v>
      </c>
      <c r="E764">
        <v>8158.2998047000001</v>
      </c>
      <c r="F764">
        <v>6246.6269530999998</v>
      </c>
      <c r="G764">
        <v>80</v>
      </c>
      <c r="H764">
        <v>73.581657410000005</v>
      </c>
      <c r="I764">
        <v>50</v>
      </c>
      <c r="J764">
        <v>49.962799072000003</v>
      </c>
      <c r="K764">
        <v>0</v>
      </c>
      <c r="L764">
        <v>1042.6868896000001</v>
      </c>
      <c r="M764">
        <v>2400</v>
      </c>
      <c r="N764">
        <v>0</v>
      </c>
    </row>
    <row r="765" spans="1:14" x14ac:dyDescent="0.25">
      <c r="A765">
        <v>615.64900899999998</v>
      </c>
      <c r="B765" s="1">
        <f>DATE(2012,1,6) + TIME(15,34,34)</f>
        <v>40914.649004629631</v>
      </c>
      <c r="C765">
        <v>570.01098633000004</v>
      </c>
      <c r="D765">
        <v>101.32499695</v>
      </c>
      <c r="E765">
        <v>8153.1416016000003</v>
      </c>
      <c r="F765">
        <v>6241.3574219000002</v>
      </c>
      <c r="G765">
        <v>80</v>
      </c>
      <c r="H765">
        <v>73.355247497999997</v>
      </c>
      <c r="I765">
        <v>50</v>
      </c>
      <c r="J765">
        <v>49.962921143000003</v>
      </c>
      <c r="K765">
        <v>0</v>
      </c>
      <c r="L765">
        <v>1041.3554687999999</v>
      </c>
      <c r="M765">
        <v>2400</v>
      </c>
      <c r="N765">
        <v>0</v>
      </c>
    </row>
    <row r="766" spans="1:14" x14ac:dyDescent="0.25">
      <c r="A766">
        <v>618.53596300000004</v>
      </c>
      <c r="B766" s="1">
        <f>DATE(2012,1,9) + TIME(12,51,47)</f>
        <v>40917.535960648151</v>
      </c>
      <c r="C766">
        <v>569.74255371000004</v>
      </c>
      <c r="D766">
        <v>101.32499695</v>
      </c>
      <c r="E766">
        <v>8148.0390625</v>
      </c>
      <c r="F766">
        <v>6236.1528319999998</v>
      </c>
      <c r="G766">
        <v>80</v>
      </c>
      <c r="H766">
        <v>73.127151488999999</v>
      </c>
      <c r="I766">
        <v>50</v>
      </c>
      <c r="J766">
        <v>49.963043212999999</v>
      </c>
      <c r="K766">
        <v>0</v>
      </c>
      <c r="L766">
        <v>1039.9841309000001</v>
      </c>
      <c r="M766">
        <v>2400</v>
      </c>
      <c r="N766">
        <v>0</v>
      </c>
    </row>
    <row r="767" spans="1:14" x14ac:dyDescent="0.25">
      <c r="A767">
        <v>621.46970199999998</v>
      </c>
      <c r="B767" s="1">
        <f>DATE(2012,1,12) + TIME(11,16,22)</f>
        <v>40920.469699074078</v>
      </c>
      <c r="C767">
        <v>569.47784423999997</v>
      </c>
      <c r="D767">
        <v>101.32499695</v>
      </c>
      <c r="E767">
        <v>8143.0112305000002</v>
      </c>
      <c r="F767">
        <v>6231.03125</v>
      </c>
      <c r="G767">
        <v>80</v>
      </c>
      <c r="H767">
        <v>72.897300720000004</v>
      </c>
      <c r="I767">
        <v>50</v>
      </c>
      <c r="J767">
        <v>49.963169098000002</v>
      </c>
      <c r="K767">
        <v>0</v>
      </c>
      <c r="L767">
        <v>1038.5765381000001</v>
      </c>
      <c r="M767">
        <v>2400</v>
      </c>
      <c r="N767">
        <v>0</v>
      </c>
    </row>
    <row r="768" spans="1:14" x14ac:dyDescent="0.25">
      <c r="A768">
        <v>624.45518600000003</v>
      </c>
      <c r="B768" s="1">
        <f>DATE(2012,1,15) + TIME(10,55,28)</f>
        <v>40923.455185185187</v>
      </c>
      <c r="C768">
        <v>569.21551513999998</v>
      </c>
      <c r="D768">
        <v>101.32499695</v>
      </c>
      <c r="E768">
        <v>8138.0458983999997</v>
      </c>
      <c r="F768">
        <v>6225.9794922000001</v>
      </c>
      <c r="G768">
        <v>80</v>
      </c>
      <c r="H768">
        <v>72.665382385000001</v>
      </c>
      <c r="I768">
        <v>50</v>
      </c>
      <c r="J768">
        <v>49.963291167999998</v>
      </c>
      <c r="K768">
        <v>0</v>
      </c>
      <c r="L768">
        <v>1037.1258545000001</v>
      </c>
      <c r="M768">
        <v>2400</v>
      </c>
      <c r="N768">
        <v>0</v>
      </c>
    </row>
    <row r="769" spans="1:14" x14ac:dyDescent="0.25">
      <c r="A769">
        <v>627.49169199999994</v>
      </c>
      <c r="B769" s="1">
        <f>DATE(2012,1,18) + TIME(11,48,2)</f>
        <v>40926.491689814815</v>
      </c>
      <c r="C769">
        <v>568.95544433999999</v>
      </c>
      <c r="D769">
        <v>101.32499695</v>
      </c>
      <c r="E769">
        <v>8133.1352539</v>
      </c>
      <c r="F769">
        <v>6220.9887694999998</v>
      </c>
      <c r="G769">
        <v>80</v>
      </c>
      <c r="H769">
        <v>72.431167603000006</v>
      </c>
      <c r="I769">
        <v>50</v>
      </c>
      <c r="J769">
        <v>49.963417053000001</v>
      </c>
      <c r="K769">
        <v>0</v>
      </c>
      <c r="L769">
        <v>1035.6270752</v>
      </c>
      <c r="M769">
        <v>2400</v>
      </c>
      <c r="N769">
        <v>0</v>
      </c>
    </row>
    <row r="770" spans="1:14" x14ac:dyDescent="0.25">
      <c r="A770">
        <v>630.54910900000004</v>
      </c>
      <c r="B770" s="1">
        <f>DATE(2012,1,21) + TIME(13,10,42)</f>
        <v>40929.549097222225</v>
      </c>
      <c r="C770">
        <v>568.69573975000003</v>
      </c>
      <c r="D770">
        <v>101.32499695</v>
      </c>
      <c r="E770">
        <v>8128.2846680000002</v>
      </c>
      <c r="F770">
        <v>6216.0644530999998</v>
      </c>
      <c r="G770">
        <v>80</v>
      </c>
      <c r="H770">
        <v>72.195495605000005</v>
      </c>
      <c r="I770">
        <v>50</v>
      </c>
      <c r="J770">
        <v>49.963539124</v>
      </c>
      <c r="K770">
        <v>0</v>
      </c>
      <c r="L770">
        <v>1034.0776367000001</v>
      </c>
      <c r="M770">
        <v>2400</v>
      </c>
      <c r="N770">
        <v>0</v>
      </c>
    </row>
    <row r="771" spans="1:14" x14ac:dyDescent="0.25">
      <c r="A771">
        <v>633.63222399999995</v>
      </c>
      <c r="B771" s="1">
        <f>DATE(2012,1,24) + TIME(15,10,24)</f>
        <v>40932.632222222222</v>
      </c>
      <c r="C771">
        <v>568.44750977000001</v>
      </c>
      <c r="D771">
        <v>101.32499695</v>
      </c>
      <c r="E771">
        <v>8123.5288086</v>
      </c>
      <c r="F771">
        <v>6211.2407227000003</v>
      </c>
      <c r="G771">
        <v>80</v>
      </c>
      <c r="H771">
        <v>71.958763122999997</v>
      </c>
      <c r="I771">
        <v>50</v>
      </c>
      <c r="J771">
        <v>49.963665009000003</v>
      </c>
      <c r="K771">
        <v>0</v>
      </c>
      <c r="L771">
        <v>1032.489624</v>
      </c>
      <c r="M771">
        <v>2400</v>
      </c>
      <c r="N771">
        <v>0</v>
      </c>
    </row>
    <row r="772" spans="1:14" x14ac:dyDescent="0.25">
      <c r="A772">
        <v>636.75184899999999</v>
      </c>
      <c r="B772" s="1">
        <f>DATE(2012,1,27) + TIME(18,2,39)</f>
        <v>40935.751840277779</v>
      </c>
      <c r="C772">
        <v>568.21136475000003</v>
      </c>
      <c r="D772">
        <v>101.32499695</v>
      </c>
      <c r="E772">
        <v>8118.8608397999997</v>
      </c>
      <c r="F772">
        <v>6206.5102539</v>
      </c>
      <c r="G772">
        <v>80</v>
      </c>
      <c r="H772">
        <v>71.720611571999996</v>
      </c>
      <c r="I772">
        <v>50</v>
      </c>
      <c r="J772">
        <v>49.963787078999999</v>
      </c>
      <c r="K772">
        <v>0</v>
      </c>
      <c r="L772">
        <v>1030.8583983999999</v>
      </c>
      <c r="M772">
        <v>2400</v>
      </c>
      <c r="N772">
        <v>0</v>
      </c>
    </row>
    <row r="773" spans="1:14" x14ac:dyDescent="0.25">
      <c r="A773">
        <v>639.91761399999996</v>
      </c>
      <c r="B773" s="1">
        <f>DATE(2012,1,30) + TIME(22,1,21)</f>
        <v>40938.917604166665</v>
      </c>
      <c r="C773">
        <v>567.98699951000003</v>
      </c>
      <c r="D773">
        <v>101.32499695</v>
      </c>
      <c r="E773">
        <v>8114.2641602000003</v>
      </c>
      <c r="F773">
        <v>6201.8564452999999</v>
      </c>
      <c r="G773">
        <v>80</v>
      </c>
      <c r="H773">
        <v>71.480354309000006</v>
      </c>
      <c r="I773">
        <v>50</v>
      </c>
      <c r="J773">
        <v>49.963912964000002</v>
      </c>
      <c r="K773">
        <v>0</v>
      </c>
      <c r="L773">
        <v>1029.1754149999999</v>
      </c>
      <c r="M773">
        <v>2400</v>
      </c>
      <c r="N773">
        <v>0</v>
      </c>
    </row>
    <row r="774" spans="1:14" x14ac:dyDescent="0.25">
      <c r="A774">
        <v>641</v>
      </c>
      <c r="B774" s="1">
        <f>DATE(2012,2,1) + TIME(0,0,0)</f>
        <v>40940</v>
      </c>
      <c r="C774">
        <v>567.30792236000002</v>
      </c>
      <c r="D774">
        <v>101.32499695</v>
      </c>
      <c r="E774">
        <v>8110.5766602000003</v>
      </c>
      <c r="F774">
        <v>6198.1127930000002</v>
      </c>
      <c r="G774">
        <v>80</v>
      </c>
      <c r="H774">
        <v>71.348922728999995</v>
      </c>
      <c r="I774">
        <v>50</v>
      </c>
      <c r="J774">
        <v>49.963829040999997</v>
      </c>
      <c r="K774">
        <v>0</v>
      </c>
      <c r="L774">
        <v>1027.447876</v>
      </c>
      <c r="M774">
        <v>2400</v>
      </c>
      <c r="N774">
        <v>0</v>
      </c>
    </row>
    <row r="775" spans="1:14" x14ac:dyDescent="0.25">
      <c r="A775">
        <v>644.21956799999998</v>
      </c>
      <c r="B775" s="1">
        <f>DATE(2012,2,4) + TIME(5,16,10)</f>
        <v>40943.219560185185</v>
      </c>
      <c r="C775">
        <v>567.79400635000002</v>
      </c>
      <c r="D775">
        <v>101.32499695</v>
      </c>
      <c r="E775">
        <v>8107.9667969000002</v>
      </c>
      <c r="F775">
        <v>6195.4892577999999</v>
      </c>
      <c r="G775">
        <v>80</v>
      </c>
      <c r="H775">
        <v>71.133255004999995</v>
      </c>
      <c r="I775">
        <v>50</v>
      </c>
      <c r="J775">
        <v>49.964107513000002</v>
      </c>
      <c r="K775">
        <v>0</v>
      </c>
      <c r="L775">
        <v>1026.8161620999999</v>
      </c>
      <c r="M775">
        <v>2400</v>
      </c>
      <c r="N775">
        <v>0</v>
      </c>
    </row>
    <row r="776" spans="1:14" x14ac:dyDescent="0.25">
      <c r="A776">
        <v>647.50891000000001</v>
      </c>
      <c r="B776" s="1">
        <f>DATE(2012,2,7) + TIME(12,12,49)</f>
        <v>40946.508900462963</v>
      </c>
      <c r="C776">
        <v>567.55523682</v>
      </c>
      <c r="D776">
        <v>101.32499695</v>
      </c>
      <c r="E776">
        <v>8103.7109375</v>
      </c>
      <c r="F776">
        <v>6191.1840819999998</v>
      </c>
      <c r="G776">
        <v>80</v>
      </c>
      <c r="H776">
        <v>70.898147582999997</v>
      </c>
      <c r="I776">
        <v>50</v>
      </c>
      <c r="J776">
        <v>49.96421814</v>
      </c>
      <c r="K776">
        <v>0</v>
      </c>
      <c r="L776">
        <v>1024.9997559000001</v>
      </c>
      <c r="M776">
        <v>2400</v>
      </c>
      <c r="N776">
        <v>0</v>
      </c>
    </row>
    <row r="777" spans="1:14" x14ac:dyDescent="0.25">
      <c r="A777">
        <v>650.82224799999995</v>
      </c>
      <c r="B777" s="1">
        <f>DATE(2012,2,10) + TIME(19,44,2)</f>
        <v>40949.822245370371</v>
      </c>
      <c r="C777">
        <v>567.3515625</v>
      </c>
      <c r="D777">
        <v>101.32499695</v>
      </c>
      <c r="E777">
        <v>8099.3208008000001</v>
      </c>
      <c r="F777">
        <v>6186.7485352000003</v>
      </c>
      <c r="G777">
        <v>80</v>
      </c>
      <c r="H777">
        <v>70.653045653999996</v>
      </c>
      <c r="I777">
        <v>50</v>
      </c>
      <c r="J777">
        <v>49.964332581000001</v>
      </c>
      <c r="K777">
        <v>0</v>
      </c>
      <c r="L777">
        <v>1023.0946044999999</v>
      </c>
      <c r="M777">
        <v>2400</v>
      </c>
      <c r="N777">
        <v>0</v>
      </c>
    </row>
    <row r="778" spans="1:14" x14ac:dyDescent="0.25">
      <c r="A778">
        <v>654.16579000000002</v>
      </c>
      <c r="B778" s="1">
        <f>DATE(2012,2,14) + TIME(3,58,44)</f>
        <v>40953.16578703704</v>
      </c>
      <c r="C778">
        <v>567.18579102000001</v>
      </c>
      <c r="D778">
        <v>101.32499695</v>
      </c>
      <c r="E778">
        <v>8094.9868164</v>
      </c>
      <c r="F778">
        <v>6182.3715819999998</v>
      </c>
      <c r="G778">
        <v>80</v>
      </c>
      <c r="H778">
        <v>70.402267456000004</v>
      </c>
      <c r="I778">
        <v>50</v>
      </c>
      <c r="J778">
        <v>49.964454650999997</v>
      </c>
      <c r="K778">
        <v>0</v>
      </c>
      <c r="L778">
        <v>1021.1309204</v>
      </c>
      <c r="M778">
        <v>2400</v>
      </c>
      <c r="N778">
        <v>0</v>
      </c>
    </row>
    <row r="779" spans="1:14" x14ac:dyDescent="0.25">
      <c r="A779">
        <v>657.55122700000004</v>
      </c>
      <c r="B779" s="1">
        <f>DATE(2012,2,17) + TIME(13,13,46)</f>
        <v>40956.551226851851</v>
      </c>
      <c r="C779">
        <v>567.05090331999997</v>
      </c>
      <c r="D779">
        <v>101.32499695</v>
      </c>
      <c r="E779">
        <v>8090.7231444999998</v>
      </c>
      <c r="F779">
        <v>6178.0688477000003</v>
      </c>
      <c r="G779">
        <v>80</v>
      </c>
      <c r="H779">
        <v>70.147033691000004</v>
      </c>
      <c r="I779">
        <v>50</v>
      </c>
      <c r="J779">
        <v>49.964580536</v>
      </c>
      <c r="K779">
        <v>0</v>
      </c>
      <c r="L779">
        <v>1019.102356</v>
      </c>
      <c r="M779">
        <v>2400</v>
      </c>
      <c r="N779">
        <v>0</v>
      </c>
    </row>
    <row r="780" spans="1:14" x14ac:dyDescent="0.25">
      <c r="A780">
        <v>660.989507</v>
      </c>
      <c r="B780" s="1">
        <f>DATE(2012,2,20) + TIME(23,44,53)</f>
        <v>40959.989502314813</v>
      </c>
      <c r="C780">
        <v>566.94439696999996</v>
      </c>
      <c r="D780">
        <v>101.32499695</v>
      </c>
      <c r="E780">
        <v>8086.5195311999996</v>
      </c>
      <c r="F780">
        <v>6173.8286133000001</v>
      </c>
      <c r="G780">
        <v>80</v>
      </c>
      <c r="H780">
        <v>69.887153624999996</v>
      </c>
      <c r="I780">
        <v>50</v>
      </c>
      <c r="J780">
        <v>49.964706421000002</v>
      </c>
      <c r="K780">
        <v>0</v>
      </c>
      <c r="L780">
        <v>1016.9993286</v>
      </c>
      <c r="M780">
        <v>2400</v>
      </c>
      <c r="N780">
        <v>0</v>
      </c>
    </row>
    <row r="781" spans="1:14" x14ac:dyDescent="0.25">
      <c r="A781">
        <v>664.48650699999996</v>
      </c>
      <c r="B781" s="1">
        <f>DATE(2012,2,24) + TIME(11,40,34)</f>
        <v>40963.486504629633</v>
      </c>
      <c r="C781">
        <v>566.86639404000005</v>
      </c>
      <c r="D781">
        <v>101.32499695</v>
      </c>
      <c r="E781">
        <v>8082.3642577999999</v>
      </c>
      <c r="F781">
        <v>6169.6386719000002</v>
      </c>
      <c r="G781">
        <v>80</v>
      </c>
      <c r="H781">
        <v>69.622024535999998</v>
      </c>
      <c r="I781">
        <v>50</v>
      </c>
      <c r="J781">
        <v>49.964832305999998</v>
      </c>
      <c r="K781">
        <v>0</v>
      </c>
      <c r="L781">
        <v>1014.8122559</v>
      </c>
      <c r="M781">
        <v>2400</v>
      </c>
      <c r="N781">
        <v>0</v>
      </c>
    </row>
    <row r="782" spans="1:14" x14ac:dyDescent="0.25">
      <c r="A782">
        <v>668.03342499999997</v>
      </c>
      <c r="B782" s="1">
        <f>DATE(2012,2,28) + TIME(0,48,7)</f>
        <v>40967.033414351848</v>
      </c>
      <c r="C782">
        <v>566.81658935999997</v>
      </c>
      <c r="D782">
        <v>101.32499695</v>
      </c>
      <c r="E782">
        <v>8078.2524414</v>
      </c>
      <c r="F782">
        <v>6165.4941405999998</v>
      </c>
      <c r="G782">
        <v>80</v>
      </c>
      <c r="H782">
        <v>69.351593018000003</v>
      </c>
      <c r="I782">
        <v>50</v>
      </c>
      <c r="J782">
        <v>49.964958191000001</v>
      </c>
      <c r="K782">
        <v>0</v>
      </c>
      <c r="L782">
        <v>1012.5343628000001</v>
      </c>
      <c r="M782">
        <v>2400</v>
      </c>
      <c r="N782">
        <v>0</v>
      </c>
    </row>
    <row r="783" spans="1:14" x14ac:dyDescent="0.25">
      <c r="A783">
        <v>670</v>
      </c>
      <c r="B783" s="1">
        <f>DATE(2012,3,1) + TIME(0,0,0)</f>
        <v>40969</v>
      </c>
      <c r="C783">
        <v>566.44848633000004</v>
      </c>
      <c r="D783">
        <v>101.32499695</v>
      </c>
      <c r="E783">
        <v>8074.5322266000003</v>
      </c>
      <c r="F783">
        <v>6161.7412108999997</v>
      </c>
      <c r="G783">
        <v>80</v>
      </c>
      <c r="H783">
        <v>69.146018982000001</v>
      </c>
      <c r="I783">
        <v>50</v>
      </c>
      <c r="J783">
        <v>49.964969635000003</v>
      </c>
      <c r="K783">
        <v>0</v>
      </c>
      <c r="L783">
        <v>1010.1674194</v>
      </c>
      <c r="M783">
        <v>2400</v>
      </c>
      <c r="N783">
        <v>0</v>
      </c>
    </row>
    <row r="784" spans="1:14" x14ac:dyDescent="0.25">
      <c r="A784">
        <v>673.57246599999996</v>
      </c>
      <c r="B784" s="1">
        <f>DATE(2012,3,4) + TIME(13,44,21)</f>
        <v>40972.572465277779</v>
      </c>
      <c r="C784">
        <v>566.91607666000004</v>
      </c>
      <c r="D784">
        <v>101.32499695</v>
      </c>
      <c r="E784">
        <v>8071.8271483999997</v>
      </c>
      <c r="F784">
        <v>6159.0229491999999</v>
      </c>
      <c r="G784">
        <v>80</v>
      </c>
      <c r="H784">
        <v>68.900428771999998</v>
      </c>
      <c r="I784">
        <v>50</v>
      </c>
      <c r="J784">
        <v>49.965175629000001</v>
      </c>
      <c r="K784">
        <v>0</v>
      </c>
      <c r="L784">
        <v>1008.8199463</v>
      </c>
      <c r="M784">
        <v>2400</v>
      </c>
      <c r="N784">
        <v>0</v>
      </c>
    </row>
    <row r="785" spans="1:14" x14ac:dyDescent="0.25">
      <c r="A785">
        <v>677.20766800000001</v>
      </c>
      <c r="B785" s="1">
        <f>DATE(2012,3,8) + TIME(4,59,2)</f>
        <v>40976.207662037035</v>
      </c>
      <c r="C785">
        <v>566.89514159999999</v>
      </c>
      <c r="D785">
        <v>101.32499695</v>
      </c>
      <c r="E785">
        <v>8068.0415039</v>
      </c>
      <c r="F785">
        <v>6155.2089844000002</v>
      </c>
      <c r="G785">
        <v>80</v>
      </c>
      <c r="H785">
        <v>68.631515503000003</v>
      </c>
      <c r="I785">
        <v>50</v>
      </c>
      <c r="J785">
        <v>49.965290070000002</v>
      </c>
      <c r="K785">
        <v>0</v>
      </c>
      <c r="L785">
        <v>1006.3546753000001</v>
      </c>
      <c r="M785">
        <v>2400</v>
      </c>
      <c r="N785">
        <v>0</v>
      </c>
    </row>
    <row r="786" spans="1:14" x14ac:dyDescent="0.25">
      <c r="A786">
        <v>680.89892399999997</v>
      </c>
      <c r="B786" s="1">
        <f>DATE(2012,3,11) + TIME(21,34,27)</f>
        <v>40979.898923611108</v>
      </c>
      <c r="C786">
        <v>566.94805908000001</v>
      </c>
      <c r="D786">
        <v>101.32499695</v>
      </c>
      <c r="E786">
        <v>8064.1743164</v>
      </c>
      <c r="F786">
        <v>6151.3154297000001</v>
      </c>
      <c r="G786">
        <v>80</v>
      </c>
      <c r="H786">
        <v>68.348945618000002</v>
      </c>
      <c r="I786">
        <v>50</v>
      </c>
      <c r="J786">
        <v>49.965412139999998</v>
      </c>
      <c r="K786">
        <v>0</v>
      </c>
      <c r="L786">
        <v>1003.7845459</v>
      </c>
      <c r="M786">
        <v>2400</v>
      </c>
      <c r="N786">
        <v>0</v>
      </c>
    </row>
    <row r="787" spans="1:14" x14ac:dyDescent="0.25">
      <c r="A787">
        <v>684.65172099999995</v>
      </c>
      <c r="B787" s="1">
        <f>DATE(2012,3,15) + TIME(15,38,28)</f>
        <v>40983.651712962965</v>
      </c>
      <c r="C787">
        <v>567.05828856999995</v>
      </c>
      <c r="D787">
        <v>101.32499695</v>
      </c>
      <c r="E787">
        <v>8060.3325194999998</v>
      </c>
      <c r="F787">
        <v>6147.4487305000002</v>
      </c>
      <c r="G787">
        <v>80</v>
      </c>
      <c r="H787">
        <v>68.056526184000006</v>
      </c>
      <c r="I787">
        <v>50</v>
      </c>
      <c r="J787">
        <v>49.965538025000001</v>
      </c>
      <c r="K787">
        <v>0</v>
      </c>
      <c r="L787">
        <v>1001.1163330000001</v>
      </c>
      <c r="M787">
        <v>2400</v>
      </c>
      <c r="N787">
        <v>0</v>
      </c>
    </row>
    <row r="788" spans="1:14" x14ac:dyDescent="0.25">
      <c r="A788">
        <v>688.45608100000004</v>
      </c>
      <c r="B788" s="1">
        <f>DATE(2012,3,19) + TIME(10,56,45)</f>
        <v>40987.456076388888</v>
      </c>
      <c r="C788">
        <v>567.21551513999998</v>
      </c>
      <c r="D788">
        <v>101.32499695</v>
      </c>
      <c r="E788">
        <v>8056.5278319999998</v>
      </c>
      <c r="F788">
        <v>6143.6201172000001</v>
      </c>
      <c r="G788">
        <v>80</v>
      </c>
      <c r="H788">
        <v>67.755950928000004</v>
      </c>
      <c r="I788">
        <v>50</v>
      </c>
      <c r="J788">
        <v>49.965663910000004</v>
      </c>
      <c r="K788">
        <v>0</v>
      </c>
      <c r="L788">
        <v>998.34484863</v>
      </c>
      <c r="M788">
        <v>2400</v>
      </c>
      <c r="N788">
        <v>0</v>
      </c>
    </row>
    <row r="789" spans="1:14" x14ac:dyDescent="0.25">
      <c r="A789">
        <v>692.28978400000005</v>
      </c>
      <c r="B789" s="1">
        <f>DATE(2012,3,23) + TIME(6,57,17)</f>
        <v>40991.289780092593</v>
      </c>
      <c r="C789">
        <v>567.41705321999996</v>
      </c>
      <c r="D789">
        <v>101.32499695</v>
      </c>
      <c r="E789">
        <v>8052.7719727000003</v>
      </c>
      <c r="F789">
        <v>6139.8413086</v>
      </c>
      <c r="G789">
        <v>80</v>
      </c>
      <c r="H789">
        <v>67.448631286999998</v>
      </c>
      <c r="I789">
        <v>50</v>
      </c>
      <c r="J789">
        <v>49.965789794999999</v>
      </c>
      <c r="K789">
        <v>0</v>
      </c>
      <c r="L789">
        <v>995.47692871000004</v>
      </c>
      <c r="M789">
        <v>2400</v>
      </c>
      <c r="N789">
        <v>0</v>
      </c>
    </row>
    <row r="790" spans="1:14" x14ac:dyDescent="0.25">
      <c r="A790">
        <v>696.16690600000004</v>
      </c>
      <c r="B790" s="1">
        <f>DATE(2012,3,27) + TIME(4,0,20)</f>
        <v>40995.166898148149</v>
      </c>
      <c r="C790">
        <v>567.67028808999999</v>
      </c>
      <c r="D790">
        <v>101.32499695</v>
      </c>
      <c r="E790">
        <v>8049.0805664</v>
      </c>
      <c r="F790">
        <v>6136.1289061999996</v>
      </c>
      <c r="G790">
        <v>80</v>
      </c>
      <c r="H790">
        <v>67.134925842000001</v>
      </c>
      <c r="I790">
        <v>50</v>
      </c>
      <c r="J790">
        <v>49.965919495000001</v>
      </c>
      <c r="K790">
        <v>0</v>
      </c>
      <c r="L790">
        <v>992.52941895000004</v>
      </c>
      <c r="M790">
        <v>2400</v>
      </c>
      <c r="N790">
        <v>0</v>
      </c>
    </row>
    <row r="791" spans="1:14" x14ac:dyDescent="0.25">
      <c r="A791">
        <v>700.100773</v>
      </c>
      <c r="B791" s="1">
        <f>DATE(2012,3,31) + TIME(2,25,6)</f>
        <v>40999.100763888891</v>
      </c>
      <c r="C791">
        <v>567.97363281000003</v>
      </c>
      <c r="D791">
        <v>101.32499695</v>
      </c>
      <c r="E791">
        <v>8045.4418944999998</v>
      </c>
      <c r="F791">
        <v>6132.4697266000003</v>
      </c>
      <c r="G791">
        <v>80</v>
      </c>
      <c r="H791">
        <v>66.814270019999995</v>
      </c>
      <c r="I791">
        <v>50</v>
      </c>
      <c r="J791">
        <v>49.966049194</v>
      </c>
      <c r="K791">
        <v>0</v>
      </c>
      <c r="L791">
        <v>989.49273682</v>
      </c>
      <c r="M791">
        <v>2400</v>
      </c>
      <c r="N791">
        <v>0</v>
      </c>
    </row>
    <row r="792" spans="1:14" x14ac:dyDescent="0.25">
      <c r="A792">
        <v>701</v>
      </c>
      <c r="B792" s="1">
        <f>DATE(2012,4,1) + TIME(0,0,0)</f>
        <v>41000</v>
      </c>
      <c r="C792">
        <v>567.20977783000001</v>
      </c>
      <c r="D792">
        <v>101.32499695</v>
      </c>
      <c r="E792">
        <v>8042.7978516000003</v>
      </c>
      <c r="F792">
        <v>6129.8037108999997</v>
      </c>
      <c r="G792">
        <v>80</v>
      </c>
      <c r="H792">
        <v>66.675140381000006</v>
      </c>
      <c r="I792">
        <v>50</v>
      </c>
      <c r="J792">
        <v>49.965957641999999</v>
      </c>
      <c r="K792">
        <v>0</v>
      </c>
      <c r="L792">
        <v>986.39245604999996</v>
      </c>
      <c r="M792">
        <v>2400</v>
      </c>
      <c r="N792">
        <v>0</v>
      </c>
    </row>
    <row r="793" spans="1:14" x14ac:dyDescent="0.25">
      <c r="A793">
        <v>704.99770799999999</v>
      </c>
      <c r="B793" s="1">
        <f>DATE(2012,4,4) + TIME(23,56,41)</f>
        <v>41003.997696759259</v>
      </c>
      <c r="C793">
        <v>568.56958008000004</v>
      </c>
      <c r="D793">
        <v>101.32499695</v>
      </c>
      <c r="E793">
        <v>8040.8320311999996</v>
      </c>
      <c r="F793">
        <v>6127.8374022999997</v>
      </c>
      <c r="G793">
        <v>80</v>
      </c>
      <c r="H793">
        <v>66.384628296000002</v>
      </c>
      <c r="I793">
        <v>50</v>
      </c>
      <c r="J793">
        <v>49.966220856</v>
      </c>
      <c r="K793">
        <v>0</v>
      </c>
      <c r="L793">
        <v>985.61755371000004</v>
      </c>
      <c r="M793">
        <v>2400</v>
      </c>
      <c r="N793">
        <v>0</v>
      </c>
    </row>
    <row r="794" spans="1:14" x14ac:dyDescent="0.25">
      <c r="A794">
        <v>709.05964600000004</v>
      </c>
      <c r="B794" s="1">
        <f>DATE(2012,4,9) + TIME(1,25,53)</f>
        <v>41008.059641203705</v>
      </c>
      <c r="C794">
        <v>568.88861083999996</v>
      </c>
      <c r="D794">
        <v>101.32499695</v>
      </c>
      <c r="E794">
        <v>8037.4638672000001</v>
      </c>
      <c r="F794">
        <v>6124.4501952999999</v>
      </c>
      <c r="G794">
        <v>80</v>
      </c>
      <c r="H794">
        <v>66.062530518000003</v>
      </c>
      <c r="I794">
        <v>50</v>
      </c>
      <c r="J794">
        <v>49.966339111000003</v>
      </c>
      <c r="K794">
        <v>0</v>
      </c>
      <c r="L794">
        <v>982.37719727000001</v>
      </c>
      <c r="M794">
        <v>2400</v>
      </c>
      <c r="N794">
        <v>0</v>
      </c>
    </row>
    <row r="795" spans="1:14" x14ac:dyDescent="0.25">
      <c r="A795">
        <v>713.15954899999997</v>
      </c>
      <c r="B795" s="1">
        <f>DATE(2012,4,13) + TIME(3,49,45)</f>
        <v>41012.159548611111</v>
      </c>
      <c r="C795">
        <v>569.31439208999996</v>
      </c>
      <c r="D795">
        <v>101.32499695</v>
      </c>
      <c r="E795">
        <v>8033.9697266000003</v>
      </c>
      <c r="F795">
        <v>6120.9379883000001</v>
      </c>
      <c r="G795">
        <v>80</v>
      </c>
      <c r="H795">
        <v>65.723571777000004</v>
      </c>
      <c r="I795">
        <v>50</v>
      </c>
      <c r="J795">
        <v>49.966464995999999</v>
      </c>
      <c r="K795">
        <v>0</v>
      </c>
      <c r="L795">
        <v>979.02789307</v>
      </c>
      <c r="M795">
        <v>2400</v>
      </c>
      <c r="N795">
        <v>0</v>
      </c>
    </row>
    <row r="796" spans="1:14" x14ac:dyDescent="0.25">
      <c r="A796">
        <v>717.31207300000005</v>
      </c>
      <c r="B796" s="1">
        <f>DATE(2012,4,17) + TIME(7,29,23)</f>
        <v>41016.312071759261</v>
      </c>
      <c r="C796">
        <v>569.81860352000001</v>
      </c>
      <c r="D796">
        <v>101.32499695</v>
      </c>
      <c r="E796">
        <v>8030.5004883000001</v>
      </c>
      <c r="F796">
        <v>6117.4521483999997</v>
      </c>
      <c r="G796">
        <v>80</v>
      </c>
      <c r="H796">
        <v>65.373626709000007</v>
      </c>
      <c r="I796">
        <v>50</v>
      </c>
      <c r="J796">
        <v>49.966590881000002</v>
      </c>
      <c r="K796">
        <v>0</v>
      </c>
      <c r="L796">
        <v>975.59869385000002</v>
      </c>
      <c r="M796">
        <v>2400</v>
      </c>
      <c r="N796">
        <v>0</v>
      </c>
    </row>
    <row r="797" spans="1:14" x14ac:dyDescent="0.25">
      <c r="A797">
        <v>721.53143299999999</v>
      </c>
      <c r="B797" s="1">
        <f>DATE(2012,4,21) + TIME(12,45,15)</f>
        <v>41020.531423611108</v>
      </c>
      <c r="C797">
        <v>570.38549805000002</v>
      </c>
      <c r="D797">
        <v>101.32499695</v>
      </c>
      <c r="E797">
        <v>8027.0664061999996</v>
      </c>
      <c r="F797">
        <v>6114.0014647999997</v>
      </c>
      <c r="G797">
        <v>80</v>
      </c>
      <c r="H797">
        <v>65.014259338000002</v>
      </c>
      <c r="I797">
        <v>50</v>
      </c>
      <c r="J797">
        <v>49.966720580999997</v>
      </c>
      <c r="K797">
        <v>0</v>
      </c>
      <c r="L797">
        <v>972.08160399999997</v>
      </c>
      <c r="M797">
        <v>2400</v>
      </c>
      <c r="N797">
        <v>0</v>
      </c>
    </row>
    <row r="798" spans="1:14" x14ac:dyDescent="0.25">
      <c r="A798">
        <v>725.81813099999999</v>
      </c>
      <c r="B798" s="1">
        <f>DATE(2012,4,25) + TIME(19,38,6)</f>
        <v>41024.818124999998</v>
      </c>
      <c r="C798">
        <v>571.00799560999997</v>
      </c>
      <c r="D798">
        <v>101.32499695</v>
      </c>
      <c r="E798">
        <v>8023.6538086</v>
      </c>
      <c r="F798">
        <v>6110.5732422000001</v>
      </c>
      <c r="G798">
        <v>80</v>
      </c>
      <c r="H798">
        <v>64.645942688000005</v>
      </c>
      <c r="I798">
        <v>50</v>
      </c>
      <c r="J798">
        <v>49.966850280999999</v>
      </c>
      <c r="K798">
        <v>0</v>
      </c>
      <c r="L798">
        <v>968.46807861000002</v>
      </c>
      <c r="M798">
        <v>2400</v>
      </c>
      <c r="N798">
        <v>0</v>
      </c>
    </row>
    <row r="799" spans="1:14" x14ac:dyDescent="0.25">
      <c r="A799">
        <v>730.14597600000002</v>
      </c>
      <c r="B799" s="1">
        <f>DATE(2012,4,30) + TIME(3,30,12)</f>
        <v>41029.145972222221</v>
      </c>
      <c r="C799">
        <v>571.68041991999996</v>
      </c>
      <c r="D799">
        <v>101.32499695</v>
      </c>
      <c r="E799">
        <v>8020.2636719000002</v>
      </c>
      <c r="F799">
        <v>6107.1679688000004</v>
      </c>
      <c r="G799">
        <v>80</v>
      </c>
      <c r="H799">
        <v>64.269645690999994</v>
      </c>
      <c r="I799">
        <v>50</v>
      </c>
      <c r="J799">
        <v>49.966976166000002</v>
      </c>
      <c r="K799">
        <v>0</v>
      </c>
      <c r="L799">
        <v>964.76043701000003</v>
      </c>
      <c r="M799">
        <v>2400</v>
      </c>
      <c r="N799">
        <v>0</v>
      </c>
    </row>
    <row r="800" spans="1:14" x14ac:dyDescent="0.25">
      <c r="A800">
        <v>731</v>
      </c>
      <c r="B800" s="1">
        <f>DATE(2012,5,1) + TIME(0,0,0)</f>
        <v>41030</v>
      </c>
      <c r="C800">
        <v>570.89276123000002</v>
      </c>
      <c r="D800">
        <v>101.32499695</v>
      </c>
      <c r="E800">
        <v>8017.9023438000004</v>
      </c>
      <c r="F800">
        <v>6104.7885741999999</v>
      </c>
      <c r="G800">
        <v>80</v>
      </c>
      <c r="H800">
        <v>64.120384216000005</v>
      </c>
      <c r="I800">
        <v>50</v>
      </c>
      <c r="J800">
        <v>49.966892242</v>
      </c>
      <c r="K800">
        <v>0</v>
      </c>
      <c r="L800">
        <v>961.07214354999996</v>
      </c>
      <c r="M800">
        <v>2400</v>
      </c>
      <c r="N800">
        <v>0</v>
      </c>
    </row>
    <row r="801" spans="1:14" x14ac:dyDescent="0.25">
      <c r="A801">
        <v>731.000001</v>
      </c>
      <c r="B801" s="1">
        <f>DATE(2012,5,1) + TIME(0,0,0)</f>
        <v>41030</v>
      </c>
      <c r="C801">
        <v>1845.1597899999999</v>
      </c>
      <c r="D801">
        <v>571.41101074000005</v>
      </c>
      <c r="E801">
        <v>6103.8784180000002</v>
      </c>
      <c r="F801">
        <v>4183.8300780999998</v>
      </c>
      <c r="G801">
        <v>80</v>
      </c>
      <c r="H801">
        <v>64.12046814</v>
      </c>
      <c r="I801">
        <v>50</v>
      </c>
      <c r="J801">
        <v>49.966770171999997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731.00000399999999</v>
      </c>
      <c r="B802" s="1">
        <f>DATE(2012,5,1) + TIME(0,0,0)</f>
        <v>41030</v>
      </c>
      <c r="C802">
        <v>1847.1010742000001</v>
      </c>
      <c r="D802">
        <v>572.96380614999998</v>
      </c>
      <c r="E802">
        <v>6101.1513672000001</v>
      </c>
      <c r="F802">
        <v>4181.0903319999998</v>
      </c>
      <c r="G802">
        <v>80</v>
      </c>
      <c r="H802">
        <v>64.120719910000005</v>
      </c>
      <c r="I802">
        <v>50</v>
      </c>
      <c r="J802">
        <v>49.966411591000004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731.00001299999997</v>
      </c>
      <c r="B803" s="1">
        <f>DATE(2012,5,1) + TIME(0,0,1)</f>
        <v>41030.000011574077</v>
      </c>
      <c r="C803">
        <v>1852.8929443</v>
      </c>
      <c r="D803">
        <v>577.60290526999995</v>
      </c>
      <c r="E803">
        <v>6093.0034180000002</v>
      </c>
      <c r="F803">
        <v>4172.9042969000002</v>
      </c>
      <c r="G803">
        <v>80</v>
      </c>
      <c r="H803">
        <v>64.121482849000003</v>
      </c>
      <c r="I803">
        <v>50</v>
      </c>
      <c r="J803">
        <v>49.965339661000002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731.00004000000001</v>
      </c>
      <c r="B804" s="1">
        <f>DATE(2012,5,1) + TIME(0,0,3)</f>
        <v>41030.000034722223</v>
      </c>
      <c r="C804">
        <v>1869.9887695</v>
      </c>
      <c r="D804">
        <v>591.34930420000001</v>
      </c>
      <c r="E804">
        <v>6068.8417969000002</v>
      </c>
      <c r="F804">
        <v>4148.6323241999999</v>
      </c>
      <c r="G804">
        <v>80</v>
      </c>
      <c r="H804">
        <v>64.123733521000005</v>
      </c>
      <c r="I804">
        <v>50</v>
      </c>
      <c r="J804">
        <v>49.962158203000001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731.00012100000004</v>
      </c>
      <c r="B805" s="1">
        <f>DATE(2012,5,1) + TIME(0,0,10)</f>
        <v>41030.000115740739</v>
      </c>
      <c r="C805">
        <v>1918.9139404</v>
      </c>
      <c r="D805">
        <v>631.11676024999997</v>
      </c>
      <c r="E805">
        <v>5998.8037108999997</v>
      </c>
      <c r="F805">
        <v>4078.2741698999998</v>
      </c>
      <c r="G805">
        <v>80</v>
      </c>
      <c r="H805">
        <v>64.130302428999997</v>
      </c>
      <c r="I805">
        <v>50</v>
      </c>
      <c r="J805">
        <v>49.952941895000002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731.00036399999999</v>
      </c>
      <c r="B806" s="1">
        <f>DATE(2012,5,1) + TIME(0,0,31)</f>
        <v>41030.000358796293</v>
      </c>
      <c r="C806">
        <v>2047.8353271000001</v>
      </c>
      <c r="D806">
        <v>738.73626708999996</v>
      </c>
      <c r="E806">
        <v>5808.0307616999999</v>
      </c>
      <c r="F806">
        <v>3886.6367187999999</v>
      </c>
      <c r="G806">
        <v>80</v>
      </c>
      <c r="H806">
        <v>64.148544311999999</v>
      </c>
      <c r="I806">
        <v>50</v>
      </c>
      <c r="J806">
        <v>49.927867888999998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731.00109299999997</v>
      </c>
      <c r="B807" s="1">
        <f>DATE(2012,5,1) + TIME(0,1,34)</f>
        <v>41030.001087962963</v>
      </c>
      <c r="C807">
        <v>2330.234375</v>
      </c>
      <c r="D807">
        <v>986.62451171999999</v>
      </c>
      <c r="E807">
        <v>5360.2543944999998</v>
      </c>
      <c r="F807">
        <v>3436.8925780999998</v>
      </c>
      <c r="G807">
        <v>80</v>
      </c>
      <c r="H807">
        <v>64.193763732999997</v>
      </c>
      <c r="I807">
        <v>50</v>
      </c>
      <c r="J807">
        <v>49.869224547999998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731.00271999999995</v>
      </c>
      <c r="B808" s="1">
        <f>DATE(2012,5,1) + TIME(0,3,55)</f>
        <v>41030.00271990741</v>
      </c>
      <c r="C808">
        <v>2708.4133301000002</v>
      </c>
      <c r="D808">
        <v>1337.3598632999999</v>
      </c>
      <c r="E808">
        <v>4704.0869141000003</v>
      </c>
      <c r="F808">
        <v>2778.0097655999998</v>
      </c>
      <c r="G808">
        <v>80</v>
      </c>
      <c r="H808">
        <v>64.268249511999997</v>
      </c>
      <c r="I808">
        <v>50</v>
      </c>
      <c r="J808">
        <v>49.783779144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731.00519999999995</v>
      </c>
      <c r="B809" s="1">
        <f>DATE(2012,5,1) + TIME(0,7,29)</f>
        <v>41030.005196759259</v>
      </c>
      <c r="C809">
        <v>3039.4387207</v>
      </c>
      <c r="D809">
        <v>1656.0960693</v>
      </c>
      <c r="E809">
        <v>4088.0810547000001</v>
      </c>
      <c r="F809">
        <v>2159.7189941000001</v>
      </c>
      <c r="G809">
        <v>80</v>
      </c>
      <c r="H809">
        <v>64.353210449000002</v>
      </c>
      <c r="I809">
        <v>50</v>
      </c>
      <c r="J809">
        <v>49.704181671000001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731.00922600000001</v>
      </c>
      <c r="B810" s="1">
        <f>DATE(2012,5,1) + TIME(0,13,17)</f>
        <v>41030.00922453704</v>
      </c>
      <c r="C810">
        <v>3341.2058105000001</v>
      </c>
      <c r="D810">
        <v>1952.7747803</v>
      </c>
      <c r="E810">
        <v>3503.3962402000002</v>
      </c>
      <c r="F810">
        <v>1573.0218506000001</v>
      </c>
      <c r="G810">
        <v>80</v>
      </c>
      <c r="H810">
        <v>64.461441039999997</v>
      </c>
      <c r="I810">
        <v>50</v>
      </c>
      <c r="J810">
        <v>49.629402161000002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731.01610900000003</v>
      </c>
      <c r="B811" s="1">
        <f>DATE(2012,5,1) + TIME(0,23,11)</f>
        <v>41030.016099537039</v>
      </c>
      <c r="C811">
        <v>3630.4267577999999</v>
      </c>
      <c r="D811">
        <v>2240.2871094000002</v>
      </c>
      <c r="E811">
        <v>2935.0654297000001</v>
      </c>
      <c r="F811">
        <v>1002.9130249</v>
      </c>
      <c r="G811">
        <v>80</v>
      </c>
      <c r="H811">
        <v>64.616180420000006</v>
      </c>
      <c r="I811">
        <v>50</v>
      </c>
      <c r="J811">
        <v>49.557804107999999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731.02821800000004</v>
      </c>
      <c r="B812" s="1">
        <f>DATE(2012,5,1) + TIME(0,40,38)</f>
        <v>41030.028217592589</v>
      </c>
      <c r="C812">
        <v>3917.3139648000001</v>
      </c>
      <c r="D812">
        <v>2527.9875487999998</v>
      </c>
      <c r="E812">
        <v>2370.3354491999999</v>
      </c>
      <c r="F812">
        <v>436.64715575999998</v>
      </c>
      <c r="G812">
        <v>80</v>
      </c>
      <c r="H812">
        <v>64.856277465999995</v>
      </c>
      <c r="I812">
        <v>50</v>
      </c>
      <c r="J812">
        <v>49.488311768000003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731.04965700000002</v>
      </c>
      <c r="B813" s="1">
        <f>DATE(2012,5,1) + TIME(1,11,30)</f>
        <v>41030.04965277778</v>
      </c>
      <c r="C813">
        <v>4205.2304688000004</v>
      </c>
      <c r="D813">
        <v>2819.5761719000002</v>
      </c>
      <c r="E813">
        <v>1804.2137451000001</v>
      </c>
      <c r="F813">
        <v>-130.71585082999999</v>
      </c>
      <c r="G813">
        <v>80</v>
      </c>
      <c r="H813">
        <v>65.243598938000005</v>
      </c>
      <c r="I813">
        <v>50</v>
      </c>
      <c r="J813">
        <v>49.421192169000001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731.08751900000004</v>
      </c>
      <c r="B814" s="1">
        <f>DATE(2012,5,1) + TIME(2,6,1)</f>
        <v>41030.087511574071</v>
      </c>
      <c r="C814">
        <v>4494.8500977000003</v>
      </c>
      <c r="D814">
        <v>3116.4675293</v>
      </c>
      <c r="E814">
        <v>1619.364624</v>
      </c>
      <c r="F814">
        <v>101.32499695</v>
      </c>
      <c r="G814">
        <v>80</v>
      </c>
      <c r="H814">
        <v>65.873550414999997</v>
      </c>
      <c r="I814">
        <v>50</v>
      </c>
      <c r="J814">
        <v>49.402442932</v>
      </c>
      <c r="K814">
        <v>2400</v>
      </c>
      <c r="L814">
        <v>0</v>
      </c>
      <c r="M814">
        <v>0</v>
      </c>
      <c r="N814">
        <v>2027.0505370999999</v>
      </c>
    </row>
    <row r="815" spans="1:14" x14ac:dyDescent="0.25">
      <c r="A815">
        <v>731.14532799999995</v>
      </c>
      <c r="B815" s="1">
        <f>DATE(2012,5,1) + TIME(3,29,16)</f>
        <v>41030.145324074074</v>
      </c>
      <c r="C815">
        <v>4759.7998047000001</v>
      </c>
      <c r="D815">
        <v>3391.9060058999999</v>
      </c>
      <c r="E815">
        <v>1426.7403564000001</v>
      </c>
      <c r="F815">
        <v>101.32499695</v>
      </c>
      <c r="G815">
        <v>80</v>
      </c>
      <c r="H815">
        <v>66.758079529</v>
      </c>
      <c r="I815">
        <v>50</v>
      </c>
      <c r="J815">
        <v>49.382724762000002</v>
      </c>
      <c r="K815">
        <v>2400</v>
      </c>
      <c r="L815">
        <v>0</v>
      </c>
      <c r="M815">
        <v>0</v>
      </c>
      <c r="N815">
        <v>1770.6121826000001</v>
      </c>
    </row>
    <row r="816" spans="1:14" x14ac:dyDescent="0.25">
      <c r="A816">
        <v>731.20841800000005</v>
      </c>
      <c r="B816" s="1">
        <f>DATE(2012,5,1) + TIME(5,0,7)</f>
        <v>41030.208414351851</v>
      </c>
      <c r="C816">
        <v>4956.2626952999999</v>
      </c>
      <c r="D816">
        <v>3598.7924804999998</v>
      </c>
      <c r="E816">
        <v>1295.9997559000001</v>
      </c>
      <c r="F816">
        <v>101.32499695</v>
      </c>
      <c r="G816">
        <v>80</v>
      </c>
      <c r="H816">
        <v>67.651802063000005</v>
      </c>
      <c r="I816">
        <v>50</v>
      </c>
      <c r="J816">
        <v>49.369293212999999</v>
      </c>
      <c r="K816">
        <v>2400</v>
      </c>
      <c r="L816">
        <v>0</v>
      </c>
      <c r="M816">
        <v>0</v>
      </c>
      <c r="N816">
        <v>1603.5579834</v>
      </c>
    </row>
    <row r="817" spans="1:14" x14ac:dyDescent="0.25">
      <c r="A817">
        <v>731.27668000000006</v>
      </c>
      <c r="B817" s="1">
        <f>DATE(2012,5,1) + TIME(6,38,25)</f>
        <v>41030.276678240742</v>
      </c>
      <c r="C817">
        <v>5112.5029297000001</v>
      </c>
      <c r="D817">
        <v>3765.2053222999998</v>
      </c>
      <c r="E817">
        <v>1199.6610106999999</v>
      </c>
      <c r="F817">
        <v>101.32499695</v>
      </c>
      <c r="G817">
        <v>80</v>
      </c>
      <c r="H817">
        <v>68.546760559000006</v>
      </c>
      <c r="I817">
        <v>50</v>
      </c>
      <c r="J817">
        <v>49.359142302999999</v>
      </c>
      <c r="K817">
        <v>2400</v>
      </c>
      <c r="L817">
        <v>0</v>
      </c>
      <c r="M817">
        <v>0</v>
      </c>
      <c r="N817">
        <v>1481.8979492000001</v>
      </c>
    </row>
    <row r="818" spans="1:14" x14ac:dyDescent="0.25">
      <c r="A818">
        <v>731.35048800000004</v>
      </c>
      <c r="B818" s="1">
        <f>DATE(2012,5,1) + TIME(8,24,42)</f>
        <v>41030.350486111114</v>
      </c>
      <c r="C818">
        <v>5242.8842772999997</v>
      </c>
      <c r="D818">
        <v>3905.4626465000001</v>
      </c>
      <c r="E818">
        <v>1123.8305664</v>
      </c>
      <c r="F818">
        <v>101.32499695</v>
      </c>
      <c r="G818">
        <v>80</v>
      </c>
      <c r="H818">
        <v>69.439231872999997</v>
      </c>
      <c r="I818">
        <v>50</v>
      </c>
      <c r="J818">
        <v>49.350761413999997</v>
      </c>
      <c r="K818">
        <v>2400</v>
      </c>
      <c r="L818">
        <v>0</v>
      </c>
      <c r="M818">
        <v>0</v>
      </c>
      <c r="N818">
        <v>1386.6884766000001</v>
      </c>
    </row>
    <row r="819" spans="1:14" x14ac:dyDescent="0.25">
      <c r="A819">
        <v>731.43052399999999</v>
      </c>
      <c r="B819" s="1">
        <f>DATE(2012,5,1) + TIME(10,19,57)</f>
        <v>41030.430520833332</v>
      </c>
      <c r="C819">
        <v>5355.4545897999997</v>
      </c>
      <c r="D819">
        <v>4027.5949707</v>
      </c>
      <c r="E819">
        <v>1061.2739257999999</v>
      </c>
      <c r="F819">
        <v>101.32499695</v>
      </c>
      <c r="G819">
        <v>80</v>
      </c>
      <c r="H819">
        <v>70.326721191000004</v>
      </c>
      <c r="I819">
        <v>50</v>
      </c>
      <c r="J819">
        <v>49.343364716000004</v>
      </c>
      <c r="K819">
        <v>2400</v>
      </c>
      <c r="L819">
        <v>0</v>
      </c>
      <c r="M819">
        <v>0</v>
      </c>
      <c r="N819">
        <v>1308.4187012</v>
      </c>
    </row>
    <row r="820" spans="1:14" x14ac:dyDescent="0.25">
      <c r="A820">
        <v>731.51774899999998</v>
      </c>
      <c r="B820" s="1">
        <f>DATE(2012,5,1) + TIME(12,25,33)</f>
        <v>41030.517743055556</v>
      </c>
      <c r="C820">
        <v>5455.1870116999999</v>
      </c>
      <c r="D820">
        <v>4136.5678711</v>
      </c>
      <c r="E820">
        <v>1007.8677979</v>
      </c>
      <c r="F820">
        <v>101.32499695</v>
      </c>
      <c r="G820">
        <v>80</v>
      </c>
      <c r="H820">
        <v>71.207313537999994</v>
      </c>
      <c r="I820">
        <v>50</v>
      </c>
      <c r="J820">
        <v>49.336498259999999</v>
      </c>
      <c r="K820">
        <v>2400</v>
      </c>
      <c r="L820">
        <v>0</v>
      </c>
      <c r="M820">
        <v>0</v>
      </c>
      <c r="N820">
        <v>1241.7509766000001</v>
      </c>
    </row>
    <row r="821" spans="1:14" x14ac:dyDescent="0.25">
      <c r="A821">
        <v>731.61351999999999</v>
      </c>
      <c r="B821" s="1">
        <f>DATE(2012,5,1) + TIME(14,43,28)</f>
        <v>41030.613518518519</v>
      </c>
      <c r="C821">
        <v>5545.4995116999999</v>
      </c>
      <c r="D821">
        <v>4235.8037108999997</v>
      </c>
      <c r="E821">
        <v>961.03637694999998</v>
      </c>
      <c r="F821">
        <v>101.32499695</v>
      </c>
      <c r="G821">
        <v>80</v>
      </c>
      <c r="H821">
        <v>72.080307007000002</v>
      </c>
      <c r="I821">
        <v>50</v>
      </c>
      <c r="J821">
        <v>49.329849242999998</v>
      </c>
      <c r="K821">
        <v>2400</v>
      </c>
      <c r="L821">
        <v>0</v>
      </c>
      <c r="M821">
        <v>0</v>
      </c>
      <c r="N821">
        <v>1183.3824463000001</v>
      </c>
    </row>
    <row r="822" spans="1:14" x14ac:dyDescent="0.25">
      <c r="A822">
        <v>731.71951200000001</v>
      </c>
      <c r="B822" s="1">
        <f>DATE(2012,5,1) + TIME(17,16,5)</f>
        <v>41030.719502314816</v>
      </c>
      <c r="C822">
        <v>5628.8066405999998</v>
      </c>
      <c r="D822">
        <v>4327.7016602000003</v>
      </c>
      <c r="E822">
        <v>919.13073729999996</v>
      </c>
      <c r="F822">
        <v>101.32499695</v>
      </c>
      <c r="G822">
        <v>80</v>
      </c>
      <c r="H822">
        <v>72.943450928000004</v>
      </c>
      <c r="I822">
        <v>50</v>
      </c>
      <c r="J822">
        <v>49.323200225999997</v>
      </c>
      <c r="K822">
        <v>2400</v>
      </c>
      <c r="L822">
        <v>0</v>
      </c>
      <c r="M822">
        <v>0</v>
      </c>
      <c r="N822">
        <v>1131.2108154</v>
      </c>
    </row>
    <row r="823" spans="1:14" x14ac:dyDescent="0.25">
      <c r="A823">
        <v>731.83804299999997</v>
      </c>
      <c r="B823" s="1">
        <f>DATE(2012,5,1) + TIME(20,6,46)</f>
        <v>41030.83803240741</v>
      </c>
      <c r="C823">
        <v>5707.0356444999998</v>
      </c>
      <c r="D823">
        <v>4414.1738280999998</v>
      </c>
      <c r="E823">
        <v>880.99584961000005</v>
      </c>
      <c r="F823">
        <v>101.32499695</v>
      </c>
      <c r="G823">
        <v>80</v>
      </c>
      <c r="H823">
        <v>73.794540405000006</v>
      </c>
      <c r="I823">
        <v>50</v>
      </c>
      <c r="J823">
        <v>49.316345214999998</v>
      </c>
      <c r="K823">
        <v>2400</v>
      </c>
      <c r="L823">
        <v>0</v>
      </c>
      <c r="M823">
        <v>0</v>
      </c>
      <c r="N823">
        <v>1083.7713623</v>
      </c>
    </row>
    <row r="824" spans="1:14" x14ac:dyDescent="0.25">
      <c r="A824">
        <v>731.97232399999996</v>
      </c>
      <c r="B824" s="1">
        <f>DATE(2012,5,1) + TIME(23,20,8)</f>
        <v>41030.972314814811</v>
      </c>
      <c r="C824">
        <v>5781.8022461</v>
      </c>
      <c r="D824">
        <v>4496.8139647999997</v>
      </c>
      <c r="E824">
        <v>845.80346680000002</v>
      </c>
      <c r="F824">
        <v>101.32499695</v>
      </c>
      <c r="G824">
        <v>80</v>
      </c>
      <c r="H824">
        <v>74.630874633999994</v>
      </c>
      <c r="I824">
        <v>50</v>
      </c>
      <c r="J824">
        <v>49.309093474999997</v>
      </c>
      <c r="K824">
        <v>2400</v>
      </c>
      <c r="L824">
        <v>0</v>
      </c>
      <c r="M824">
        <v>0</v>
      </c>
      <c r="N824">
        <v>1040.0170897999999</v>
      </c>
    </row>
    <row r="825" spans="1:14" x14ac:dyDescent="0.25">
      <c r="A825">
        <v>732.12693400000001</v>
      </c>
      <c r="B825" s="1">
        <f>DATE(2012,5,2) + TIME(3,2,47)</f>
        <v>41031.126932870371</v>
      </c>
      <c r="C825">
        <v>5854.5566405999998</v>
      </c>
      <c r="D825">
        <v>4577.0371094000002</v>
      </c>
      <c r="E825">
        <v>812.94573975000003</v>
      </c>
      <c r="F825">
        <v>101.32499695</v>
      </c>
      <c r="G825">
        <v>80</v>
      </c>
      <c r="H825">
        <v>75.448539733999993</v>
      </c>
      <c r="I825">
        <v>50</v>
      </c>
      <c r="J825">
        <v>49.301212311</v>
      </c>
      <c r="K825">
        <v>2400</v>
      </c>
      <c r="L825">
        <v>0</v>
      </c>
      <c r="M825">
        <v>0</v>
      </c>
      <c r="N825">
        <v>999.18200683999999</v>
      </c>
    </row>
    <row r="826" spans="1:14" x14ac:dyDescent="0.25">
      <c r="A826">
        <v>732.30871400000001</v>
      </c>
      <c r="B826" s="1">
        <f>DATE(2012,5,2) + TIME(7,24,32)</f>
        <v>41031.308703703704</v>
      </c>
      <c r="C826">
        <v>5926.7167969000002</v>
      </c>
      <c r="D826">
        <v>4656.2119141000003</v>
      </c>
      <c r="E826">
        <v>781.97155762</v>
      </c>
      <c r="F826">
        <v>101.32499695</v>
      </c>
      <c r="G826">
        <v>80</v>
      </c>
      <c r="H826">
        <v>76.242851256999998</v>
      </c>
      <c r="I826">
        <v>50</v>
      </c>
      <c r="J826">
        <v>49.292411803999997</v>
      </c>
      <c r="K826">
        <v>2400</v>
      </c>
      <c r="L826">
        <v>0</v>
      </c>
      <c r="M826">
        <v>0</v>
      </c>
      <c r="N826">
        <v>960.69860840000001</v>
      </c>
    </row>
    <row r="827" spans="1:14" x14ac:dyDescent="0.25">
      <c r="A827">
        <v>732.41693299999997</v>
      </c>
      <c r="B827" s="1">
        <f>DATE(2012,5,2) + TIME(10,0,23)</f>
        <v>41031.416932870372</v>
      </c>
      <c r="C827">
        <v>5964.8110352000003</v>
      </c>
      <c r="D827">
        <v>4697.6367188000004</v>
      </c>
      <c r="E827">
        <v>765.74255371000004</v>
      </c>
      <c r="F827">
        <v>101.32499695</v>
      </c>
      <c r="G827">
        <v>80</v>
      </c>
      <c r="H827">
        <v>76.662887573000006</v>
      </c>
      <c r="I827">
        <v>50</v>
      </c>
      <c r="J827">
        <v>49.287002563000001</v>
      </c>
      <c r="K827">
        <v>2400</v>
      </c>
      <c r="L827">
        <v>0</v>
      </c>
      <c r="M827">
        <v>0</v>
      </c>
      <c r="N827">
        <v>940.55633545000001</v>
      </c>
    </row>
    <row r="828" spans="1:14" x14ac:dyDescent="0.25">
      <c r="A828">
        <v>732.63337300000001</v>
      </c>
      <c r="B828" s="1">
        <f>DATE(2012,5,2) + TIME(15,12,3)</f>
        <v>41031.633368055554</v>
      </c>
      <c r="C828">
        <v>6031.6918944999998</v>
      </c>
      <c r="D828">
        <v>4770.3061522999997</v>
      </c>
      <c r="E828">
        <v>740.04077147999999</v>
      </c>
      <c r="F828">
        <v>101.32499695</v>
      </c>
      <c r="G828">
        <v>80</v>
      </c>
      <c r="H828">
        <v>77.333732604999994</v>
      </c>
      <c r="I828">
        <v>50</v>
      </c>
      <c r="J828">
        <v>49.277107239000003</v>
      </c>
      <c r="K828">
        <v>2400</v>
      </c>
      <c r="L828">
        <v>0</v>
      </c>
      <c r="M828">
        <v>0</v>
      </c>
      <c r="N828">
        <v>908.61492920000001</v>
      </c>
    </row>
    <row r="829" spans="1:14" x14ac:dyDescent="0.25">
      <c r="A829">
        <v>732.85029699999996</v>
      </c>
      <c r="B829" s="1">
        <f>DATE(2012,5,2) + TIME(20,24,25)</f>
        <v>41031.850289351853</v>
      </c>
      <c r="C829">
        <v>6088.4726561999996</v>
      </c>
      <c r="D829">
        <v>4831.1992188000004</v>
      </c>
      <c r="E829">
        <v>719.31958008000004</v>
      </c>
      <c r="F829">
        <v>101.32499695</v>
      </c>
      <c r="G829">
        <v>80</v>
      </c>
      <c r="H829">
        <v>77.869461060000006</v>
      </c>
      <c r="I829">
        <v>50</v>
      </c>
      <c r="J829">
        <v>49.267311096</v>
      </c>
      <c r="K829">
        <v>2400</v>
      </c>
      <c r="L829">
        <v>0</v>
      </c>
      <c r="M829">
        <v>0</v>
      </c>
      <c r="N829">
        <v>882.88586425999995</v>
      </c>
    </row>
    <row r="830" spans="1:14" x14ac:dyDescent="0.25">
      <c r="A830">
        <v>733.07326</v>
      </c>
      <c r="B830" s="1">
        <f>DATE(2012,5,3) + TIME(1,45,29)</f>
        <v>41032.073252314818</v>
      </c>
      <c r="C830">
        <v>6139.0502930000002</v>
      </c>
      <c r="D830">
        <v>4884.9340819999998</v>
      </c>
      <c r="E830">
        <v>702.1875</v>
      </c>
      <c r="F830">
        <v>101.32499695</v>
      </c>
      <c r="G830">
        <v>80</v>
      </c>
      <c r="H830">
        <v>78.305397033999995</v>
      </c>
      <c r="I830">
        <v>50</v>
      </c>
      <c r="J830">
        <v>49.257373809999997</v>
      </c>
      <c r="K830">
        <v>2400</v>
      </c>
      <c r="L830">
        <v>0</v>
      </c>
      <c r="M830">
        <v>0</v>
      </c>
      <c r="N830">
        <v>861.61370850000003</v>
      </c>
    </row>
    <row r="831" spans="1:14" x14ac:dyDescent="0.25">
      <c r="A831">
        <v>733.30425300000002</v>
      </c>
      <c r="B831" s="1">
        <f>DATE(2012,5,3) + TIME(7,18,7)</f>
        <v>41032.304247685184</v>
      </c>
      <c r="C831">
        <v>6184.6640625</v>
      </c>
      <c r="D831">
        <v>4932.9345702999999</v>
      </c>
      <c r="E831">
        <v>687.94769286999997</v>
      </c>
      <c r="F831">
        <v>101.32499695</v>
      </c>
      <c r="G831">
        <v>80</v>
      </c>
      <c r="H831">
        <v>78.659957886000001</v>
      </c>
      <c r="I831">
        <v>50</v>
      </c>
      <c r="J831">
        <v>49.247188567999999</v>
      </c>
      <c r="K831">
        <v>2400</v>
      </c>
      <c r="L831">
        <v>0</v>
      </c>
      <c r="M831">
        <v>0</v>
      </c>
      <c r="N831">
        <v>843.93286133000004</v>
      </c>
    </row>
    <row r="832" spans="1:14" x14ac:dyDescent="0.25">
      <c r="A832">
        <v>733.54571399999998</v>
      </c>
      <c r="B832" s="1">
        <f>DATE(2012,5,3) + TIME(13,5,49)</f>
        <v>41032.545706018522</v>
      </c>
      <c r="C832">
        <v>6226.2309569999998</v>
      </c>
      <c r="D832">
        <v>4976.2661133000001</v>
      </c>
      <c r="E832">
        <v>676.09051513999998</v>
      </c>
      <c r="F832">
        <v>101.32499695</v>
      </c>
      <c r="G832">
        <v>80</v>
      </c>
      <c r="H832">
        <v>78.947883606000005</v>
      </c>
      <c r="I832">
        <v>50</v>
      </c>
      <c r="J832">
        <v>49.236648559999999</v>
      </c>
      <c r="K832">
        <v>2400</v>
      </c>
      <c r="L832">
        <v>0</v>
      </c>
      <c r="M832">
        <v>0</v>
      </c>
      <c r="N832">
        <v>829.21051024999997</v>
      </c>
    </row>
    <row r="833" spans="1:14" x14ac:dyDescent="0.25">
      <c r="A833">
        <v>733.80030599999998</v>
      </c>
      <c r="B833" s="1">
        <f>DATE(2012,5,3) + TIME(19,12,26)</f>
        <v>41032.800300925926</v>
      </c>
      <c r="C833">
        <v>6264.3940430000002</v>
      </c>
      <c r="D833">
        <v>5015.6835938000004</v>
      </c>
      <c r="E833">
        <v>666.25018310999997</v>
      </c>
      <c r="F833">
        <v>101.32499695</v>
      </c>
      <c r="G833">
        <v>80</v>
      </c>
      <c r="H833">
        <v>79.180717467999997</v>
      </c>
      <c r="I833">
        <v>50</v>
      </c>
      <c r="J833">
        <v>49.225631714000002</v>
      </c>
      <c r="K833">
        <v>2400</v>
      </c>
      <c r="L833">
        <v>0</v>
      </c>
      <c r="M833">
        <v>0</v>
      </c>
      <c r="N833">
        <v>816.99230956999997</v>
      </c>
    </row>
    <row r="834" spans="1:14" x14ac:dyDescent="0.25">
      <c r="A834">
        <v>734.07111599999996</v>
      </c>
      <c r="B834" s="1">
        <f>DATE(2012,5,4) + TIME(1,42,24)</f>
        <v>41033.071111111109</v>
      </c>
      <c r="C834">
        <v>6299.6191405999998</v>
      </c>
      <c r="D834">
        <v>5051.7421875</v>
      </c>
      <c r="E834">
        <v>658.15509033000001</v>
      </c>
      <c r="F834">
        <v>101.32499695</v>
      </c>
      <c r="G834">
        <v>80</v>
      </c>
      <c r="H834">
        <v>79.367767334000007</v>
      </c>
      <c r="I834">
        <v>50</v>
      </c>
      <c r="J834">
        <v>49.214004516999999</v>
      </c>
      <c r="K834">
        <v>2400</v>
      </c>
      <c r="L834">
        <v>0</v>
      </c>
      <c r="M834">
        <v>0</v>
      </c>
      <c r="N834">
        <v>806.94061279000005</v>
      </c>
    </row>
    <row r="835" spans="1:14" x14ac:dyDescent="0.25">
      <c r="A835">
        <v>734.36199299999998</v>
      </c>
      <c r="B835" s="1">
        <f>DATE(2012,5,4) + TIME(8,41,16)</f>
        <v>41033.361990740741</v>
      </c>
      <c r="C835">
        <v>6332.2631836</v>
      </c>
      <c r="D835">
        <v>5084.8686522999997</v>
      </c>
      <c r="E835">
        <v>651.59613036999997</v>
      </c>
      <c r="F835">
        <v>101.32499695</v>
      </c>
      <c r="G835">
        <v>80</v>
      </c>
      <c r="H835">
        <v>79.516723632999998</v>
      </c>
      <c r="I835">
        <v>50</v>
      </c>
      <c r="J835">
        <v>49.201610565000003</v>
      </c>
      <c r="K835">
        <v>2400</v>
      </c>
      <c r="L835">
        <v>0</v>
      </c>
      <c r="M835">
        <v>0</v>
      </c>
      <c r="N835">
        <v>798.79571533000001</v>
      </c>
    </row>
    <row r="836" spans="1:14" x14ac:dyDescent="0.25">
      <c r="A836">
        <v>734.67753900000002</v>
      </c>
      <c r="B836" s="1">
        <f>DATE(2012,5,4) + TIME(16,15,39)</f>
        <v>41033.677534722221</v>
      </c>
      <c r="C836">
        <v>6362.5678711</v>
      </c>
      <c r="D836">
        <v>5115.3613280999998</v>
      </c>
      <c r="E836">
        <v>646.41497803000004</v>
      </c>
      <c r="F836">
        <v>101.32499695</v>
      </c>
      <c r="G836">
        <v>80</v>
      </c>
      <c r="H836">
        <v>79.633895874000004</v>
      </c>
      <c r="I836">
        <v>50</v>
      </c>
      <c r="J836">
        <v>49.188251495000003</v>
      </c>
      <c r="K836">
        <v>2400</v>
      </c>
      <c r="L836">
        <v>0</v>
      </c>
      <c r="M836">
        <v>0</v>
      </c>
      <c r="N836">
        <v>792.36071776999995</v>
      </c>
    </row>
    <row r="837" spans="1:14" x14ac:dyDescent="0.25">
      <c r="A837">
        <v>735.02367000000004</v>
      </c>
      <c r="B837" s="1">
        <f>DATE(2012,5,5) + TIME(0,34,5)</f>
        <v>41034.023668981485</v>
      </c>
      <c r="C837">
        <v>6390.7089844000002</v>
      </c>
      <c r="D837">
        <v>5143.4418944999998</v>
      </c>
      <c r="E837">
        <v>642.48498534999999</v>
      </c>
      <c r="F837">
        <v>101.32499695</v>
      </c>
      <c r="G837">
        <v>80</v>
      </c>
      <c r="H837">
        <v>79.724639893000003</v>
      </c>
      <c r="I837">
        <v>50</v>
      </c>
      <c r="J837">
        <v>49.173694611000002</v>
      </c>
      <c r="K837">
        <v>2400</v>
      </c>
      <c r="L837">
        <v>0</v>
      </c>
      <c r="M837">
        <v>0</v>
      </c>
      <c r="N837">
        <v>787.47796631000006</v>
      </c>
    </row>
    <row r="838" spans="1:14" x14ac:dyDescent="0.25">
      <c r="A838">
        <v>735.40832899999998</v>
      </c>
      <c r="B838" s="1">
        <f>DATE(2012,5,5) + TIME(9,47,59)</f>
        <v>41034.408321759256</v>
      </c>
      <c r="C838">
        <v>6416.8115233999997</v>
      </c>
      <c r="D838">
        <v>5169.2734375</v>
      </c>
      <c r="E838">
        <v>639.70159911999997</v>
      </c>
      <c r="F838">
        <v>101.32499695</v>
      </c>
      <c r="G838">
        <v>80</v>
      </c>
      <c r="H838">
        <v>79.793563843000001</v>
      </c>
      <c r="I838">
        <v>50</v>
      </c>
      <c r="J838">
        <v>49.157619476000001</v>
      </c>
      <c r="K838">
        <v>2400</v>
      </c>
      <c r="L838">
        <v>0</v>
      </c>
      <c r="M838">
        <v>0</v>
      </c>
      <c r="N838">
        <v>784.01727295000001</v>
      </c>
    </row>
    <row r="839" spans="1:14" x14ac:dyDescent="0.25">
      <c r="A839">
        <v>735.84244000000001</v>
      </c>
      <c r="B839" s="1">
        <f>DATE(2012,5,5) + TIME(20,13,6)</f>
        <v>41034.842430555553</v>
      </c>
      <c r="C839">
        <v>6440.9472655999998</v>
      </c>
      <c r="D839">
        <v>5192.9575194999998</v>
      </c>
      <c r="E839">
        <v>637.9765625</v>
      </c>
      <c r="F839">
        <v>101.32499695</v>
      </c>
      <c r="G839">
        <v>80</v>
      </c>
      <c r="H839">
        <v>79.844650268999999</v>
      </c>
      <c r="I839">
        <v>50</v>
      </c>
      <c r="J839">
        <v>49.139602660999998</v>
      </c>
      <c r="K839">
        <v>2400</v>
      </c>
      <c r="L839">
        <v>0</v>
      </c>
      <c r="M839">
        <v>0</v>
      </c>
      <c r="N839">
        <v>781.86804199000005</v>
      </c>
    </row>
    <row r="840" spans="1:14" x14ac:dyDescent="0.25">
      <c r="A840">
        <v>736.28260399999999</v>
      </c>
      <c r="B840" s="1">
        <f>DATE(2012,5,6) + TIME(6,46,56)</f>
        <v>41035.282592592594</v>
      </c>
      <c r="C840">
        <v>6460.609375</v>
      </c>
      <c r="D840">
        <v>5211.9882811999996</v>
      </c>
      <c r="E840">
        <v>637.22314453000001</v>
      </c>
      <c r="F840">
        <v>101.32499695</v>
      </c>
      <c r="G840">
        <v>80</v>
      </c>
      <c r="H840">
        <v>79.878456115999995</v>
      </c>
      <c r="I840">
        <v>50</v>
      </c>
      <c r="J840">
        <v>49.121158600000001</v>
      </c>
      <c r="K840">
        <v>2400</v>
      </c>
      <c r="L840">
        <v>0</v>
      </c>
      <c r="M840">
        <v>0</v>
      </c>
      <c r="N840">
        <v>780.93170166000004</v>
      </c>
    </row>
    <row r="841" spans="1:14" x14ac:dyDescent="0.25">
      <c r="A841">
        <v>736.72624900000005</v>
      </c>
      <c r="B841" s="1">
        <f>DATE(2012,5,6) + TIME(17,25,47)</f>
        <v>41035.726238425923</v>
      </c>
      <c r="C841">
        <v>6476.7114258000001</v>
      </c>
      <c r="D841">
        <v>5227.4287108999997</v>
      </c>
      <c r="E841">
        <v>637.15332031000003</v>
      </c>
      <c r="F841">
        <v>101.32499695</v>
      </c>
      <c r="G841">
        <v>80</v>
      </c>
      <c r="H841">
        <v>79.900665282999995</v>
      </c>
      <c r="I841">
        <v>50</v>
      </c>
      <c r="J841">
        <v>49.102390288999999</v>
      </c>
      <c r="K841">
        <v>2400</v>
      </c>
      <c r="L841">
        <v>0</v>
      </c>
      <c r="M841">
        <v>0</v>
      </c>
      <c r="N841">
        <v>780.84216308999999</v>
      </c>
    </row>
    <row r="842" spans="1:14" x14ac:dyDescent="0.25">
      <c r="A842">
        <v>737.17884800000002</v>
      </c>
      <c r="B842" s="1">
        <f>DATE(2012,5,7) + TIME(4,17,32)</f>
        <v>41036.178842592592</v>
      </c>
      <c r="C842">
        <v>6490.0527344000002</v>
      </c>
      <c r="D842">
        <v>5240.1132811999996</v>
      </c>
      <c r="E842">
        <v>637.55041503999996</v>
      </c>
      <c r="F842">
        <v>101.32499695</v>
      </c>
      <c r="G842">
        <v>80</v>
      </c>
      <c r="H842">
        <v>79.915344238000003</v>
      </c>
      <c r="I842">
        <v>50</v>
      </c>
      <c r="J842">
        <v>49.083106995000001</v>
      </c>
      <c r="K842">
        <v>2400</v>
      </c>
      <c r="L842">
        <v>0</v>
      </c>
      <c r="M842">
        <v>0</v>
      </c>
      <c r="N842">
        <v>781.32867432</v>
      </c>
    </row>
    <row r="843" spans="1:14" x14ac:dyDescent="0.25">
      <c r="A843">
        <v>737.64555199999995</v>
      </c>
      <c r="B843" s="1">
        <f>DATE(2012,5,7) + TIME(15,29,35)</f>
        <v>41036.645543981482</v>
      </c>
      <c r="C843">
        <v>6501.1411133000001</v>
      </c>
      <c r="D843">
        <v>5250.5546875</v>
      </c>
      <c r="E843">
        <v>638.26403808999999</v>
      </c>
      <c r="F843">
        <v>101.32499695</v>
      </c>
      <c r="G843">
        <v>80</v>
      </c>
      <c r="H843">
        <v>79.925041199000006</v>
      </c>
      <c r="I843">
        <v>50</v>
      </c>
      <c r="J843">
        <v>49.063110352000002</v>
      </c>
      <c r="K843">
        <v>2400</v>
      </c>
      <c r="L843">
        <v>0</v>
      </c>
      <c r="M843">
        <v>0</v>
      </c>
      <c r="N843">
        <v>782.20465088000003</v>
      </c>
    </row>
    <row r="844" spans="1:14" x14ac:dyDescent="0.25">
      <c r="A844">
        <v>738.13139699999999</v>
      </c>
      <c r="B844" s="1">
        <f>DATE(2012,5,8) + TIME(3,9,12)</f>
        <v>41037.131388888891</v>
      </c>
      <c r="C844">
        <v>6510.3330077999999</v>
      </c>
      <c r="D844">
        <v>5259.1132811999996</v>
      </c>
      <c r="E844">
        <v>639.18676758000004</v>
      </c>
      <c r="F844">
        <v>101.32499695</v>
      </c>
      <c r="G844">
        <v>80</v>
      </c>
      <c r="H844">
        <v>79.931434631000002</v>
      </c>
      <c r="I844">
        <v>50</v>
      </c>
      <c r="J844">
        <v>49.042221069</v>
      </c>
      <c r="K844">
        <v>2400</v>
      </c>
      <c r="L844">
        <v>0</v>
      </c>
      <c r="M844">
        <v>0</v>
      </c>
      <c r="N844">
        <v>783.33654784999999</v>
      </c>
    </row>
    <row r="845" spans="1:14" x14ac:dyDescent="0.25">
      <c r="A845">
        <v>738.64181900000005</v>
      </c>
      <c r="B845" s="1">
        <f>DATE(2012,5,8) + TIME(15,24,13)</f>
        <v>41037.641817129632</v>
      </c>
      <c r="C845">
        <v>6517.8925780999998</v>
      </c>
      <c r="D845">
        <v>5266.0527344000002</v>
      </c>
      <c r="E845">
        <v>640.23950194999998</v>
      </c>
      <c r="F845">
        <v>101.32499695</v>
      </c>
      <c r="G845">
        <v>80</v>
      </c>
      <c r="H845">
        <v>79.935607910000002</v>
      </c>
      <c r="I845">
        <v>50</v>
      </c>
      <c r="J845">
        <v>49.020221710000001</v>
      </c>
      <c r="K845">
        <v>2400</v>
      </c>
      <c r="L845">
        <v>0</v>
      </c>
      <c r="M845">
        <v>0</v>
      </c>
      <c r="N845">
        <v>784.62597656000003</v>
      </c>
    </row>
    <row r="846" spans="1:14" x14ac:dyDescent="0.25">
      <c r="A846">
        <v>739.183041</v>
      </c>
      <c r="B846" s="1">
        <f>DATE(2012,5,9) + TIME(4,23,34)</f>
        <v>41038.183032407411</v>
      </c>
      <c r="C846">
        <v>6524.0166016000003</v>
      </c>
      <c r="D846">
        <v>5271.5698241999999</v>
      </c>
      <c r="E846">
        <v>641.36291503999996</v>
      </c>
      <c r="F846">
        <v>101.32499695</v>
      </c>
      <c r="G846">
        <v>80</v>
      </c>
      <c r="H846">
        <v>79.938308715999995</v>
      </c>
      <c r="I846">
        <v>50</v>
      </c>
      <c r="J846">
        <v>48.996879577999998</v>
      </c>
      <c r="K846">
        <v>2400</v>
      </c>
      <c r="L846">
        <v>0</v>
      </c>
      <c r="M846">
        <v>0</v>
      </c>
      <c r="N846">
        <v>785.99896239999998</v>
      </c>
    </row>
    <row r="847" spans="1:14" x14ac:dyDescent="0.25">
      <c r="A847">
        <v>739.76284299999998</v>
      </c>
      <c r="B847" s="1">
        <f>DATE(2012,5,9) + TIME(18,18,29)</f>
        <v>41038.762835648151</v>
      </c>
      <c r="C847">
        <v>6528.8535155999998</v>
      </c>
      <c r="D847">
        <v>5275.8110352000003</v>
      </c>
      <c r="E847">
        <v>642.51220703000001</v>
      </c>
      <c r="F847">
        <v>101.32499695</v>
      </c>
      <c r="G847">
        <v>80</v>
      </c>
      <c r="H847">
        <v>79.940040588000002</v>
      </c>
      <c r="I847">
        <v>50</v>
      </c>
      <c r="J847">
        <v>48.971897124999998</v>
      </c>
      <c r="K847">
        <v>2400</v>
      </c>
      <c r="L847">
        <v>0</v>
      </c>
      <c r="M847">
        <v>0</v>
      </c>
      <c r="N847">
        <v>787.39929199000005</v>
      </c>
    </row>
    <row r="848" spans="1:14" x14ac:dyDescent="0.25">
      <c r="A848">
        <v>740.39045899999996</v>
      </c>
      <c r="B848" s="1">
        <f>DATE(2012,5,10) + TIME(9,22,15)</f>
        <v>41039.390451388892</v>
      </c>
      <c r="C848">
        <v>6532.5048827999999</v>
      </c>
      <c r="D848">
        <v>5278.875</v>
      </c>
      <c r="E848">
        <v>643.65185546999999</v>
      </c>
      <c r="F848">
        <v>101.32499695</v>
      </c>
      <c r="G848">
        <v>80</v>
      </c>
      <c r="H848">
        <v>79.941131592000005</v>
      </c>
      <c r="I848">
        <v>50</v>
      </c>
      <c r="J848">
        <v>48.944923400999997</v>
      </c>
      <c r="K848">
        <v>2400</v>
      </c>
      <c r="L848">
        <v>0</v>
      </c>
      <c r="M848">
        <v>0</v>
      </c>
      <c r="N848">
        <v>788.78222656000003</v>
      </c>
    </row>
    <row r="849" spans="1:14" x14ac:dyDescent="0.25">
      <c r="A849">
        <v>741.04746299999999</v>
      </c>
      <c r="B849" s="1">
        <f>DATE(2012,5,11) + TIME(1,8,20)</f>
        <v>41040.047453703701</v>
      </c>
      <c r="C849">
        <v>6534.8427733999997</v>
      </c>
      <c r="D849">
        <v>5280.6308594000002</v>
      </c>
      <c r="E849">
        <v>644.70721435999997</v>
      </c>
      <c r="F849">
        <v>101.32499695</v>
      </c>
      <c r="G849">
        <v>80</v>
      </c>
      <c r="H849">
        <v>79.941772460999999</v>
      </c>
      <c r="I849">
        <v>50</v>
      </c>
      <c r="J849">
        <v>48.916576384999999</v>
      </c>
      <c r="K849">
        <v>2400</v>
      </c>
      <c r="L849">
        <v>0</v>
      </c>
      <c r="M849">
        <v>0</v>
      </c>
      <c r="N849">
        <v>790.06011963000003</v>
      </c>
    </row>
    <row r="850" spans="1:14" x14ac:dyDescent="0.25">
      <c r="A850">
        <v>741.71469500000001</v>
      </c>
      <c r="B850" s="1">
        <f>DATE(2012,5,11) + TIME(17,9,9)</f>
        <v>41040.714687500003</v>
      </c>
      <c r="C850">
        <v>6536.0097655999998</v>
      </c>
      <c r="D850">
        <v>5281.2431641000003</v>
      </c>
      <c r="E850">
        <v>645.63641356999995</v>
      </c>
      <c r="F850">
        <v>101.32499695</v>
      </c>
      <c r="G850">
        <v>80</v>
      </c>
      <c r="H850">
        <v>79.942146300999994</v>
      </c>
      <c r="I850">
        <v>50</v>
      </c>
      <c r="J850">
        <v>48.887535094999997</v>
      </c>
      <c r="K850">
        <v>2400</v>
      </c>
      <c r="L850">
        <v>0</v>
      </c>
      <c r="M850">
        <v>0</v>
      </c>
      <c r="N850">
        <v>791.18115234000004</v>
      </c>
    </row>
    <row r="851" spans="1:14" x14ac:dyDescent="0.25">
      <c r="A851">
        <v>742.40038200000004</v>
      </c>
      <c r="B851" s="1">
        <f>DATE(2012,5,12) + TIME(9,36,32)</f>
        <v>41041.400370370371</v>
      </c>
      <c r="C851">
        <v>6536.3310547000001</v>
      </c>
      <c r="D851">
        <v>5281.0507811999996</v>
      </c>
      <c r="E851">
        <v>646.45465088000003</v>
      </c>
      <c r="F851">
        <v>101.32499695</v>
      </c>
      <c r="G851">
        <v>80</v>
      </c>
      <c r="H851">
        <v>79.942375182999996</v>
      </c>
      <c r="I851">
        <v>50</v>
      </c>
      <c r="J851">
        <v>48.857543945000003</v>
      </c>
      <c r="K851">
        <v>2400</v>
      </c>
      <c r="L851">
        <v>0</v>
      </c>
      <c r="M851">
        <v>0</v>
      </c>
      <c r="N851">
        <v>792.15863036999997</v>
      </c>
    </row>
    <row r="852" spans="1:14" x14ac:dyDescent="0.25">
      <c r="A852">
        <v>743.11274600000002</v>
      </c>
      <c r="B852" s="1">
        <f>DATE(2012,5,13) + TIME(2,42,21)</f>
        <v>41042.112743055557</v>
      </c>
      <c r="C852">
        <v>6535.9433594000002</v>
      </c>
      <c r="D852">
        <v>5280.1826172000001</v>
      </c>
      <c r="E852">
        <v>647.17089843999997</v>
      </c>
      <c r="F852">
        <v>101.32499695</v>
      </c>
      <c r="G852">
        <v>80</v>
      </c>
      <c r="H852">
        <v>79.942527771000002</v>
      </c>
      <c r="I852">
        <v>50</v>
      </c>
      <c r="J852">
        <v>48.826332092000001</v>
      </c>
      <c r="K852">
        <v>2400</v>
      </c>
      <c r="L852">
        <v>0</v>
      </c>
      <c r="M852">
        <v>0</v>
      </c>
      <c r="N852">
        <v>793.00396728999999</v>
      </c>
    </row>
    <row r="853" spans="1:14" x14ac:dyDescent="0.25">
      <c r="A853">
        <v>743.85220700000002</v>
      </c>
      <c r="B853" s="1">
        <f>DATE(2012,5,13) + TIME(20,27,10)</f>
        <v>41042.852199074077</v>
      </c>
      <c r="C853">
        <v>6534.9199219000002</v>
      </c>
      <c r="D853">
        <v>5278.7026366999999</v>
      </c>
      <c r="E853">
        <v>647.78723145000004</v>
      </c>
      <c r="F853">
        <v>101.32499695</v>
      </c>
      <c r="G853">
        <v>80</v>
      </c>
      <c r="H853">
        <v>79.942626953000001</v>
      </c>
      <c r="I853">
        <v>50</v>
      </c>
      <c r="J853">
        <v>48.793895720999998</v>
      </c>
      <c r="K853">
        <v>2400</v>
      </c>
      <c r="L853">
        <v>0</v>
      </c>
      <c r="M853">
        <v>0</v>
      </c>
      <c r="N853">
        <v>793.72106933999999</v>
      </c>
    </row>
    <row r="854" spans="1:14" x14ac:dyDescent="0.25">
      <c r="A854">
        <v>744.61654399999998</v>
      </c>
      <c r="B854" s="1">
        <f>DATE(2012,5,14) + TIME(14,47,49)</f>
        <v>41043.616539351853</v>
      </c>
      <c r="C854">
        <v>6533.3476561999996</v>
      </c>
      <c r="D854">
        <v>5276.6972655999998</v>
      </c>
      <c r="E854">
        <v>648.30877685999997</v>
      </c>
      <c r="F854">
        <v>101.32499695</v>
      </c>
      <c r="G854">
        <v>80</v>
      </c>
      <c r="H854">
        <v>79.942703246999997</v>
      </c>
      <c r="I854">
        <v>50</v>
      </c>
      <c r="J854">
        <v>48.760311127000001</v>
      </c>
      <c r="K854">
        <v>2400</v>
      </c>
      <c r="L854">
        <v>0</v>
      </c>
      <c r="M854">
        <v>0</v>
      </c>
      <c r="N854">
        <v>794.31695557</v>
      </c>
    </row>
    <row r="855" spans="1:14" x14ac:dyDescent="0.25">
      <c r="A855">
        <v>745.41367300000002</v>
      </c>
      <c r="B855" s="1">
        <f>DATE(2012,5,15) + TIME(9,55,41)</f>
        <v>41044.413668981484</v>
      </c>
      <c r="C855">
        <v>6531.3266602000003</v>
      </c>
      <c r="D855">
        <v>5274.2666016000003</v>
      </c>
      <c r="E855">
        <v>648.75042725000003</v>
      </c>
      <c r="F855">
        <v>101.32499695</v>
      </c>
      <c r="G855">
        <v>80</v>
      </c>
      <c r="H855">
        <v>79.942764281999999</v>
      </c>
      <c r="I855">
        <v>50</v>
      </c>
      <c r="J855">
        <v>48.725322722999998</v>
      </c>
      <c r="K855">
        <v>2400</v>
      </c>
      <c r="L855">
        <v>0</v>
      </c>
      <c r="M855">
        <v>0</v>
      </c>
      <c r="N855">
        <v>794.80798340000001</v>
      </c>
    </row>
    <row r="856" spans="1:14" x14ac:dyDescent="0.25">
      <c r="A856">
        <v>746.25223700000004</v>
      </c>
      <c r="B856" s="1">
        <f>DATE(2012,5,16) + TIME(6,3,13)</f>
        <v>41045.252233796295</v>
      </c>
      <c r="C856">
        <v>6528.8994141000003</v>
      </c>
      <c r="D856">
        <v>5271.4482422000001</v>
      </c>
      <c r="E856">
        <v>649.12310791000004</v>
      </c>
      <c r="F856">
        <v>101.32499695</v>
      </c>
      <c r="G856">
        <v>80</v>
      </c>
      <c r="H856">
        <v>79.942825317</v>
      </c>
      <c r="I856">
        <v>50</v>
      </c>
      <c r="J856">
        <v>48.688632964999996</v>
      </c>
      <c r="K856">
        <v>2400</v>
      </c>
      <c r="L856">
        <v>0</v>
      </c>
      <c r="M856">
        <v>0</v>
      </c>
      <c r="N856">
        <v>795.20739746000004</v>
      </c>
    </row>
    <row r="857" spans="1:14" x14ac:dyDescent="0.25">
      <c r="A857">
        <v>747.14244900000006</v>
      </c>
      <c r="B857" s="1">
        <f>DATE(2012,5,17) + TIME(3,25,7)</f>
        <v>41046.142442129632</v>
      </c>
      <c r="C857">
        <v>6526.0908202999999</v>
      </c>
      <c r="D857">
        <v>5268.2631836</v>
      </c>
      <c r="E857">
        <v>649.43634033000001</v>
      </c>
      <c r="F857">
        <v>101.32499695</v>
      </c>
      <c r="G857">
        <v>80</v>
      </c>
      <c r="H857">
        <v>79.942886353000006</v>
      </c>
      <c r="I857">
        <v>50</v>
      </c>
      <c r="J857">
        <v>48.649887085000003</v>
      </c>
      <c r="K857">
        <v>2400</v>
      </c>
      <c r="L857">
        <v>0</v>
      </c>
      <c r="M857">
        <v>0</v>
      </c>
      <c r="N857">
        <v>795.52642821999996</v>
      </c>
    </row>
    <row r="858" spans="1:14" x14ac:dyDescent="0.25">
      <c r="A858">
        <v>748.05102399999998</v>
      </c>
      <c r="B858" s="1">
        <f>DATE(2012,5,18) + TIME(1,13,28)</f>
        <v>41047.051018518519</v>
      </c>
      <c r="C858">
        <v>6522.9189452999999</v>
      </c>
      <c r="D858">
        <v>5264.7255858999997</v>
      </c>
      <c r="E858">
        <v>649.68261718999997</v>
      </c>
      <c r="F858">
        <v>101.32499695</v>
      </c>
      <c r="G858">
        <v>80</v>
      </c>
      <c r="H858">
        <v>79.942939757999994</v>
      </c>
      <c r="I858">
        <v>50</v>
      </c>
      <c r="J858">
        <v>48.610160827999998</v>
      </c>
      <c r="K858">
        <v>2400</v>
      </c>
      <c r="L858">
        <v>0</v>
      </c>
      <c r="M858">
        <v>0</v>
      </c>
      <c r="N858">
        <v>795.76422118999994</v>
      </c>
    </row>
    <row r="859" spans="1:14" x14ac:dyDescent="0.25">
      <c r="A859">
        <v>748.97688500000004</v>
      </c>
      <c r="B859" s="1">
        <f>DATE(2012,5,18) + TIME(23,26,42)</f>
        <v>41047.976875</v>
      </c>
      <c r="C859">
        <v>6519.5458983999997</v>
      </c>
      <c r="D859">
        <v>5261.0112305000002</v>
      </c>
      <c r="E859">
        <v>649.88061522999999</v>
      </c>
      <c r="F859">
        <v>101.32499695</v>
      </c>
      <c r="G859">
        <v>80</v>
      </c>
      <c r="H859">
        <v>79.942993164000001</v>
      </c>
      <c r="I859">
        <v>50</v>
      </c>
      <c r="J859">
        <v>48.569549561000002</v>
      </c>
      <c r="K859">
        <v>2400</v>
      </c>
      <c r="L859">
        <v>0</v>
      </c>
      <c r="M859">
        <v>0</v>
      </c>
      <c r="N859">
        <v>795.93780518000005</v>
      </c>
    </row>
    <row r="860" spans="1:14" x14ac:dyDescent="0.25">
      <c r="A860">
        <v>749.92998499999999</v>
      </c>
      <c r="B860" s="1">
        <f>DATE(2012,5,19) + TIME(22,19,10)</f>
        <v>41048.929976851854</v>
      </c>
      <c r="C860">
        <v>6516.0229491999999</v>
      </c>
      <c r="D860">
        <v>5257.1699219000002</v>
      </c>
      <c r="E860">
        <v>650.04272461000005</v>
      </c>
      <c r="F860">
        <v>101.32499695</v>
      </c>
      <c r="G860">
        <v>80</v>
      </c>
      <c r="H860">
        <v>79.943061829000001</v>
      </c>
      <c r="I860">
        <v>50</v>
      </c>
      <c r="J860">
        <v>48.527774811</v>
      </c>
      <c r="K860">
        <v>2400</v>
      </c>
      <c r="L860">
        <v>0</v>
      </c>
      <c r="M860">
        <v>0</v>
      </c>
      <c r="N860">
        <v>796.06060791000004</v>
      </c>
    </row>
    <row r="861" spans="1:14" x14ac:dyDescent="0.25">
      <c r="A861">
        <v>750.92055500000004</v>
      </c>
      <c r="B861" s="1">
        <f>DATE(2012,5,20) + TIME(22,5,35)</f>
        <v>41049.920543981483</v>
      </c>
      <c r="C861">
        <v>6512.3510741999999</v>
      </c>
      <c r="D861">
        <v>5253.1972655999998</v>
      </c>
      <c r="E861">
        <v>650.17639159999999</v>
      </c>
      <c r="F861">
        <v>101.32499695</v>
      </c>
      <c r="G861">
        <v>80</v>
      </c>
      <c r="H861">
        <v>79.943130492999998</v>
      </c>
      <c r="I861">
        <v>50</v>
      </c>
      <c r="J861">
        <v>48.484523772999999</v>
      </c>
      <c r="K861">
        <v>2400</v>
      </c>
      <c r="L861">
        <v>0</v>
      </c>
      <c r="M861">
        <v>0</v>
      </c>
      <c r="N861">
        <v>796.14190673999997</v>
      </c>
    </row>
    <row r="862" spans="1:14" x14ac:dyDescent="0.25">
      <c r="A862">
        <v>751.95277699999997</v>
      </c>
      <c r="B862" s="1">
        <f>DATE(2012,5,21) + TIME(22,51,59)</f>
        <v>41050.952766203707</v>
      </c>
      <c r="C862">
        <v>6508.5239258000001</v>
      </c>
      <c r="D862">
        <v>5249.0830077999999</v>
      </c>
      <c r="E862">
        <v>650.28607178000004</v>
      </c>
      <c r="F862">
        <v>101.32499695</v>
      </c>
      <c r="G862">
        <v>80</v>
      </c>
      <c r="H862">
        <v>79.943199157999999</v>
      </c>
      <c r="I862">
        <v>50</v>
      </c>
      <c r="J862">
        <v>48.439659118999998</v>
      </c>
      <c r="K862">
        <v>2400</v>
      </c>
      <c r="L862">
        <v>0</v>
      </c>
      <c r="M862">
        <v>0</v>
      </c>
      <c r="N862">
        <v>796.18811034999999</v>
      </c>
    </row>
    <row r="863" spans="1:14" x14ac:dyDescent="0.25">
      <c r="A863">
        <v>753.012835</v>
      </c>
      <c r="B863" s="1">
        <f>DATE(2012,5,23) + TIME(0,18,28)</f>
        <v>41052.012824074074</v>
      </c>
      <c r="C863">
        <v>6504.5610352000003</v>
      </c>
      <c r="D863">
        <v>5244.8457030999998</v>
      </c>
      <c r="E863">
        <v>650.37329102000001</v>
      </c>
      <c r="F863">
        <v>101.32499695</v>
      </c>
      <c r="G863">
        <v>80</v>
      </c>
      <c r="H863">
        <v>79.943267821999996</v>
      </c>
      <c r="I863">
        <v>50</v>
      </c>
      <c r="J863">
        <v>48.393604279000002</v>
      </c>
      <c r="K863">
        <v>2400</v>
      </c>
      <c r="L863">
        <v>0</v>
      </c>
      <c r="M863">
        <v>0</v>
      </c>
      <c r="N863">
        <v>796.20440673999997</v>
      </c>
    </row>
    <row r="864" spans="1:14" x14ac:dyDescent="0.25">
      <c r="A864">
        <v>754.110322</v>
      </c>
      <c r="B864" s="1">
        <f>DATE(2012,5,24) + TIME(2,38,51)</f>
        <v>41053.110312500001</v>
      </c>
      <c r="C864">
        <v>6500.5117188000004</v>
      </c>
      <c r="D864">
        <v>5240.5371094000002</v>
      </c>
      <c r="E864">
        <v>650.44720458999996</v>
      </c>
      <c r="F864">
        <v>101.32499695</v>
      </c>
      <c r="G864">
        <v>80</v>
      </c>
      <c r="H864">
        <v>79.943344116000006</v>
      </c>
      <c r="I864">
        <v>50</v>
      </c>
      <c r="J864">
        <v>48.346099854000002</v>
      </c>
      <c r="K864">
        <v>2400</v>
      </c>
      <c r="L864">
        <v>0</v>
      </c>
      <c r="M864">
        <v>0</v>
      </c>
      <c r="N864">
        <v>796.19799805000002</v>
      </c>
    </row>
    <row r="865" spans="1:14" x14ac:dyDescent="0.25">
      <c r="A865">
        <v>755.255674</v>
      </c>
      <c r="B865" s="1">
        <f>DATE(2012,5,25) + TIME(6,8,10)</f>
        <v>41054.255671296298</v>
      </c>
      <c r="C865">
        <v>6496.3613280999998</v>
      </c>
      <c r="D865">
        <v>5236.140625</v>
      </c>
      <c r="E865">
        <v>650.51110840000001</v>
      </c>
      <c r="F865">
        <v>101.32499695</v>
      </c>
      <c r="G865">
        <v>80</v>
      </c>
      <c r="H865">
        <v>79.943420410000002</v>
      </c>
      <c r="I865">
        <v>50</v>
      </c>
      <c r="J865">
        <v>48.296821594000001</v>
      </c>
      <c r="K865">
        <v>2400</v>
      </c>
      <c r="L865">
        <v>0</v>
      </c>
      <c r="M865">
        <v>0</v>
      </c>
      <c r="N865">
        <v>796.17224121000004</v>
      </c>
    </row>
    <row r="866" spans="1:14" x14ac:dyDescent="0.25">
      <c r="A866">
        <v>756.43297299999995</v>
      </c>
      <c r="B866" s="1">
        <f>DATE(2012,5,26) + TIME(10,23,28)</f>
        <v>41055.432962962965</v>
      </c>
      <c r="C866">
        <v>6492.1103516000003</v>
      </c>
      <c r="D866">
        <v>5231.6528319999998</v>
      </c>
      <c r="E866">
        <v>650.56298828000001</v>
      </c>
      <c r="F866">
        <v>101.32499695</v>
      </c>
      <c r="G866">
        <v>80</v>
      </c>
      <c r="H866">
        <v>79.943496703999998</v>
      </c>
      <c r="I866">
        <v>50</v>
      </c>
      <c r="J866">
        <v>48.246242522999999</v>
      </c>
      <c r="K866">
        <v>2400</v>
      </c>
      <c r="L866">
        <v>0</v>
      </c>
      <c r="M866">
        <v>0</v>
      </c>
      <c r="N866">
        <v>796.12963866999996</v>
      </c>
    </row>
    <row r="867" spans="1:14" x14ac:dyDescent="0.25">
      <c r="A867">
        <v>757.62967000000003</v>
      </c>
      <c r="B867" s="1">
        <f>DATE(2012,5,27) + TIME(15,6,43)</f>
        <v>41056.629664351851</v>
      </c>
      <c r="C867">
        <v>6487.8164061999996</v>
      </c>
      <c r="D867">
        <v>5227.1362305000002</v>
      </c>
      <c r="E867">
        <v>650.60668944999998</v>
      </c>
      <c r="F867">
        <v>101.32499695</v>
      </c>
      <c r="G867">
        <v>80</v>
      </c>
      <c r="H867">
        <v>79.943572997999993</v>
      </c>
      <c r="I867">
        <v>50</v>
      </c>
      <c r="J867">
        <v>48.194782257</v>
      </c>
      <c r="K867">
        <v>2400</v>
      </c>
      <c r="L867">
        <v>0</v>
      </c>
      <c r="M867">
        <v>0</v>
      </c>
      <c r="N867">
        <v>796.07458496000004</v>
      </c>
    </row>
    <row r="868" spans="1:14" x14ac:dyDescent="0.25">
      <c r="A868">
        <v>758.85668399999997</v>
      </c>
      <c r="B868" s="1">
        <f>DATE(2012,5,28) + TIME(20,33,37)</f>
        <v>41057.856678240743</v>
      </c>
      <c r="C868">
        <v>6483.5117188000004</v>
      </c>
      <c r="D868">
        <v>5222.6230469000002</v>
      </c>
      <c r="E868">
        <v>650.64794921999999</v>
      </c>
      <c r="F868">
        <v>101.32499695</v>
      </c>
      <c r="G868">
        <v>80</v>
      </c>
      <c r="H868">
        <v>79.943656920999999</v>
      </c>
      <c r="I868">
        <v>50</v>
      </c>
      <c r="J868">
        <v>48.142192841000004</v>
      </c>
      <c r="K868">
        <v>2400</v>
      </c>
      <c r="L868">
        <v>0</v>
      </c>
      <c r="M868">
        <v>0</v>
      </c>
      <c r="N868">
        <v>796.00994873000002</v>
      </c>
    </row>
    <row r="869" spans="1:14" x14ac:dyDescent="0.25">
      <c r="A869">
        <v>760.12556800000004</v>
      </c>
      <c r="B869" s="1">
        <f>DATE(2012,5,30) + TIME(3,0,49)</f>
        <v>41059.125567129631</v>
      </c>
      <c r="C869">
        <v>6479.1699219000002</v>
      </c>
      <c r="D869">
        <v>5218.0844727000003</v>
      </c>
      <c r="E869">
        <v>650.68725586000005</v>
      </c>
      <c r="F869">
        <v>101.32499695</v>
      </c>
      <c r="G869">
        <v>80</v>
      </c>
      <c r="H869">
        <v>79.943740844999994</v>
      </c>
      <c r="I869">
        <v>50</v>
      </c>
      <c r="J869">
        <v>48.088153839</v>
      </c>
      <c r="K869">
        <v>2400</v>
      </c>
      <c r="L869">
        <v>0</v>
      </c>
      <c r="M869">
        <v>0</v>
      </c>
      <c r="N869">
        <v>795.93634033000001</v>
      </c>
    </row>
    <row r="870" spans="1:14" x14ac:dyDescent="0.25">
      <c r="A870">
        <v>761.44864700000005</v>
      </c>
      <c r="B870" s="1">
        <f>DATE(2012,5,31) + TIME(10,46,3)</f>
        <v>41060.448645833334</v>
      </c>
      <c r="C870">
        <v>6474.7592772999997</v>
      </c>
      <c r="D870">
        <v>5213.4868164</v>
      </c>
      <c r="E870">
        <v>650.72515868999994</v>
      </c>
      <c r="F870">
        <v>101.32499695</v>
      </c>
      <c r="G870">
        <v>80</v>
      </c>
      <c r="H870">
        <v>79.943824767999999</v>
      </c>
      <c r="I870">
        <v>50</v>
      </c>
      <c r="J870">
        <v>48.032287598000003</v>
      </c>
      <c r="K870">
        <v>2400</v>
      </c>
      <c r="L870">
        <v>0</v>
      </c>
      <c r="M870">
        <v>0</v>
      </c>
      <c r="N870">
        <v>795.85394286999997</v>
      </c>
    </row>
    <row r="871" spans="1:14" x14ac:dyDescent="0.25">
      <c r="A871">
        <v>762</v>
      </c>
      <c r="B871" s="1">
        <f>DATE(2012,6,1) + TIME(0,0,0)</f>
        <v>41061</v>
      </c>
      <c r="C871">
        <v>6471.2866211</v>
      </c>
      <c r="D871">
        <v>5209.8354491999999</v>
      </c>
      <c r="E871">
        <v>650.60931396000001</v>
      </c>
      <c r="F871">
        <v>101.32499695</v>
      </c>
      <c r="G871">
        <v>80</v>
      </c>
      <c r="H871">
        <v>79.943710327000005</v>
      </c>
      <c r="I871">
        <v>50</v>
      </c>
      <c r="J871">
        <v>48.003730773999997</v>
      </c>
      <c r="K871">
        <v>2400</v>
      </c>
      <c r="L871">
        <v>0</v>
      </c>
      <c r="M871">
        <v>0</v>
      </c>
      <c r="N871">
        <v>795.76580810999997</v>
      </c>
    </row>
    <row r="872" spans="1:14" x14ac:dyDescent="0.25">
      <c r="A872">
        <v>763.34889399999997</v>
      </c>
      <c r="B872" s="1">
        <f>DATE(2012,6,2) + TIME(8,22,24)</f>
        <v>41062.34888888889</v>
      </c>
      <c r="C872">
        <v>6468.2124022999997</v>
      </c>
      <c r="D872">
        <v>5206.6889647999997</v>
      </c>
      <c r="E872">
        <v>650.79510498000002</v>
      </c>
      <c r="F872">
        <v>101.32499695</v>
      </c>
      <c r="G872">
        <v>80</v>
      </c>
      <c r="H872">
        <v>79.943969726999995</v>
      </c>
      <c r="I872">
        <v>50</v>
      </c>
      <c r="J872">
        <v>47.948375702</v>
      </c>
      <c r="K872">
        <v>2400</v>
      </c>
      <c r="L872">
        <v>0</v>
      </c>
      <c r="M872">
        <v>0</v>
      </c>
      <c r="N872">
        <v>795.73529053000004</v>
      </c>
    </row>
    <row r="873" spans="1:14" x14ac:dyDescent="0.25">
      <c r="A873">
        <v>764.75315499999999</v>
      </c>
      <c r="B873" s="1">
        <f>DATE(2012,6,3) + TIME(18,4,32)</f>
        <v>41063.753148148149</v>
      </c>
      <c r="C873">
        <v>6463.8920897999997</v>
      </c>
      <c r="D873">
        <v>5202.2065430000002</v>
      </c>
      <c r="E873">
        <v>650.81799316000001</v>
      </c>
      <c r="F873">
        <v>101.32499695</v>
      </c>
      <c r="G873">
        <v>80</v>
      </c>
      <c r="H873">
        <v>79.944046021000005</v>
      </c>
      <c r="I873">
        <v>50</v>
      </c>
      <c r="J873">
        <v>47.890781402999998</v>
      </c>
      <c r="K873">
        <v>2400</v>
      </c>
      <c r="L873">
        <v>0</v>
      </c>
      <c r="M873">
        <v>0</v>
      </c>
      <c r="N873">
        <v>795.62988281000003</v>
      </c>
    </row>
    <row r="874" spans="1:14" x14ac:dyDescent="0.25">
      <c r="A874">
        <v>766.20885099999998</v>
      </c>
      <c r="B874" s="1">
        <f>DATE(2012,6,5) + TIME(5,0,44)</f>
        <v>41065.20884259259</v>
      </c>
      <c r="C874">
        <v>6459.3715819999998</v>
      </c>
      <c r="D874">
        <v>5197.5292969000002</v>
      </c>
      <c r="E874">
        <v>650.84411621000004</v>
      </c>
      <c r="F874">
        <v>101.32499695</v>
      </c>
      <c r="G874">
        <v>80</v>
      </c>
      <c r="H874">
        <v>79.944122313999998</v>
      </c>
      <c r="I874">
        <v>50</v>
      </c>
      <c r="J874">
        <v>47.831138611</v>
      </c>
      <c r="K874">
        <v>2400</v>
      </c>
      <c r="L874">
        <v>0</v>
      </c>
      <c r="M874">
        <v>0</v>
      </c>
      <c r="N874">
        <v>795.52215576000003</v>
      </c>
    </row>
    <row r="875" spans="1:14" x14ac:dyDescent="0.25">
      <c r="A875">
        <v>767.682278</v>
      </c>
      <c r="B875" s="1">
        <f>DATE(2012,6,6) + TIME(16,22,28)</f>
        <v>41066.682268518518</v>
      </c>
      <c r="C875">
        <v>6454.7807616999999</v>
      </c>
      <c r="D875">
        <v>5192.7890625</v>
      </c>
      <c r="E875">
        <v>650.86914062000005</v>
      </c>
      <c r="F875">
        <v>101.32499695</v>
      </c>
      <c r="G875">
        <v>80</v>
      </c>
      <c r="H875">
        <v>79.944206238000007</v>
      </c>
      <c r="I875">
        <v>50</v>
      </c>
      <c r="J875">
        <v>47.770454407000003</v>
      </c>
      <c r="K875">
        <v>2400</v>
      </c>
      <c r="L875">
        <v>0</v>
      </c>
      <c r="M875">
        <v>0</v>
      </c>
      <c r="N875">
        <v>795.41204833999996</v>
      </c>
    </row>
    <row r="876" spans="1:14" x14ac:dyDescent="0.25">
      <c r="A876">
        <v>769.18522700000005</v>
      </c>
      <c r="B876" s="1">
        <f>DATE(2012,6,8) + TIME(4,26,43)</f>
        <v>41068.185219907406</v>
      </c>
      <c r="C876">
        <v>6450.1938477000003</v>
      </c>
      <c r="D876">
        <v>5188.0625</v>
      </c>
      <c r="E876">
        <v>650.89868163999995</v>
      </c>
      <c r="F876">
        <v>101.32499695</v>
      </c>
      <c r="G876">
        <v>80</v>
      </c>
      <c r="H876">
        <v>79.944290160999998</v>
      </c>
      <c r="I876">
        <v>50</v>
      </c>
      <c r="J876">
        <v>47.708625793000003</v>
      </c>
      <c r="K876">
        <v>2400</v>
      </c>
      <c r="L876">
        <v>0</v>
      </c>
      <c r="M876">
        <v>0</v>
      </c>
      <c r="N876">
        <v>795.29956055000002</v>
      </c>
    </row>
    <row r="877" spans="1:14" x14ac:dyDescent="0.25">
      <c r="A877">
        <v>770.72986600000002</v>
      </c>
      <c r="B877" s="1">
        <f>DATE(2012,6,9) + TIME(17,31,0)</f>
        <v>41069.729861111111</v>
      </c>
      <c r="C877">
        <v>6445.5908202999999</v>
      </c>
      <c r="D877">
        <v>5183.3276366999999</v>
      </c>
      <c r="E877">
        <v>650.93054199000005</v>
      </c>
      <c r="F877">
        <v>101.32499695</v>
      </c>
      <c r="G877">
        <v>80</v>
      </c>
      <c r="H877">
        <v>79.944374084000003</v>
      </c>
      <c r="I877">
        <v>50</v>
      </c>
      <c r="J877">
        <v>47.645423889</v>
      </c>
      <c r="K877">
        <v>2400</v>
      </c>
      <c r="L877">
        <v>0</v>
      </c>
      <c r="M877">
        <v>0</v>
      </c>
      <c r="N877">
        <v>795.18255614999998</v>
      </c>
    </row>
    <row r="878" spans="1:14" x14ac:dyDescent="0.25">
      <c r="A878">
        <v>772.32917399999997</v>
      </c>
      <c r="B878" s="1">
        <f>DATE(2012,6,11) + TIME(7,54,0)</f>
        <v>41071.32916666667</v>
      </c>
      <c r="C878">
        <v>6440.9404297000001</v>
      </c>
      <c r="D878">
        <v>5178.5532227000003</v>
      </c>
      <c r="E878">
        <v>650.96380614999998</v>
      </c>
      <c r="F878">
        <v>101.32499695</v>
      </c>
      <c r="G878">
        <v>80</v>
      </c>
      <c r="H878">
        <v>79.944465636999993</v>
      </c>
      <c r="I878">
        <v>50</v>
      </c>
      <c r="J878">
        <v>47.580535888999997</v>
      </c>
      <c r="K878">
        <v>2400</v>
      </c>
      <c r="L878">
        <v>0</v>
      </c>
      <c r="M878">
        <v>0</v>
      </c>
      <c r="N878">
        <v>795.05975341999999</v>
      </c>
    </row>
    <row r="879" spans="1:14" x14ac:dyDescent="0.25">
      <c r="A879">
        <v>773.96519000000001</v>
      </c>
      <c r="B879" s="1">
        <f>DATE(2012,6,12) + TIME(23,9,52)</f>
        <v>41072.965185185189</v>
      </c>
      <c r="C879">
        <v>6436.2338866999999</v>
      </c>
      <c r="D879">
        <v>5173.7280272999997</v>
      </c>
      <c r="E879">
        <v>650.99462890999996</v>
      </c>
      <c r="F879">
        <v>101.32499695</v>
      </c>
      <c r="G879">
        <v>80</v>
      </c>
      <c r="H879">
        <v>79.944557189999998</v>
      </c>
      <c r="I879">
        <v>50</v>
      </c>
      <c r="J879">
        <v>47.514396667</v>
      </c>
      <c r="K879">
        <v>2400</v>
      </c>
      <c r="L879">
        <v>0</v>
      </c>
      <c r="M879">
        <v>0</v>
      </c>
      <c r="N879">
        <v>794.93127441000001</v>
      </c>
    </row>
    <row r="880" spans="1:14" x14ac:dyDescent="0.25">
      <c r="A880">
        <v>775.63367600000004</v>
      </c>
      <c r="B880" s="1">
        <f>DATE(2012,6,14) + TIME(15,12,29)</f>
        <v>41074.633668981478</v>
      </c>
      <c r="C880">
        <v>6431.5043944999998</v>
      </c>
      <c r="D880">
        <v>5168.8862305000002</v>
      </c>
      <c r="E880">
        <v>651.02581786999997</v>
      </c>
      <c r="F880">
        <v>101.32499695</v>
      </c>
      <c r="G880">
        <v>80</v>
      </c>
      <c r="H880">
        <v>79.944648743000002</v>
      </c>
      <c r="I880">
        <v>50</v>
      </c>
      <c r="J880">
        <v>47.447196959999999</v>
      </c>
      <c r="K880">
        <v>2400</v>
      </c>
      <c r="L880">
        <v>0</v>
      </c>
      <c r="M880">
        <v>0</v>
      </c>
      <c r="N880">
        <v>794.79858397999999</v>
      </c>
    </row>
    <row r="881" spans="1:14" x14ac:dyDescent="0.25">
      <c r="A881">
        <v>777.34587299999998</v>
      </c>
      <c r="B881" s="1">
        <f>DATE(2012,6,16) + TIME(8,18,3)</f>
        <v>41076.345868055556</v>
      </c>
      <c r="C881">
        <v>6426.7558594000002</v>
      </c>
      <c r="D881">
        <v>5164.0322266000003</v>
      </c>
      <c r="E881">
        <v>651.05895996000004</v>
      </c>
      <c r="F881">
        <v>101.32499695</v>
      </c>
      <c r="G881">
        <v>80</v>
      </c>
      <c r="H881">
        <v>79.944740295000003</v>
      </c>
      <c r="I881">
        <v>50</v>
      </c>
      <c r="J881">
        <v>47.378726958999998</v>
      </c>
      <c r="K881">
        <v>2400</v>
      </c>
      <c r="L881">
        <v>0</v>
      </c>
      <c r="M881">
        <v>0</v>
      </c>
      <c r="N881">
        <v>794.66137694999998</v>
      </c>
    </row>
    <row r="882" spans="1:14" x14ac:dyDescent="0.25">
      <c r="A882">
        <v>779.09731399999998</v>
      </c>
      <c r="B882" s="1">
        <f>DATE(2012,6,18) + TIME(2,20,7)</f>
        <v>41078.097303240742</v>
      </c>
      <c r="C882">
        <v>6421.9750977000003</v>
      </c>
      <c r="D882">
        <v>5159.1518555000002</v>
      </c>
      <c r="E882">
        <v>651.09161376999998</v>
      </c>
      <c r="F882">
        <v>101.32499695</v>
      </c>
      <c r="G882">
        <v>80</v>
      </c>
      <c r="H882">
        <v>79.944831848000007</v>
      </c>
      <c r="I882">
        <v>50</v>
      </c>
      <c r="J882">
        <v>47.309104918999999</v>
      </c>
      <c r="K882">
        <v>2400</v>
      </c>
      <c r="L882">
        <v>0</v>
      </c>
      <c r="M882">
        <v>0</v>
      </c>
      <c r="N882">
        <v>794.51898193</v>
      </c>
    </row>
    <row r="883" spans="1:14" x14ac:dyDescent="0.25">
      <c r="A883">
        <v>780.875584</v>
      </c>
      <c r="B883" s="1">
        <f>DATE(2012,6,19) + TIME(21,0,50)</f>
        <v>41079.875578703701</v>
      </c>
      <c r="C883">
        <v>6417.1777344000002</v>
      </c>
      <c r="D883">
        <v>5154.2602539</v>
      </c>
      <c r="E883">
        <v>651.12329102000001</v>
      </c>
      <c r="F883">
        <v>101.32499695</v>
      </c>
      <c r="G883">
        <v>80</v>
      </c>
      <c r="H883">
        <v>79.944923400999997</v>
      </c>
      <c r="I883">
        <v>50</v>
      </c>
      <c r="J883">
        <v>47.238681792999998</v>
      </c>
      <c r="K883">
        <v>2400</v>
      </c>
      <c r="L883">
        <v>0</v>
      </c>
      <c r="M883">
        <v>0</v>
      </c>
      <c r="N883">
        <v>794.37231444999998</v>
      </c>
    </row>
    <row r="884" spans="1:14" x14ac:dyDescent="0.25">
      <c r="A884">
        <v>782.69259599999998</v>
      </c>
      <c r="B884" s="1">
        <f>DATE(2012,6,21) + TIME(16,37,20)</f>
        <v>41081.69259259259</v>
      </c>
      <c r="C884">
        <v>6412.3769530999998</v>
      </c>
      <c r="D884">
        <v>5149.3710938000004</v>
      </c>
      <c r="E884">
        <v>651.15716553000004</v>
      </c>
      <c r="F884">
        <v>101.32499695</v>
      </c>
      <c r="G884">
        <v>80</v>
      </c>
      <c r="H884">
        <v>79.945022582999997</v>
      </c>
      <c r="I884">
        <v>50</v>
      </c>
      <c r="J884">
        <v>47.167255402000002</v>
      </c>
      <c r="K884">
        <v>2400</v>
      </c>
      <c r="L884">
        <v>0</v>
      </c>
      <c r="M884">
        <v>0</v>
      </c>
      <c r="N884">
        <v>794.22161864999998</v>
      </c>
    </row>
    <row r="885" spans="1:14" x14ac:dyDescent="0.25">
      <c r="A885">
        <v>784.56144900000004</v>
      </c>
      <c r="B885" s="1">
        <f>DATE(2012,6,23) + TIME(13,28,29)</f>
        <v>41083.56144675926</v>
      </c>
      <c r="C885">
        <v>6407.5483397999997</v>
      </c>
      <c r="D885">
        <v>5144.4594727000003</v>
      </c>
      <c r="E885">
        <v>651.19232178000004</v>
      </c>
      <c r="F885">
        <v>101.32499695</v>
      </c>
      <c r="G885">
        <v>80</v>
      </c>
      <c r="H885">
        <v>79.945121764999996</v>
      </c>
      <c r="I885">
        <v>50</v>
      </c>
      <c r="J885">
        <v>47.094524384000003</v>
      </c>
      <c r="K885">
        <v>2400</v>
      </c>
      <c r="L885">
        <v>0</v>
      </c>
      <c r="M885">
        <v>0</v>
      </c>
      <c r="N885">
        <v>794.06555175999995</v>
      </c>
    </row>
    <row r="886" spans="1:14" x14ac:dyDescent="0.25">
      <c r="A886">
        <v>786.48677899999996</v>
      </c>
      <c r="B886" s="1">
        <f>DATE(2012,6,25) + TIME(11,40,57)</f>
        <v>41085.486770833333</v>
      </c>
      <c r="C886">
        <v>6402.6679688000004</v>
      </c>
      <c r="D886">
        <v>5139.5</v>
      </c>
      <c r="E886">
        <v>651.22760010000002</v>
      </c>
      <c r="F886">
        <v>101.32499695</v>
      </c>
      <c r="G886">
        <v>80</v>
      </c>
      <c r="H886">
        <v>79.945220946999996</v>
      </c>
      <c r="I886">
        <v>50</v>
      </c>
      <c r="J886">
        <v>47.020328522</v>
      </c>
      <c r="K886">
        <v>2400</v>
      </c>
      <c r="L886">
        <v>0</v>
      </c>
      <c r="M886">
        <v>0</v>
      </c>
      <c r="N886">
        <v>793.90338135000002</v>
      </c>
    </row>
    <row r="887" spans="1:14" x14ac:dyDescent="0.25">
      <c r="A887">
        <v>788.43895999999995</v>
      </c>
      <c r="B887" s="1">
        <f>DATE(2012,6,27) + TIME(10,32,6)</f>
        <v>41087.438958333332</v>
      </c>
      <c r="C887">
        <v>6397.7470702999999</v>
      </c>
      <c r="D887">
        <v>5134.5039061999996</v>
      </c>
      <c r="E887">
        <v>651.25988770000004</v>
      </c>
      <c r="F887">
        <v>101.32499695</v>
      </c>
      <c r="G887">
        <v>80</v>
      </c>
      <c r="H887">
        <v>79.9453125</v>
      </c>
      <c r="I887">
        <v>50</v>
      </c>
      <c r="J887">
        <v>46.9453125</v>
      </c>
      <c r="K887">
        <v>2400</v>
      </c>
      <c r="L887">
        <v>0</v>
      </c>
      <c r="M887">
        <v>0</v>
      </c>
      <c r="N887">
        <v>793.73608397999999</v>
      </c>
    </row>
    <row r="888" spans="1:14" x14ac:dyDescent="0.25">
      <c r="A888">
        <v>790.43040499999995</v>
      </c>
      <c r="B888" s="1">
        <f>DATE(2012,6,29) + TIME(10,19,46)</f>
        <v>41089.430393518516</v>
      </c>
      <c r="C888">
        <v>6392.8212891000003</v>
      </c>
      <c r="D888">
        <v>5129.5083008000001</v>
      </c>
      <c r="E888">
        <v>651.29492187999995</v>
      </c>
      <c r="F888">
        <v>101.32499695</v>
      </c>
      <c r="G888">
        <v>80</v>
      </c>
      <c r="H888">
        <v>79.945411682</v>
      </c>
      <c r="I888">
        <v>50</v>
      </c>
      <c r="J888">
        <v>46.869335175000003</v>
      </c>
      <c r="K888">
        <v>2400</v>
      </c>
      <c r="L888">
        <v>0</v>
      </c>
      <c r="M888">
        <v>0</v>
      </c>
      <c r="N888">
        <v>793.56488036999997</v>
      </c>
    </row>
    <row r="889" spans="1:14" x14ac:dyDescent="0.25">
      <c r="A889">
        <v>792</v>
      </c>
      <c r="B889" s="1">
        <f>DATE(2012,7,1) + TIME(0,0,0)</f>
        <v>41091</v>
      </c>
      <c r="C889">
        <v>6388.2109375</v>
      </c>
      <c r="D889">
        <v>5124.8305664</v>
      </c>
      <c r="E889">
        <v>651.27923583999996</v>
      </c>
      <c r="F889">
        <v>101.32499695</v>
      </c>
      <c r="G889">
        <v>80</v>
      </c>
      <c r="H889">
        <v>79.945449828999998</v>
      </c>
      <c r="I889">
        <v>50</v>
      </c>
      <c r="J889">
        <v>46.803924561000002</v>
      </c>
      <c r="K889">
        <v>2400</v>
      </c>
      <c r="L889">
        <v>0</v>
      </c>
      <c r="M889">
        <v>0</v>
      </c>
      <c r="N889">
        <v>793.40496826000003</v>
      </c>
    </row>
    <row r="890" spans="1:14" x14ac:dyDescent="0.25">
      <c r="A890">
        <v>794.04166199999997</v>
      </c>
      <c r="B890" s="1">
        <f>DATE(2012,7,3) + TIME(0,59,59)</f>
        <v>41093.041655092595</v>
      </c>
      <c r="C890">
        <v>6383.9057616999999</v>
      </c>
      <c r="D890">
        <v>5120.4780272999997</v>
      </c>
      <c r="E890">
        <v>651.37719727000001</v>
      </c>
      <c r="F890">
        <v>101.32499695</v>
      </c>
      <c r="G890">
        <v>80</v>
      </c>
      <c r="H890">
        <v>79.945602417000003</v>
      </c>
      <c r="I890">
        <v>50</v>
      </c>
      <c r="J890">
        <v>46.729122162000003</v>
      </c>
      <c r="K890">
        <v>2400</v>
      </c>
      <c r="L890">
        <v>0</v>
      </c>
      <c r="M890">
        <v>0</v>
      </c>
      <c r="N890">
        <v>793.25097656000003</v>
      </c>
    </row>
    <row r="891" spans="1:14" x14ac:dyDescent="0.25">
      <c r="A891">
        <v>796.13755000000003</v>
      </c>
      <c r="B891" s="1">
        <f>DATE(2012,7,5) + TIME(3,18,4)</f>
        <v>41095.137546296297</v>
      </c>
      <c r="C891">
        <v>6379.0610352000003</v>
      </c>
      <c r="D891">
        <v>5115.5742188000004</v>
      </c>
      <c r="E891">
        <v>651.40277100000003</v>
      </c>
      <c r="F891">
        <v>101.32499695</v>
      </c>
      <c r="G891">
        <v>80</v>
      </c>
      <c r="H891">
        <v>79.945701599000003</v>
      </c>
      <c r="I891">
        <v>50</v>
      </c>
      <c r="J891">
        <v>46.652275084999999</v>
      </c>
      <c r="K891">
        <v>2400</v>
      </c>
      <c r="L891">
        <v>0</v>
      </c>
      <c r="M891">
        <v>0</v>
      </c>
      <c r="N891">
        <v>793.06134033000001</v>
      </c>
    </row>
    <row r="892" spans="1:14" x14ac:dyDescent="0.25">
      <c r="A892">
        <v>798.28270499999996</v>
      </c>
      <c r="B892" s="1">
        <f>DATE(2012,7,7) + TIME(6,47,5)</f>
        <v>41097.282696759263</v>
      </c>
      <c r="C892">
        <v>6374.1079102000003</v>
      </c>
      <c r="D892">
        <v>5110.5654297000001</v>
      </c>
      <c r="E892">
        <v>651.43481444999998</v>
      </c>
      <c r="F892">
        <v>101.32499695</v>
      </c>
      <c r="G892">
        <v>80</v>
      </c>
      <c r="H892">
        <v>79.945800781000003</v>
      </c>
      <c r="I892">
        <v>50</v>
      </c>
      <c r="J892">
        <v>46.573749542000002</v>
      </c>
      <c r="K892">
        <v>2400</v>
      </c>
      <c r="L892">
        <v>0</v>
      </c>
      <c r="M892">
        <v>0</v>
      </c>
      <c r="N892">
        <v>792.87072753999996</v>
      </c>
    </row>
    <row r="893" spans="1:14" x14ac:dyDescent="0.25">
      <c r="A893">
        <v>800.48949000000005</v>
      </c>
      <c r="B893" s="1">
        <f>DATE(2012,7,9) + TIME(11,44,51)</f>
        <v>41099.489479166667</v>
      </c>
      <c r="C893">
        <v>6369.0961914</v>
      </c>
      <c r="D893">
        <v>5105.5009766000003</v>
      </c>
      <c r="E893">
        <v>651.47137451000003</v>
      </c>
      <c r="F893">
        <v>101.32499695</v>
      </c>
      <c r="G893">
        <v>80</v>
      </c>
      <c r="H893">
        <v>79.945899963000002</v>
      </c>
      <c r="I893">
        <v>50</v>
      </c>
      <c r="J893">
        <v>46.493495940999999</v>
      </c>
      <c r="K893">
        <v>2400</v>
      </c>
      <c r="L893">
        <v>0</v>
      </c>
      <c r="M893">
        <v>0</v>
      </c>
      <c r="N893">
        <v>792.67486571999996</v>
      </c>
    </row>
    <row r="894" spans="1:14" x14ac:dyDescent="0.25">
      <c r="A894">
        <v>802.73310000000004</v>
      </c>
      <c r="B894" s="1">
        <f>DATE(2012,7,11) + TIME(17,35,39)</f>
        <v>41101.733090277776</v>
      </c>
      <c r="C894">
        <v>6364.0332030999998</v>
      </c>
      <c r="D894">
        <v>5100.3876952999999</v>
      </c>
      <c r="E894">
        <v>651.50695800999995</v>
      </c>
      <c r="F894">
        <v>101.32499695</v>
      </c>
      <c r="G894">
        <v>80</v>
      </c>
      <c r="H894">
        <v>79.946006775000001</v>
      </c>
      <c r="I894">
        <v>50</v>
      </c>
      <c r="J894">
        <v>46.412090302000003</v>
      </c>
      <c r="K894">
        <v>2400</v>
      </c>
      <c r="L894">
        <v>0</v>
      </c>
      <c r="M894">
        <v>0</v>
      </c>
      <c r="N894">
        <v>792.47271728999999</v>
      </c>
    </row>
    <row r="895" spans="1:14" x14ac:dyDescent="0.25">
      <c r="A895">
        <v>805.00944200000004</v>
      </c>
      <c r="B895" s="1">
        <f>DATE(2012,7,14) + TIME(0,13,35)</f>
        <v>41104.009432870371</v>
      </c>
      <c r="C895">
        <v>6358.9570311999996</v>
      </c>
      <c r="D895">
        <v>5095.2646483999997</v>
      </c>
      <c r="E895">
        <v>651.54425048999997</v>
      </c>
      <c r="F895">
        <v>101.32499695</v>
      </c>
      <c r="G895">
        <v>80</v>
      </c>
      <c r="H895">
        <v>79.946105957</v>
      </c>
      <c r="I895">
        <v>50</v>
      </c>
      <c r="J895">
        <v>46.329818725999999</v>
      </c>
      <c r="K895">
        <v>2400</v>
      </c>
      <c r="L895">
        <v>0</v>
      </c>
      <c r="M895">
        <v>0</v>
      </c>
      <c r="N895">
        <v>792.26544189000003</v>
      </c>
    </row>
    <row r="896" spans="1:14" x14ac:dyDescent="0.25">
      <c r="A896">
        <v>807.31792800000005</v>
      </c>
      <c r="B896" s="1">
        <f>DATE(2012,7,16) + TIME(7,37,48)</f>
        <v>41106.317916666667</v>
      </c>
      <c r="C896">
        <v>6353.8798827999999</v>
      </c>
      <c r="D896">
        <v>5090.1435547000001</v>
      </c>
      <c r="E896">
        <v>651.58282470999995</v>
      </c>
      <c r="F896">
        <v>101.32499695</v>
      </c>
      <c r="G896">
        <v>80</v>
      </c>
      <c r="H896">
        <v>79.946212768999999</v>
      </c>
      <c r="I896">
        <v>50</v>
      </c>
      <c r="J896">
        <v>46.246845245000003</v>
      </c>
      <c r="K896">
        <v>2400</v>
      </c>
      <c r="L896">
        <v>0</v>
      </c>
      <c r="M896">
        <v>0</v>
      </c>
      <c r="N896">
        <v>792.05279541000004</v>
      </c>
    </row>
    <row r="897" spans="1:14" x14ac:dyDescent="0.25">
      <c r="A897">
        <v>809.67068400000005</v>
      </c>
      <c r="B897" s="1">
        <f>DATE(2012,7,18) + TIME(16,5,47)</f>
        <v>41108.670682870368</v>
      </c>
      <c r="C897">
        <v>6348.7988280999998</v>
      </c>
      <c r="D897">
        <v>5085.0214844000002</v>
      </c>
      <c r="E897">
        <v>651.62353515999996</v>
      </c>
      <c r="F897">
        <v>101.32499695</v>
      </c>
      <c r="G897">
        <v>80</v>
      </c>
      <c r="H897">
        <v>79.946319579999994</v>
      </c>
      <c r="I897">
        <v>50</v>
      </c>
      <c r="J897">
        <v>46.163021088000001</v>
      </c>
      <c r="K897">
        <v>2400</v>
      </c>
      <c r="L897">
        <v>0</v>
      </c>
      <c r="M897">
        <v>0</v>
      </c>
      <c r="N897">
        <v>791.83428954999999</v>
      </c>
    </row>
    <row r="898" spans="1:14" x14ac:dyDescent="0.25">
      <c r="A898">
        <v>812.06228299999998</v>
      </c>
      <c r="B898" s="1">
        <f>DATE(2012,7,21) + TIME(1,29,41)</f>
        <v>41111.062280092592</v>
      </c>
      <c r="C898">
        <v>6343.7026366999999</v>
      </c>
      <c r="D898">
        <v>5079.8862305000002</v>
      </c>
      <c r="E898">
        <v>651.66430663999995</v>
      </c>
      <c r="F898">
        <v>101.32499695</v>
      </c>
      <c r="G898">
        <v>80</v>
      </c>
      <c r="H898">
        <v>79.946434021000002</v>
      </c>
      <c r="I898">
        <v>50</v>
      </c>
      <c r="J898">
        <v>46.07844162</v>
      </c>
      <c r="K898">
        <v>2400</v>
      </c>
      <c r="L898">
        <v>0</v>
      </c>
      <c r="M898">
        <v>0</v>
      </c>
      <c r="N898">
        <v>791.609375</v>
      </c>
    </row>
    <row r="899" spans="1:14" x14ac:dyDescent="0.25">
      <c r="A899">
        <v>814.47070099999996</v>
      </c>
      <c r="B899" s="1">
        <f>DATE(2012,7,23) + TIME(11,17,48)</f>
        <v>41113.470694444448</v>
      </c>
      <c r="C899">
        <v>6338.6083983999997</v>
      </c>
      <c r="D899">
        <v>5074.7563477000003</v>
      </c>
      <c r="E899">
        <v>651.70446776999995</v>
      </c>
      <c r="F899">
        <v>101.32499695</v>
      </c>
      <c r="G899">
        <v>80</v>
      </c>
      <c r="H899">
        <v>79.946540833</v>
      </c>
      <c r="I899">
        <v>50</v>
      </c>
      <c r="J899">
        <v>45.993572235000002</v>
      </c>
      <c r="K899">
        <v>2400</v>
      </c>
      <c r="L899">
        <v>0</v>
      </c>
      <c r="M899">
        <v>0</v>
      </c>
      <c r="N899">
        <v>791.37933350000003</v>
      </c>
    </row>
    <row r="900" spans="1:14" x14ac:dyDescent="0.25">
      <c r="A900">
        <v>816.90862600000003</v>
      </c>
      <c r="B900" s="1">
        <f>DATE(2012,7,25) + TIME(21,48,25)</f>
        <v>41115.908622685187</v>
      </c>
      <c r="C900">
        <v>6333.5385741999999</v>
      </c>
      <c r="D900">
        <v>5069.6523438000004</v>
      </c>
      <c r="E900">
        <v>651.74755859000004</v>
      </c>
      <c r="F900">
        <v>101.32499695</v>
      </c>
      <c r="G900">
        <v>80</v>
      </c>
      <c r="H900">
        <v>79.946647643999995</v>
      </c>
      <c r="I900">
        <v>50</v>
      </c>
      <c r="J900">
        <v>45.908321381</v>
      </c>
      <c r="K900">
        <v>2400</v>
      </c>
      <c r="L900">
        <v>0</v>
      </c>
      <c r="M900">
        <v>0</v>
      </c>
      <c r="N900">
        <v>791.14453125</v>
      </c>
    </row>
    <row r="901" spans="1:14" x14ac:dyDescent="0.25">
      <c r="A901">
        <v>819.38206500000001</v>
      </c>
      <c r="B901" s="1">
        <f>DATE(2012,7,28) + TIME(9,10,10)</f>
        <v>41118.382060185184</v>
      </c>
      <c r="C901">
        <v>6328.4770508000001</v>
      </c>
      <c r="D901">
        <v>5064.5595702999999</v>
      </c>
      <c r="E901">
        <v>651.79217529000005</v>
      </c>
      <c r="F901">
        <v>101.32499695</v>
      </c>
      <c r="G901">
        <v>80</v>
      </c>
      <c r="H901">
        <v>79.946754455999994</v>
      </c>
      <c r="I901">
        <v>50</v>
      </c>
      <c r="J901">
        <v>45.82257843</v>
      </c>
      <c r="K901">
        <v>2400</v>
      </c>
      <c r="L901">
        <v>0</v>
      </c>
      <c r="M901">
        <v>0</v>
      </c>
      <c r="N901">
        <v>790.90380859000004</v>
      </c>
    </row>
    <row r="902" spans="1:14" x14ac:dyDescent="0.25">
      <c r="A902">
        <v>821.87948200000005</v>
      </c>
      <c r="B902" s="1">
        <f>DATE(2012,7,30) + TIME(21,6,27)</f>
        <v>41120.879479166666</v>
      </c>
      <c r="C902">
        <v>6323.4228516000003</v>
      </c>
      <c r="D902">
        <v>5059.4755858999997</v>
      </c>
      <c r="E902">
        <v>651.83697510000002</v>
      </c>
      <c r="F902">
        <v>101.32499695</v>
      </c>
      <c r="G902">
        <v>80</v>
      </c>
      <c r="H902">
        <v>79.946861267000003</v>
      </c>
      <c r="I902">
        <v>50</v>
      </c>
      <c r="J902">
        <v>45.736534118999998</v>
      </c>
      <c r="K902">
        <v>2400</v>
      </c>
      <c r="L902">
        <v>0</v>
      </c>
      <c r="M902">
        <v>0</v>
      </c>
      <c r="N902">
        <v>790.65716553000004</v>
      </c>
    </row>
    <row r="903" spans="1:14" x14ac:dyDescent="0.25">
      <c r="A903">
        <v>823</v>
      </c>
      <c r="B903" s="1">
        <f>DATE(2012,8,1) + TIME(0,0,0)</f>
        <v>41122</v>
      </c>
      <c r="C903">
        <v>6319.5102539</v>
      </c>
      <c r="D903">
        <v>5055.5341797000001</v>
      </c>
      <c r="E903">
        <v>651.71789550999995</v>
      </c>
      <c r="F903">
        <v>101.32499695</v>
      </c>
      <c r="G903">
        <v>80</v>
      </c>
      <c r="H903">
        <v>79.946807860999996</v>
      </c>
      <c r="I903">
        <v>50</v>
      </c>
      <c r="J903">
        <v>45.685405731000003</v>
      </c>
      <c r="K903">
        <v>2400</v>
      </c>
      <c r="L903">
        <v>0</v>
      </c>
      <c r="M903">
        <v>0</v>
      </c>
      <c r="N903">
        <v>790.45935058999999</v>
      </c>
    </row>
    <row r="904" spans="1:14" x14ac:dyDescent="0.25">
      <c r="A904">
        <v>825.53257399999995</v>
      </c>
      <c r="B904" s="1">
        <f>DATE(2012,8,3) + TIME(12,46,54)</f>
        <v>41124.532569444447</v>
      </c>
      <c r="C904">
        <v>6315.8388672000001</v>
      </c>
      <c r="D904">
        <v>5051.8530272999997</v>
      </c>
      <c r="E904">
        <v>651.94989013999998</v>
      </c>
      <c r="F904">
        <v>101.32499695</v>
      </c>
      <c r="G904">
        <v>80</v>
      </c>
      <c r="H904">
        <v>79.947044372999997</v>
      </c>
      <c r="I904">
        <v>50</v>
      </c>
      <c r="J904">
        <v>45.604686737000002</v>
      </c>
      <c r="K904">
        <v>2400</v>
      </c>
      <c r="L904">
        <v>0</v>
      </c>
      <c r="M904">
        <v>0</v>
      </c>
      <c r="N904">
        <v>790.29425048999997</v>
      </c>
    </row>
    <row r="905" spans="1:14" x14ac:dyDescent="0.25">
      <c r="A905">
        <v>828.127793</v>
      </c>
      <c r="B905" s="1">
        <f>DATE(2012,8,6) + TIME(3,4,1)</f>
        <v>41127.127789351849</v>
      </c>
      <c r="C905">
        <v>6311.0224608999997</v>
      </c>
      <c r="D905">
        <v>5047.0117188000004</v>
      </c>
      <c r="E905">
        <v>651.97277831999997</v>
      </c>
      <c r="F905">
        <v>101.32499695</v>
      </c>
      <c r="G905">
        <v>80</v>
      </c>
      <c r="H905">
        <v>79.947143554999997</v>
      </c>
      <c r="I905">
        <v>50</v>
      </c>
      <c r="J905">
        <v>45.520481109999999</v>
      </c>
      <c r="K905">
        <v>2400</v>
      </c>
      <c r="L905">
        <v>0</v>
      </c>
      <c r="M905">
        <v>0</v>
      </c>
      <c r="N905">
        <v>790.01977538999995</v>
      </c>
    </row>
    <row r="906" spans="1:14" x14ac:dyDescent="0.25">
      <c r="A906">
        <v>830.74822300000005</v>
      </c>
      <c r="B906" s="1">
        <f>DATE(2012,8,8) + TIME(17,57,26)</f>
        <v>41129.748217592591</v>
      </c>
      <c r="C906">
        <v>6306.0283202999999</v>
      </c>
      <c r="D906">
        <v>5041.9941405999998</v>
      </c>
      <c r="E906">
        <v>652.01385498000002</v>
      </c>
      <c r="F906">
        <v>101.32499695</v>
      </c>
      <c r="G906">
        <v>80</v>
      </c>
      <c r="H906">
        <v>79.947250366000006</v>
      </c>
      <c r="I906">
        <v>50</v>
      </c>
      <c r="J906">
        <v>45.434345245000003</v>
      </c>
      <c r="K906">
        <v>2400</v>
      </c>
      <c r="L906">
        <v>0</v>
      </c>
      <c r="M906">
        <v>0</v>
      </c>
      <c r="N906">
        <v>789.75085449000005</v>
      </c>
    </row>
    <row r="907" spans="1:14" x14ac:dyDescent="0.25">
      <c r="A907">
        <v>833.40550599999995</v>
      </c>
      <c r="B907" s="1">
        <f>DATE(2012,8,11) + TIME(9,43,55)</f>
        <v>41132.405497685184</v>
      </c>
      <c r="C907">
        <v>6301.0068358999997</v>
      </c>
      <c r="D907">
        <v>5036.9506836</v>
      </c>
      <c r="E907">
        <v>652.06524658000001</v>
      </c>
      <c r="F907">
        <v>101.32499695</v>
      </c>
      <c r="G907">
        <v>80</v>
      </c>
      <c r="H907">
        <v>79.947357178000004</v>
      </c>
      <c r="I907">
        <v>50</v>
      </c>
      <c r="J907">
        <v>45.346832274999997</v>
      </c>
      <c r="K907">
        <v>2400</v>
      </c>
      <c r="L907">
        <v>0</v>
      </c>
      <c r="M907">
        <v>0</v>
      </c>
      <c r="N907">
        <v>789.47680663999995</v>
      </c>
    </row>
    <row r="908" spans="1:14" x14ac:dyDescent="0.25">
      <c r="A908">
        <v>836.10471800000005</v>
      </c>
      <c r="B908" s="1">
        <f>DATE(2012,8,14) + TIME(2,30,47)</f>
        <v>41135.104710648149</v>
      </c>
      <c r="C908">
        <v>6295.9692383000001</v>
      </c>
      <c r="D908">
        <v>5031.8920897999997</v>
      </c>
      <c r="E908">
        <v>652.12158203000001</v>
      </c>
      <c r="F908">
        <v>101.32499695</v>
      </c>
      <c r="G908">
        <v>80</v>
      </c>
      <c r="H908">
        <v>79.947471618999998</v>
      </c>
      <c r="I908">
        <v>50</v>
      </c>
      <c r="J908">
        <v>45.258186340000002</v>
      </c>
      <c r="K908">
        <v>2400</v>
      </c>
      <c r="L908">
        <v>0</v>
      </c>
      <c r="M908">
        <v>0</v>
      </c>
      <c r="N908">
        <v>789.19354248000002</v>
      </c>
    </row>
    <row r="909" spans="1:14" x14ac:dyDescent="0.25">
      <c r="A909">
        <v>838.82284200000004</v>
      </c>
      <c r="B909" s="1">
        <f>DATE(2012,8,16) + TIME(19,44,53)</f>
        <v>41137.822835648149</v>
      </c>
      <c r="C909">
        <v>6290.9272461</v>
      </c>
      <c r="D909">
        <v>5026.8310547000001</v>
      </c>
      <c r="E909">
        <v>652.17980956999997</v>
      </c>
      <c r="F909">
        <v>101.32499695</v>
      </c>
      <c r="G909">
        <v>80</v>
      </c>
      <c r="H909">
        <v>79.947578429999993</v>
      </c>
      <c r="I909">
        <v>50</v>
      </c>
      <c r="J909">
        <v>45.168952941999997</v>
      </c>
      <c r="K909">
        <v>2400</v>
      </c>
      <c r="L909">
        <v>0</v>
      </c>
      <c r="M909">
        <v>0</v>
      </c>
      <c r="N909">
        <v>788.90148925999995</v>
      </c>
    </row>
    <row r="910" spans="1:14" x14ac:dyDescent="0.25">
      <c r="A910">
        <v>841.57161900000006</v>
      </c>
      <c r="B910" s="1">
        <f>DATE(2012,8,19) + TIME(13,43,7)</f>
        <v>41140.571608796294</v>
      </c>
      <c r="C910">
        <v>6285.9023438000004</v>
      </c>
      <c r="D910">
        <v>5021.7880858999997</v>
      </c>
      <c r="E910">
        <v>652.24316406000003</v>
      </c>
      <c r="F910">
        <v>101.32499695</v>
      </c>
      <c r="G910">
        <v>80</v>
      </c>
      <c r="H910">
        <v>79.947692871000001</v>
      </c>
      <c r="I910">
        <v>50</v>
      </c>
      <c r="J910">
        <v>45.079151154000002</v>
      </c>
      <c r="K910">
        <v>2400</v>
      </c>
      <c r="L910">
        <v>0</v>
      </c>
      <c r="M910">
        <v>0</v>
      </c>
      <c r="N910">
        <v>788.60131836000005</v>
      </c>
    </row>
    <row r="911" spans="1:14" x14ac:dyDescent="0.25">
      <c r="A911">
        <v>844.36439299999995</v>
      </c>
      <c r="B911" s="1">
        <f>DATE(2012,8,22) + TIME(8,44,43)</f>
        <v>41143.364386574074</v>
      </c>
      <c r="C911">
        <v>6280.8808594000002</v>
      </c>
      <c r="D911">
        <v>5016.7495116999999</v>
      </c>
      <c r="E911">
        <v>652.31097411999997</v>
      </c>
      <c r="F911">
        <v>101.32499695</v>
      </c>
      <c r="G911">
        <v>80</v>
      </c>
      <c r="H911">
        <v>79.947807311999995</v>
      </c>
      <c r="I911">
        <v>50</v>
      </c>
      <c r="J911">
        <v>44.988586425999998</v>
      </c>
      <c r="K911">
        <v>2400</v>
      </c>
      <c r="L911">
        <v>0</v>
      </c>
      <c r="M911">
        <v>0</v>
      </c>
      <c r="N911">
        <v>788.29150390999996</v>
      </c>
    </row>
    <row r="912" spans="1:14" x14ac:dyDescent="0.25">
      <c r="A912">
        <v>847.180521</v>
      </c>
      <c r="B912" s="1">
        <f>DATE(2012,8,25) + TIME(4,19,56)</f>
        <v>41146.180509259262</v>
      </c>
      <c r="C912">
        <v>6275.8579102000003</v>
      </c>
      <c r="D912">
        <v>5011.7109375</v>
      </c>
      <c r="E912">
        <v>652.38104248000002</v>
      </c>
      <c r="F912">
        <v>101.32499695</v>
      </c>
      <c r="G912">
        <v>80</v>
      </c>
      <c r="H912">
        <v>79.947921753000003</v>
      </c>
      <c r="I912">
        <v>50</v>
      </c>
      <c r="J912">
        <v>44.897525786999999</v>
      </c>
      <c r="K912">
        <v>2400</v>
      </c>
      <c r="L912">
        <v>0</v>
      </c>
      <c r="M912">
        <v>0</v>
      </c>
      <c r="N912">
        <v>787.97198486000002</v>
      </c>
    </row>
    <row r="913" spans="1:14" x14ac:dyDescent="0.25">
      <c r="A913">
        <v>850.02554299999997</v>
      </c>
      <c r="B913" s="1">
        <f>DATE(2012,8,28) + TIME(0,36,46)</f>
        <v>41149.02553240741</v>
      </c>
      <c r="C913">
        <v>6270.8505858999997</v>
      </c>
      <c r="D913">
        <v>5006.6894530999998</v>
      </c>
      <c r="E913">
        <v>652.45642090000001</v>
      </c>
      <c r="F913">
        <v>101.32499695</v>
      </c>
      <c r="G913">
        <v>80</v>
      </c>
      <c r="H913">
        <v>79.948036193999997</v>
      </c>
      <c r="I913">
        <v>50</v>
      </c>
      <c r="J913">
        <v>44.805961609000001</v>
      </c>
      <c r="K913">
        <v>2400</v>
      </c>
      <c r="L913">
        <v>0</v>
      </c>
      <c r="M913">
        <v>0</v>
      </c>
      <c r="N913">
        <v>787.64349364999998</v>
      </c>
    </row>
    <row r="914" spans="1:14" x14ac:dyDescent="0.25">
      <c r="A914">
        <v>852.91328799999997</v>
      </c>
      <c r="B914" s="1">
        <f>DATE(2012,8,30) + TIME(21,55,8)</f>
        <v>41151.913287037038</v>
      </c>
      <c r="C914">
        <v>6265.8500977000003</v>
      </c>
      <c r="D914">
        <v>5001.6748047000001</v>
      </c>
      <c r="E914">
        <v>652.53759765999996</v>
      </c>
      <c r="F914">
        <v>101.32499695</v>
      </c>
      <c r="G914">
        <v>80</v>
      </c>
      <c r="H914">
        <v>79.948150635000005</v>
      </c>
      <c r="I914">
        <v>50</v>
      </c>
      <c r="J914">
        <v>44.713653563999998</v>
      </c>
      <c r="K914">
        <v>2400</v>
      </c>
      <c r="L914">
        <v>0</v>
      </c>
      <c r="M914">
        <v>0</v>
      </c>
      <c r="N914">
        <v>787.30450439000003</v>
      </c>
    </row>
    <row r="915" spans="1:14" x14ac:dyDescent="0.25">
      <c r="A915">
        <v>854</v>
      </c>
      <c r="B915" s="1">
        <f>DATE(2012,9,1) + TIME(0,0,0)</f>
        <v>41153</v>
      </c>
      <c r="C915">
        <v>6262.2426758000001</v>
      </c>
      <c r="D915">
        <v>4998.0532227000003</v>
      </c>
      <c r="E915">
        <v>652.40612793000003</v>
      </c>
      <c r="F915">
        <v>101.32499695</v>
      </c>
      <c r="G915">
        <v>80</v>
      </c>
      <c r="H915">
        <v>79.948081970000004</v>
      </c>
      <c r="I915">
        <v>50</v>
      </c>
      <c r="J915">
        <v>44.664051055999998</v>
      </c>
      <c r="K915">
        <v>2400</v>
      </c>
      <c r="L915">
        <v>0</v>
      </c>
      <c r="M915">
        <v>0</v>
      </c>
      <c r="N915">
        <v>787.03625488</v>
      </c>
    </row>
    <row r="916" spans="1:14" x14ac:dyDescent="0.25">
      <c r="A916">
        <v>856.94206899999995</v>
      </c>
      <c r="B916" s="1">
        <f>DATE(2012,9,3) + TIME(22,36,34)</f>
        <v>41155.942060185182</v>
      </c>
      <c r="C916">
        <v>6258.640625</v>
      </c>
      <c r="D916">
        <v>4994.4487305000002</v>
      </c>
      <c r="E916">
        <v>652.70935058999999</v>
      </c>
      <c r="F916">
        <v>101.32499695</v>
      </c>
      <c r="G916">
        <v>80</v>
      </c>
      <c r="H916">
        <v>79.948326111</v>
      </c>
      <c r="I916">
        <v>50</v>
      </c>
      <c r="J916">
        <v>44.577816009999999</v>
      </c>
      <c r="K916">
        <v>2400</v>
      </c>
      <c r="L916">
        <v>0</v>
      </c>
      <c r="M916">
        <v>0</v>
      </c>
      <c r="N916">
        <v>786.81976318</v>
      </c>
    </row>
    <row r="917" spans="1:14" x14ac:dyDescent="0.25">
      <c r="A917">
        <v>859.918769</v>
      </c>
      <c r="B917" s="1">
        <f>DATE(2012,9,6) + TIME(22,3,1)</f>
        <v>41158.918761574074</v>
      </c>
      <c r="C917">
        <v>6253.8608397999997</v>
      </c>
      <c r="D917">
        <v>4989.6572266000003</v>
      </c>
      <c r="E917">
        <v>652.76800536999997</v>
      </c>
      <c r="F917">
        <v>101.32499695</v>
      </c>
      <c r="G917">
        <v>80</v>
      </c>
      <c r="H917">
        <v>79.948432921999995</v>
      </c>
      <c r="I917">
        <v>50</v>
      </c>
      <c r="J917">
        <v>44.487308501999998</v>
      </c>
      <c r="K917">
        <v>2400</v>
      </c>
      <c r="L917">
        <v>0</v>
      </c>
      <c r="M917">
        <v>0</v>
      </c>
      <c r="N917">
        <v>786.44049071999996</v>
      </c>
    </row>
    <row r="918" spans="1:14" x14ac:dyDescent="0.25">
      <c r="A918">
        <v>862.93116899999995</v>
      </c>
      <c r="B918" s="1">
        <f>DATE(2012,9,9) + TIME(22,20,52)</f>
        <v>41161.931157407409</v>
      </c>
      <c r="C918">
        <v>6248.9165039</v>
      </c>
      <c r="D918">
        <v>4984.7016602000003</v>
      </c>
      <c r="E918">
        <v>652.85906981999995</v>
      </c>
      <c r="F918">
        <v>101.32499695</v>
      </c>
      <c r="G918">
        <v>80</v>
      </c>
      <c r="H918">
        <v>79.948539733999993</v>
      </c>
      <c r="I918">
        <v>50</v>
      </c>
      <c r="J918">
        <v>44.394191741999997</v>
      </c>
      <c r="K918">
        <v>2400</v>
      </c>
      <c r="L918">
        <v>0</v>
      </c>
      <c r="M918">
        <v>0</v>
      </c>
      <c r="N918">
        <v>786.06500243999994</v>
      </c>
    </row>
    <row r="919" spans="1:14" x14ac:dyDescent="0.25">
      <c r="A919">
        <v>865.97817299999997</v>
      </c>
      <c r="B919" s="1">
        <f>DATE(2012,9,12) + TIME(23,28,34)</f>
        <v>41164.978171296294</v>
      </c>
      <c r="C919">
        <v>6243.9365233999997</v>
      </c>
      <c r="D919">
        <v>4979.7114258000001</v>
      </c>
      <c r="E919">
        <v>652.96417236000002</v>
      </c>
      <c r="F919">
        <v>101.32499695</v>
      </c>
      <c r="G919">
        <v>80</v>
      </c>
      <c r="H919">
        <v>79.948654175000001</v>
      </c>
      <c r="I919">
        <v>50</v>
      </c>
      <c r="J919">
        <v>44.299324036000002</v>
      </c>
      <c r="K919">
        <v>2400</v>
      </c>
      <c r="L919">
        <v>0</v>
      </c>
      <c r="M919">
        <v>0</v>
      </c>
      <c r="N919">
        <v>785.67712401999995</v>
      </c>
    </row>
    <row r="920" spans="1:14" x14ac:dyDescent="0.25">
      <c r="A920">
        <v>869.05118700000003</v>
      </c>
      <c r="B920" s="1">
        <f>DATE(2012,9,16) + TIME(1,13,42)</f>
        <v>41168.051180555558</v>
      </c>
      <c r="C920">
        <v>6238.9521483999997</v>
      </c>
      <c r="D920">
        <v>4974.7172852000003</v>
      </c>
      <c r="E920">
        <v>653.07849121000004</v>
      </c>
      <c r="F920">
        <v>101.32499695</v>
      </c>
      <c r="G920">
        <v>80</v>
      </c>
      <c r="H920">
        <v>79.948776245000005</v>
      </c>
      <c r="I920">
        <v>50</v>
      </c>
      <c r="J920">
        <v>44.203266143999997</v>
      </c>
      <c r="K920">
        <v>2400</v>
      </c>
      <c r="L920">
        <v>0</v>
      </c>
      <c r="M920">
        <v>0</v>
      </c>
      <c r="N920">
        <v>785.27490234000004</v>
      </c>
    </row>
    <row r="921" spans="1:14" x14ac:dyDescent="0.25">
      <c r="A921">
        <v>872.162823</v>
      </c>
      <c r="B921" s="1">
        <f>DATE(2012,9,19) + TIME(3,54,27)</f>
        <v>41171.162812499999</v>
      </c>
      <c r="C921">
        <v>6233.9736327999999</v>
      </c>
      <c r="D921">
        <v>4969.7299805000002</v>
      </c>
      <c r="E921">
        <v>653.20288086000005</v>
      </c>
      <c r="F921">
        <v>101.32499695</v>
      </c>
      <c r="G921">
        <v>80</v>
      </c>
      <c r="H921">
        <v>79.948890685999999</v>
      </c>
      <c r="I921">
        <v>50</v>
      </c>
      <c r="J921">
        <v>44.106086730999998</v>
      </c>
      <c r="K921">
        <v>2400</v>
      </c>
      <c r="L921">
        <v>0</v>
      </c>
      <c r="M921">
        <v>0</v>
      </c>
      <c r="N921">
        <v>784.85833739999998</v>
      </c>
    </row>
    <row r="922" spans="1:14" x14ac:dyDescent="0.25">
      <c r="A922">
        <v>875.32724299999995</v>
      </c>
      <c r="B922" s="1">
        <f>DATE(2012,9,22) + TIME(7,51,13)</f>
        <v>41174.327233796299</v>
      </c>
      <c r="C922">
        <v>6228.9882811999996</v>
      </c>
      <c r="D922">
        <v>4964.7363280999998</v>
      </c>
      <c r="E922">
        <v>653.33734131000006</v>
      </c>
      <c r="F922">
        <v>101.32499695</v>
      </c>
      <c r="G922">
        <v>80</v>
      </c>
      <c r="H922">
        <v>79.949005127000007</v>
      </c>
      <c r="I922">
        <v>50</v>
      </c>
      <c r="J922">
        <v>44.007583617999998</v>
      </c>
      <c r="K922">
        <v>2400</v>
      </c>
      <c r="L922">
        <v>0</v>
      </c>
      <c r="M922">
        <v>0</v>
      </c>
      <c r="N922">
        <v>784.42572021000001</v>
      </c>
    </row>
    <row r="923" spans="1:14" x14ac:dyDescent="0.25">
      <c r="A923">
        <v>878.51110100000005</v>
      </c>
      <c r="B923" s="1">
        <f>DATE(2012,9,25) + TIME(12,15,59)</f>
        <v>41177.511099537034</v>
      </c>
      <c r="C923">
        <v>6223.9975586</v>
      </c>
      <c r="D923">
        <v>4959.7377930000002</v>
      </c>
      <c r="E923">
        <v>653.47930908000001</v>
      </c>
      <c r="F923">
        <v>101.32499695</v>
      </c>
      <c r="G923">
        <v>80</v>
      </c>
      <c r="H923">
        <v>79.949127196999996</v>
      </c>
      <c r="I923">
        <v>50</v>
      </c>
      <c r="J923">
        <v>43.908157349</v>
      </c>
      <c r="K923">
        <v>2400</v>
      </c>
      <c r="L923">
        <v>0</v>
      </c>
      <c r="M923">
        <v>0</v>
      </c>
      <c r="N923">
        <v>783.97735595999995</v>
      </c>
    </row>
    <row r="924" spans="1:14" x14ac:dyDescent="0.25">
      <c r="A924">
        <v>881.72533399999998</v>
      </c>
      <c r="B924" s="1">
        <f>DATE(2012,9,28) + TIME(17,24,28)</f>
        <v>41180.725324074076</v>
      </c>
      <c r="C924">
        <v>6219.0249022999997</v>
      </c>
      <c r="D924">
        <v>4954.7573241999999</v>
      </c>
      <c r="E924">
        <v>653.63305663999995</v>
      </c>
      <c r="F924">
        <v>101.32499695</v>
      </c>
      <c r="G924">
        <v>80</v>
      </c>
      <c r="H924">
        <v>79.949241638000004</v>
      </c>
      <c r="I924">
        <v>50</v>
      </c>
      <c r="J924">
        <v>43.807815552000001</v>
      </c>
      <c r="K924">
        <v>2400</v>
      </c>
      <c r="L924">
        <v>0</v>
      </c>
      <c r="M924">
        <v>0</v>
      </c>
      <c r="N924">
        <v>783.51513671999999</v>
      </c>
    </row>
    <row r="925" spans="1:14" x14ac:dyDescent="0.25">
      <c r="A925">
        <v>884</v>
      </c>
      <c r="B925" s="1">
        <f>DATE(2012,10,1) + TIME(0,0,0)</f>
        <v>41183</v>
      </c>
      <c r="C925">
        <v>6214.5449219000002</v>
      </c>
      <c r="D925">
        <v>4950.2700194999998</v>
      </c>
      <c r="E925">
        <v>653.71118163999995</v>
      </c>
      <c r="F925">
        <v>101.32499695</v>
      </c>
      <c r="G925">
        <v>80</v>
      </c>
      <c r="H925">
        <v>79.949287415000001</v>
      </c>
      <c r="I925">
        <v>50</v>
      </c>
      <c r="J925">
        <v>43.724254608000003</v>
      </c>
      <c r="K925">
        <v>2400</v>
      </c>
      <c r="L925">
        <v>0</v>
      </c>
      <c r="M925">
        <v>0</v>
      </c>
      <c r="N925">
        <v>783.08917236000002</v>
      </c>
    </row>
    <row r="926" spans="1:14" x14ac:dyDescent="0.25">
      <c r="A926">
        <v>887.25734899999998</v>
      </c>
      <c r="B926" s="1">
        <f>DATE(2012,10,4) + TIME(6,10,34)</f>
        <v>41186.257337962961</v>
      </c>
      <c r="C926">
        <v>6210.3759766000003</v>
      </c>
      <c r="D926">
        <v>4946.0981444999998</v>
      </c>
      <c r="E926">
        <v>653.95800781000003</v>
      </c>
      <c r="F926">
        <v>101.32499695</v>
      </c>
      <c r="G926">
        <v>80</v>
      </c>
      <c r="H926">
        <v>79.949462890999996</v>
      </c>
      <c r="I926">
        <v>50</v>
      </c>
      <c r="J926">
        <v>43.628696441999999</v>
      </c>
      <c r="K926">
        <v>2400</v>
      </c>
      <c r="L926">
        <v>0</v>
      </c>
      <c r="M926">
        <v>0</v>
      </c>
      <c r="N926">
        <v>782.68218993999994</v>
      </c>
    </row>
    <row r="927" spans="1:14" x14ac:dyDescent="0.25">
      <c r="A927">
        <v>890.58959400000003</v>
      </c>
      <c r="B927" s="1">
        <f>DATE(2012,10,7) + TIME(14,9,0)</f>
        <v>41189.589583333334</v>
      </c>
      <c r="C927">
        <v>6205.578125</v>
      </c>
      <c r="D927">
        <v>4941.2939452999999</v>
      </c>
      <c r="E927">
        <v>654.12005614999998</v>
      </c>
      <c r="F927">
        <v>101.32499695</v>
      </c>
      <c r="G927">
        <v>80</v>
      </c>
      <c r="H927">
        <v>79.949569702000005</v>
      </c>
      <c r="I927">
        <v>50</v>
      </c>
      <c r="J927">
        <v>43.528396606000001</v>
      </c>
      <c r="K927">
        <v>2400</v>
      </c>
      <c r="L927">
        <v>0</v>
      </c>
      <c r="M927">
        <v>0</v>
      </c>
      <c r="N927">
        <v>782.17547606999995</v>
      </c>
    </row>
    <row r="928" spans="1:14" x14ac:dyDescent="0.25">
      <c r="A928">
        <v>893.94759199999999</v>
      </c>
      <c r="B928" s="1">
        <f>DATE(2012,10,10) + TIME(22,44,31)</f>
        <v>41192.947581018518</v>
      </c>
      <c r="C928">
        <v>6200.6552733999997</v>
      </c>
      <c r="D928">
        <v>4936.3652344000002</v>
      </c>
      <c r="E928">
        <v>654.30999756000006</v>
      </c>
      <c r="F928">
        <v>101.32499695</v>
      </c>
      <c r="G928">
        <v>80</v>
      </c>
      <c r="H928">
        <v>79.949684142999999</v>
      </c>
      <c r="I928">
        <v>50</v>
      </c>
      <c r="J928">
        <v>43.425235747999999</v>
      </c>
      <c r="K928">
        <v>2400</v>
      </c>
      <c r="L928">
        <v>0</v>
      </c>
      <c r="M928">
        <v>0</v>
      </c>
      <c r="N928">
        <v>781.65637206999997</v>
      </c>
    </row>
    <row r="929" spans="1:14" x14ac:dyDescent="0.25">
      <c r="A929">
        <v>897.33297600000003</v>
      </c>
      <c r="B929" s="1">
        <f>DATE(2012,10,14) + TIME(7,59,29)</f>
        <v>41196.332974537036</v>
      </c>
      <c r="C929">
        <v>6195.7172852000003</v>
      </c>
      <c r="D929">
        <v>4931.421875</v>
      </c>
      <c r="E929">
        <v>654.51934814000003</v>
      </c>
      <c r="F929">
        <v>101.32499695</v>
      </c>
      <c r="G929">
        <v>80</v>
      </c>
      <c r="H929">
        <v>79.949806213000002</v>
      </c>
      <c r="I929">
        <v>50</v>
      </c>
      <c r="J929">
        <v>43.320156097000002</v>
      </c>
      <c r="K929">
        <v>2400</v>
      </c>
      <c r="L929">
        <v>0</v>
      </c>
      <c r="M929">
        <v>0</v>
      </c>
      <c r="N929">
        <v>781.11993408000001</v>
      </c>
    </row>
    <row r="930" spans="1:14" x14ac:dyDescent="0.25">
      <c r="A930">
        <v>900.75990300000001</v>
      </c>
      <c r="B930" s="1">
        <f>DATE(2012,10,17) + TIME(18,14,15)</f>
        <v>41199.759895833333</v>
      </c>
      <c r="C930">
        <v>6190.7802733999997</v>
      </c>
      <c r="D930">
        <v>4926.4799805000002</v>
      </c>
      <c r="E930">
        <v>654.74542236000002</v>
      </c>
      <c r="F930">
        <v>101.32499695</v>
      </c>
      <c r="G930">
        <v>80</v>
      </c>
      <c r="H930">
        <v>79.949920653999996</v>
      </c>
      <c r="I930">
        <v>50</v>
      </c>
      <c r="J930">
        <v>43.213397980000003</v>
      </c>
      <c r="K930">
        <v>2400</v>
      </c>
      <c r="L930">
        <v>0</v>
      </c>
      <c r="M930">
        <v>0</v>
      </c>
      <c r="N930">
        <v>780.56500243999994</v>
      </c>
    </row>
    <row r="931" spans="1:14" x14ac:dyDescent="0.25">
      <c r="A931">
        <v>904.22555</v>
      </c>
      <c r="B931" s="1">
        <f>DATE(2012,10,21) + TIME(5,24,47)</f>
        <v>41203.225543981483</v>
      </c>
      <c r="C931">
        <v>6185.8408202999999</v>
      </c>
      <c r="D931">
        <v>4921.5356444999998</v>
      </c>
      <c r="E931">
        <v>654.98669433999999</v>
      </c>
      <c r="F931">
        <v>101.32499695</v>
      </c>
      <c r="G931">
        <v>80</v>
      </c>
      <c r="H931">
        <v>79.950042725000003</v>
      </c>
      <c r="I931">
        <v>50</v>
      </c>
      <c r="J931">
        <v>43.105083466000004</v>
      </c>
      <c r="K931">
        <v>2400</v>
      </c>
      <c r="L931">
        <v>0</v>
      </c>
      <c r="M931">
        <v>0</v>
      </c>
      <c r="N931">
        <v>779.99114989999998</v>
      </c>
    </row>
    <row r="932" spans="1:14" x14ac:dyDescent="0.25">
      <c r="A932">
        <v>907.70676300000002</v>
      </c>
      <c r="B932" s="1">
        <f>DATE(2012,10,24) + TIME(16,57,44)</f>
        <v>41206.706759259258</v>
      </c>
      <c r="C932">
        <v>6180.9101561999996</v>
      </c>
      <c r="D932">
        <v>4916.6000977000003</v>
      </c>
      <c r="E932">
        <v>655.24230956999997</v>
      </c>
      <c r="F932">
        <v>101.32499695</v>
      </c>
      <c r="G932">
        <v>80</v>
      </c>
      <c r="H932">
        <v>79.950164795000006</v>
      </c>
      <c r="I932">
        <v>50</v>
      </c>
      <c r="J932">
        <v>42.995609283</v>
      </c>
      <c r="K932">
        <v>2400</v>
      </c>
      <c r="L932">
        <v>0</v>
      </c>
      <c r="M932">
        <v>0</v>
      </c>
      <c r="N932">
        <v>779.40032958999996</v>
      </c>
    </row>
    <row r="933" spans="1:14" x14ac:dyDescent="0.25">
      <c r="A933">
        <v>911.21545500000002</v>
      </c>
      <c r="B933" s="1">
        <f>DATE(2012,10,28) + TIME(5,10,15)</f>
        <v>41210.215451388889</v>
      </c>
      <c r="C933">
        <v>6176.0024414</v>
      </c>
      <c r="D933">
        <v>4911.6889647999997</v>
      </c>
      <c r="E933">
        <v>655.51477050999995</v>
      </c>
      <c r="F933">
        <v>101.32499695</v>
      </c>
      <c r="G933">
        <v>80</v>
      </c>
      <c r="H933">
        <v>79.950279236</v>
      </c>
      <c r="I933">
        <v>50</v>
      </c>
      <c r="J933">
        <v>42.885002135999997</v>
      </c>
      <c r="K933">
        <v>2400</v>
      </c>
      <c r="L933">
        <v>0</v>
      </c>
      <c r="M933">
        <v>0</v>
      </c>
      <c r="N933">
        <v>778.79461670000001</v>
      </c>
    </row>
    <row r="934" spans="1:14" x14ac:dyDescent="0.25">
      <c r="A934">
        <v>914.76409000000001</v>
      </c>
      <c r="B934" s="1">
        <f>DATE(2012,10,31) + TIME(18,20,17)</f>
        <v>41213.764085648145</v>
      </c>
      <c r="C934">
        <v>6171.1083983999997</v>
      </c>
      <c r="D934">
        <v>4906.7905272999997</v>
      </c>
      <c r="E934">
        <v>655.80419921999999</v>
      </c>
      <c r="F934">
        <v>101.32499695</v>
      </c>
      <c r="G934">
        <v>80</v>
      </c>
      <c r="H934">
        <v>79.950401306000003</v>
      </c>
      <c r="I934">
        <v>50</v>
      </c>
      <c r="J934">
        <v>42.773063659999998</v>
      </c>
      <c r="K934">
        <v>2400</v>
      </c>
      <c r="L934">
        <v>0</v>
      </c>
      <c r="M934">
        <v>0</v>
      </c>
      <c r="N934">
        <v>778.17272949000005</v>
      </c>
    </row>
    <row r="935" spans="1:14" x14ac:dyDescent="0.25">
      <c r="A935">
        <v>915</v>
      </c>
      <c r="B935" s="1">
        <f>DATE(2012,11,1) + TIME(0,0,0)</f>
        <v>41214</v>
      </c>
      <c r="C935">
        <v>6169.8940430000002</v>
      </c>
      <c r="D935">
        <v>4905.5698241999999</v>
      </c>
      <c r="E935">
        <v>655.36822510000002</v>
      </c>
      <c r="F935">
        <v>101.32499695</v>
      </c>
      <c r="G935">
        <v>80</v>
      </c>
      <c r="H935">
        <v>79.950309752999999</v>
      </c>
      <c r="I935">
        <v>50</v>
      </c>
      <c r="J935">
        <v>42.758392334</v>
      </c>
      <c r="K935">
        <v>2400</v>
      </c>
      <c r="L935">
        <v>0</v>
      </c>
      <c r="M935">
        <v>0</v>
      </c>
      <c r="N935">
        <v>777.64782715000001</v>
      </c>
    </row>
    <row r="936" spans="1:14" x14ac:dyDescent="0.25">
      <c r="A936">
        <v>915.000001</v>
      </c>
      <c r="B936" s="1">
        <f>DATE(2012,11,1) + TIME(0,0,0)</f>
        <v>41214</v>
      </c>
      <c r="C936">
        <v>4904.6420897999997</v>
      </c>
      <c r="D936">
        <v>3635.6308594000002</v>
      </c>
      <c r="E936">
        <v>2529.8947754000001</v>
      </c>
      <c r="F936">
        <v>655.87738036999997</v>
      </c>
      <c r="G936">
        <v>80</v>
      </c>
      <c r="H936">
        <v>79.950172424000002</v>
      </c>
      <c r="I936">
        <v>50</v>
      </c>
      <c r="J936">
        <v>42.758460999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915.00000399999999</v>
      </c>
      <c r="B937" s="1">
        <f>DATE(2012,11,1) + TIME(0,0,0)</f>
        <v>41214</v>
      </c>
      <c r="C937">
        <v>4901.8637694999998</v>
      </c>
      <c r="D937">
        <v>3632.8461914</v>
      </c>
      <c r="E937">
        <v>2531.6967773000001</v>
      </c>
      <c r="F937">
        <v>657.40319824000005</v>
      </c>
      <c r="G937">
        <v>80</v>
      </c>
      <c r="H937">
        <v>79.949768066000004</v>
      </c>
      <c r="I937">
        <v>50</v>
      </c>
      <c r="J937">
        <v>42.758666992000002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915.00001299999997</v>
      </c>
      <c r="B938" s="1">
        <f>DATE(2012,11,1) + TIME(0,0,1)</f>
        <v>41214.000011574077</v>
      </c>
      <c r="C938">
        <v>4893.5791016000003</v>
      </c>
      <c r="D938">
        <v>3624.5422362999998</v>
      </c>
      <c r="E938">
        <v>2537.0825195000002</v>
      </c>
      <c r="F938">
        <v>661.96667479999996</v>
      </c>
      <c r="G938">
        <v>80</v>
      </c>
      <c r="H938">
        <v>79.948554993000002</v>
      </c>
      <c r="I938">
        <v>50</v>
      </c>
      <c r="J938">
        <v>42.759284973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915.00004000000001</v>
      </c>
      <c r="B939" s="1">
        <f>DATE(2012,11,1) + TIME(0,0,3)</f>
        <v>41214.000034722223</v>
      </c>
      <c r="C939">
        <v>4869.1669922000001</v>
      </c>
      <c r="D939">
        <v>3600.0737304999998</v>
      </c>
      <c r="E939">
        <v>2553.0588379000001</v>
      </c>
      <c r="F939">
        <v>675.53198241999996</v>
      </c>
      <c r="G939">
        <v>80</v>
      </c>
      <c r="H939">
        <v>79.944976807000003</v>
      </c>
      <c r="I939">
        <v>50</v>
      </c>
      <c r="J939">
        <v>42.761123656999999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915.00012100000004</v>
      </c>
      <c r="B940" s="1">
        <f>DATE(2012,11,1) + TIME(0,0,10)</f>
        <v>41214.000115740739</v>
      </c>
      <c r="C940">
        <v>4799.6396483999997</v>
      </c>
      <c r="D940">
        <v>3530.3869629000001</v>
      </c>
      <c r="E940">
        <v>2599.4311523000001</v>
      </c>
      <c r="F940">
        <v>715.13848876999998</v>
      </c>
      <c r="G940">
        <v>80</v>
      </c>
      <c r="H940">
        <v>79.934806824000006</v>
      </c>
      <c r="I940">
        <v>50</v>
      </c>
      <c r="J940">
        <v>42.766513824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915.00036399999999</v>
      </c>
      <c r="B941" s="1">
        <f>DATE(2012,11,1) + TIME(0,0,31)</f>
        <v>41214.000358796293</v>
      </c>
      <c r="C941">
        <v>4618.6401366999999</v>
      </c>
      <c r="D941">
        <v>3348.9870605000001</v>
      </c>
      <c r="E941">
        <v>2726.1848144999999</v>
      </c>
      <c r="F941">
        <v>825.06787109000004</v>
      </c>
      <c r="G941">
        <v>80</v>
      </c>
      <c r="H941">
        <v>79.908348083000007</v>
      </c>
      <c r="I941">
        <v>50</v>
      </c>
      <c r="J941">
        <v>42.781627655000001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915.00109299999997</v>
      </c>
      <c r="B942" s="1">
        <f>DATE(2012,11,1) + TIME(0,1,34)</f>
        <v>41214.001087962963</v>
      </c>
      <c r="C942">
        <v>4231.6728516000003</v>
      </c>
      <c r="D942">
        <v>2961.2243652000002</v>
      </c>
      <c r="E942">
        <v>3025.8942870999999</v>
      </c>
      <c r="F942">
        <v>1093.5283202999999</v>
      </c>
      <c r="G942">
        <v>80</v>
      </c>
      <c r="H942">
        <v>79.851936339999995</v>
      </c>
      <c r="I942">
        <v>50</v>
      </c>
      <c r="J942">
        <v>42.819728851000001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915.00297599999999</v>
      </c>
      <c r="B943" s="1">
        <f>DATE(2012,11,1) + TIME(0,4,17)</f>
        <v>41214.002974537034</v>
      </c>
      <c r="C943">
        <v>3677.6069336</v>
      </c>
      <c r="D943">
        <v>2406.2775879000001</v>
      </c>
      <c r="E943">
        <v>3515.8078612999998</v>
      </c>
      <c r="F943">
        <v>1551.713501</v>
      </c>
      <c r="G943">
        <v>80</v>
      </c>
      <c r="H943">
        <v>79.771484375</v>
      </c>
      <c r="I943">
        <v>50</v>
      </c>
      <c r="J943">
        <v>42.889945984000001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915.00637500000005</v>
      </c>
      <c r="B944" s="1">
        <f>DATE(2012,11,1) + TIME(0,9,10)</f>
        <v>41214.006365740737</v>
      </c>
      <c r="C944">
        <v>3169.6889648000001</v>
      </c>
      <c r="D944">
        <v>1897.7602539</v>
      </c>
      <c r="E944">
        <v>4012.2866211</v>
      </c>
      <c r="F944">
        <v>2032.2810059000001</v>
      </c>
      <c r="G944">
        <v>80</v>
      </c>
      <c r="H944">
        <v>79.698127747000001</v>
      </c>
      <c r="I944">
        <v>50</v>
      </c>
      <c r="J944">
        <v>42.974697112999998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915.01289799999995</v>
      </c>
      <c r="B945" s="1">
        <f>DATE(2012,11,1) + TIME(0,18,34)</f>
        <v>41214.01289351852</v>
      </c>
      <c r="C945">
        <v>2693.1225586</v>
      </c>
      <c r="D945">
        <v>1420.8205565999999</v>
      </c>
      <c r="E945">
        <v>4500.5170897999997</v>
      </c>
      <c r="F945">
        <v>2514.7292480000001</v>
      </c>
      <c r="G945">
        <v>80</v>
      </c>
      <c r="H945">
        <v>79.629829407000003</v>
      </c>
      <c r="I945">
        <v>50</v>
      </c>
      <c r="J945">
        <v>43.083244323999999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915.02565100000004</v>
      </c>
      <c r="B946" s="1">
        <f>DATE(2012,11,1) + TIME(0,36,56)</f>
        <v>41214.025648148148</v>
      </c>
      <c r="C946">
        <v>2233.8715820000002</v>
      </c>
      <c r="D946">
        <v>961.43511963000003</v>
      </c>
      <c r="E946">
        <v>4974.6665039</v>
      </c>
      <c r="F946">
        <v>2988.2097168</v>
      </c>
      <c r="G946">
        <v>80</v>
      </c>
      <c r="H946">
        <v>79.564765929999993</v>
      </c>
      <c r="I946">
        <v>50</v>
      </c>
      <c r="J946">
        <v>43.236019134999999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915.05144199999995</v>
      </c>
      <c r="B947" s="1">
        <f>DATE(2012,11,1) + TIME(1,14,4)</f>
        <v>41214.051435185182</v>
      </c>
      <c r="C947">
        <v>1773.0960693</v>
      </c>
      <c r="D947">
        <v>500.78637694999998</v>
      </c>
      <c r="E947">
        <v>5448.5429688000004</v>
      </c>
      <c r="F947">
        <v>3465.1777344000002</v>
      </c>
      <c r="G947">
        <v>80</v>
      </c>
      <c r="H947">
        <v>79.500717163000004</v>
      </c>
      <c r="I947">
        <v>50</v>
      </c>
      <c r="J947">
        <v>43.479320526000002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915.10376799999995</v>
      </c>
      <c r="B948" s="1">
        <f>DATE(2012,11,1) + TIME(2,29,25)</f>
        <v>41214.103761574072</v>
      </c>
      <c r="C948">
        <v>1307.8140868999999</v>
      </c>
      <c r="D948">
        <v>35.878673552999999</v>
      </c>
      <c r="E948">
        <v>5924.0024414</v>
      </c>
      <c r="F948">
        <v>3948.0566405999998</v>
      </c>
      <c r="G948">
        <v>80</v>
      </c>
      <c r="H948">
        <v>79.437973021999994</v>
      </c>
      <c r="I948">
        <v>50</v>
      </c>
      <c r="J948">
        <v>43.890239716000004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915.20950900000003</v>
      </c>
      <c r="B949" s="1">
        <f>DATE(2012,11,1) + TIME(5,1,41)</f>
        <v>41214.209502314814</v>
      </c>
      <c r="C949">
        <v>1133.5152588000001</v>
      </c>
      <c r="D949">
        <v>101.32499695</v>
      </c>
      <c r="E949">
        <v>6396.7309569999998</v>
      </c>
      <c r="F949">
        <v>4433.6132811999996</v>
      </c>
      <c r="G949">
        <v>80</v>
      </c>
      <c r="H949">
        <v>79.412940978999998</v>
      </c>
      <c r="I949">
        <v>50</v>
      </c>
      <c r="J949">
        <v>44.582073211999997</v>
      </c>
      <c r="K949">
        <v>0</v>
      </c>
      <c r="L949">
        <v>2138.2775879000001</v>
      </c>
      <c r="M949">
        <v>2400</v>
      </c>
      <c r="N949">
        <v>0</v>
      </c>
    </row>
    <row r="950" spans="1:14" x14ac:dyDescent="0.25">
      <c r="A950">
        <v>915.36127299999998</v>
      </c>
      <c r="B950" s="1">
        <f>DATE(2012,11,1) + TIME(8,40,14)</f>
        <v>41214.361273148148</v>
      </c>
      <c r="C950">
        <v>999.47406006000006</v>
      </c>
      <c r="D950">
        <v>101.32499695</v>
      </c>
      <c r="E950">
        <v>6765.4638672000001</v>
      </c>
      <c r="F950">
        <v>4816.8476561999996</v>
      </c>
      <c r="G950">
        <v>80</v>
      </c>
      <c r="H950">
        <v>79.388595581000004</v>
      </c>
      <c r="I950">
        <v>50</v>
      </c>
      <c r="J950">
        <v>45.402717590000002</v>
      </c>
      <c r="K950">
        <v>0</v>
      </c>
      <c r="L950">
        <v>1872.5101318</v>
      </c>
      <c r="M950">
        <v>2400</v>
      </c>
      <c r="N950">
        <v>0</v>
      </c>
    </row>
    <row r="951" spans="1:14" x14ac:dyDescent="0.25">
      <c r="A951">
        <v>915.54545299999995</v>
      </c>
      <c r="B951" s="1">
        <f>DATE(2012,11,1) + TIME(13,5,27)</f>
        <v>41214.545451388891</v>
      </c>
      <c r="C951">
        <v>905.95532227000001</v>
      </c>
      <c r="D951">
        <v>101.32499695</v>
      </c>
      <c r="E951">
        <v>7034.3642577999999</v>
      </c>
      <c r="F951">
        <v>5099.21875</v>
      </c>
      <c r="G951">
        <v>80</v>
      </c>
      <c r="H951">
        <v>79.365257263000004</v>
      </c>
      <c r="I951">
        <v>50</v>
      </c>
      <c r="J951">
        <v>46.214199065999999</v>
      </c>
      <c r="K951">
        <v>0</v>
      </c>
      <c r="L951">
        <v>1693.4973144999999</v>
      </c>
      <c r="M951">
        <v>2400</v>
      </c>
      <c r="N951">
        <v>0</v>
      </c>
    </row>
    <row r="952" spans="1:14" x14ac:dyDescent="0.25">
      <c r="A952">
        <v>915.77179699999999</v>
      </c>
      <c r="B952" s="1">
        <f>DATE(2012,11,1) + TIME(18,31,23)</f>
        <v>41214.771793981483</v>
      </c>
      <c r="C952">
        <v>833.78161621000004</v>
      </c>
      <c r="D952">
        <v>101.32499695</v>
      </c>
      <c r="E952">
        <v>7243.7734375</v>
      </c>
      <c r="F952">
        <v>5320.9140625</v>
      </c>
      <c r="G952">
        <v>80</v>
      </c>
      <c r="H952">
        <v>79.340248107999997</v>
      </c>
      <c r="I952">
        <v>50</v>
      </c>
      <c r="J952">
        <v>47.000854492000002</v>
      </c>
      <c r="K952">
        <v>0</v>
      </c>
      <c r="L952">
        <v>1556.4821777</v>
      </c>
      <c r="M952">
        <v>2400</v>
      </c>
      <c r="N952">
        <v>0</v>
      </c>
    </row>
    <row r="953" spans="1:14" x14ac:dyDescent="0.25">
      <c r="A953">
        <v>916.05887600000005</v>
      </c>
      <c r="B953" s="1">
        <f>DATE(2012,11,2) + TIME(1,24,46)</f>
        <v>41215.058865740742</v>
      </c>
      <c r="C953">
        <v>774.01409911999997</v>
      </c>
      <c r="D953">
        <v>101.32499695</v>
      </c>
      <c r="E953">
        <v>7416.0483397999997</v>
      </c>
      <c r="F953">
        <v>5504.1523438000004</v>
      </c>
      <c r="G953">
        <v>80</v>
      </c>
      <c r="H953">
        <v>79.311431885000005</v>
      </c>
      <c r="I953">
        <v>50</v>
      </c>
      <c r="J953">
        <v>47.748371124000002</v>
      </c>
      <c r="K953">
        <v>0</v>
      </c>
      <c r="L953">
        <v>1443.3424072</v>
      </c>
      <c r="M953">
        <v>2400</v>
      </c>
      <c r="N953">
        <v>0</v>
      </c>
    </row>
    <row r="954" spans="1:14" x14ac:dyDescent="0.25">
      <c r="A954">
        <v>916.44205699999998</v>
      </c>
      <c r="B954" s="1">
        <f>DATE(2012,11,2) + TIME(10,36,33)</f>
        <v>41215.442048611112</v>
      </c>
      <c r="C954">
        <v>722.00726318</v>
      </c>
      <c r="D954">
        <v>101.32499695</v>
      </c>
      <c r="E954">
        <v>7564.6381836</v>
      </c>
      <c r="F954">
        <v>5662.1464844000002</v>
      </c>
      <c r="G954">
        <v>80</v>
      </c>
      <c r="H954">
        <v>79.276046753000003</v>
      </c>
      <c r="I954">
        <v>50</v>
      </c>
      <c r="J954">
        <v>48.438385009999998</v>
      </c>
      <c r="K954">
        <v>0</v>
      </c>
      <c r="L954">
        <v>1344.9796143000001</v>
      </c>
      <c r="M954">
        <v>2400</v>
      </c>
      <c r="N954">
        <v>0</v>
      </c>
    </row>
    <row r="955" spans="1:14" x14ac:dyDescent="0.25">
      <c r="A955">
        <v>916.98812999999996</v>
      </c>
      <c r="B955" s="1">
        <f>DATE(2012,11,2) + TIME(23,42,54)</f>
        <v>41215.988125000003</v>
      </c>
      <c r="C955">
        <v>675.90863036999997</v>
      </c>
      <c r="D955">
        <v>101.32499695</v>
      </c>
      <c r="E955">
        <v>7696.0756836</v>
      </c>
      <c r="F955">
        <v>5800.9257811999996</v>
      </c>
      <c r="G955">
        <v>80</v>
      </c>
      <c r="H955">
        <v>79.229866028000004</v>
      </c>
      <c r="I955">
        <v>50</v>
      </c>
      <c r="J955">
        <v>49.038654327000003</v>
      </c>
      <c r="K955">
        <v>0</v>
      </c>
      <c r="L955">
        <v>1257.7860106999999</v>
      </c>
      <c r="M955">
        <v>2400</v>
      </c>
      <c r="N955">
        <v>0</v>
      </c>
    </row>
    <row r="956" spans="1:14" x14ac:dyDescent="0.25">
      <c r="A956">
        <v>917.54443300000003</v>
      </c>
      <c r="B956" s="1">
        <f>DATE(2012,11,3) + TIME(13,3,58)</f>
        <v>41216.544421296298</v>
      </c>
      <c r="C956">
        <v>645.35614013999998</v>
      </c>
      <c r="D956">
        <v>101.32499695</v>
      </c>
      <c r="E956">
        <v>7782.5649414</v>
      </c>
      <c r="F956">
        <v>5890.5742188000004</v>
      </c>
      <c r="G956">
        <v>80</v>
      </c>
      <c r="H956">
        <v>79.182044982999997</v>
      </c>
      <c r="I956">
        <v>50</v>
      </c>
      <c r="J956">
        <v>49.408294677999997</v>
      </c>
      <c r="K956">
        <v>0</v>
      </c>
      <c r="L956">
        <v>1200.0112305</v>
      </c>
      <c r="M956">
        <v>2400</v>
      </c>
      <c r="N956">
        <v>0</v>
      </c>
    </row>
    <row r="957" spans="1:14" x14ac:dyDescent="0.25">
      <c r="A957">
        <v>918.17720499999996</v>
      </c>
      <c r="B957" s="1">
        <f>DATE(2012,11,4) + TIME(4,15,10)</f>
        <v>41217.177199074074</v>
      </c>
      <c r="C957">
        <v>623.18426513999998</v>
      </c>
      <c r="D957">
        <v>101.32499695</v>
      </c>
      <c r="E957">
        <v>7846.3120116999999</v>
      </c>
      <c r="F957">
        <v>5955.6572266000003</v>
      </c>
      <c r="G957">
        <v>80</v>
      </c>
      <c r="H957">
        <v>79.128929138000004</v>
      </c>
      <c r="I957">
        <v>50</v>
      </c>
      <c r="J957">
        <v>49.648933411000002</v>
      </c>
      <c r="K957">
        <v>0</v>
      </c>
      <c r="L957">
        <v>1158.0286865</v>
      </c>
      <c r="M957">
        <v>2400</v>
      </c>
      <c r="N957">
        <v>0</v>
      </c>
    </row>
    <row r="958" spans="1:14" x14ac:dyDescent="0.25">
      <c r="A958">
        <v>918.918092</v>
      </c>
      <c r="B958" s="1">
        <f>DATE(2012,11,4) + TIME(22,2,3)</f>
        <v>41217.918090277781</v>
      </c>
      <c r="C958">
        <v>607.31201171999999</v>
      </c>
      <c r="D958">
        <v>101.32499695</v>
      </c>
      <c r="E958">
        <v>7892.8242188000004</v>
      </c>
      <c r="F958">
        <v>6002.1069336</v>
      </c>
      <c r="G958">
        <v>80</v>
      </c>
      <c r="H958">
        <v>79.068595885999997</v>
      </c>
      <c r="I958">
        <v>50</v>
      </c>
      <c r="J958">
        <v>49.798904419000003</v>
      </c>
      <c r="K958">
        <v>0</v>
      </c>
      <c r="L958">
        <v>1127.9241943</v>
      </c>
      <c r="M958">
        <v>2400</v>
      </c>
      <c r="N958">
        <v>0</v>
      </c>
    </row>
    <row r="959" spans="1:14" x14ac:dyDescent="0.25">
      <c r="A959">
        <v>919.83431900000005</v>
      </c>
      <c r="B959" s="1">
        <f>DATE(2012,11,5) + TIME(20,1,25)</f>
        <v>41218.834317129629</v>
      </c>
      <c r="C959">
        <v>596.24304199000005</v>
      </c>
      <c r="D959">
        <v>101.32499695</v>
      </c>
      <c r="E959">
        <v>7926.1137694999998</v>
      </c>
      <c r="F959">
        <v>6034.3803711</v>
      </c>
      <c r="G959">
        <v>80</v>
      </c>
      <c r="H959">
        <v>78.997215271000002</v>
      </c>
      <c r="I959">
        <v>50</v>
      </c>
      <c r="J959">
        <v>49.887664794999999</v>
      </c>
      <c r="K959">
        <v>0</v>
      </c>
      <c r="L959">
        <v>1106.8594971</v>
      </c>
      <c r="M959">
        <v>2400</v>
      </c>
      <c r="N959">
        <v>0</v>
      </c>
    </row>
    <row r="960" spans="1:14" x14ac:dyDescent="0.25">
      <c r="A960">
        <v>920.90142200000003</v>
      </c>
      <c r="B960" s="1">
        <f>DATE(2012,11,6) + TIME(21,38,2)</f>
        <v>41219.901412037034</v>
      </c>
      <c r="C960">
        <v>589.44195557</v>
      </c>
      <c r="D960">
        <v>101.32499695</v>
      </c>
      <c r="E960">
        <v>7946.6171875</v>
      </c>
      <c r="F960">
        <v>6053.1298827999999</v>
      </c>
      <c r="G960">
        <v>80</v>
      </c>
      <c r="H960">
        <v>78.915519713999998</v>
      </c>
      <c r="I960">
        <v>50</v>
      </c>
      <c r="J960">
        <v>49.933162689</v>
      </c>
      <c r="K960">
        <v>0</v>
      </c>
      <c r="L960">
        <v>1093.8496094</v>
      </c>
      <c r="M960">
        <v>2400</v>
      </c>
      <c r="N960">
        <v>0</v>
      </c>
    </row>
    <row r="961" spans="1:14" x14ac:dyDescent="0.25">
      <c r="A961">
        <v>922.01756999999998</v>
      </c>
      <c r="B961" s="1">
        <f>DATE(2012,11,8) + TIME(0,25,18)</f>
        <v>41221.017569444448</v>
      </c>
      <c r="C961">
        <v>585.76342772999999</v>
      </c>
      <c r="D961">
        <v>101.32499695</v>
      </c>
      <c r="E961">
        <v>7957.0439452999999</v>
      </c>
      <c r="F961">
        <v>6061.5576172000001</v>
      </c>
      <c r="G961">
        <v>80</v>
      </c>
      <c r="H961">
        <v>78.828132628999995</v>
      </c>
      <c r="I961">
        <v>50</v>
      </c>
      <c r="J961">
        <v>49.953552246000001</v>
      </c>
      <c r="K961">
        <v>0</v>
      </c>
      <c r="L961">
        <v>1086.7474365</v>
      </c>
      <c r="M961">
        <v>2400</v>
      </c>
      <c r="N961">
        <v>0</v>
      </c>
    </row>
    <row r="962" spans="1:14" x14ac:dyDescent="0.25">
      <c r="A962">
        <v>923.27425600000004</v>
      </c>
      <c r="B962" s="1">
        <f>DATE(2012,11,9) + TIME(6,34,55)</f>
        <v>41222.274247685185</v>
      </c>
      <c r="C962">
        <v>583.78656006000006</v>
      </c>
      <c r="D962">
        <v>101.32499695</v>
      </c>
      <c r="E962">
        <v>7962.1567383000001</v>
      </c>
      <c r="F962">
        <v>6064.8774414</v>
      </c>
      <c r="G962">
        <v>80</v>
      </c>
      <c r="H962">
        <v>78.731239318999997</v>
      </c>
      <c r="I962">
        <v>50</v>
      </c>
      <c r="J962">
        <v>49.962791443</v>
      </c>
      <c r="K962">
        <v>0</v>
      </c>
      <c r="L962">
        <v>1082.8093262</v>
      </c>
      <c r="M962">
        <v>2400</v>
      </c>
      <c r="N962">
        <v>0</v>
      </c>
    </row>
    <row r="963" spans="1:14" x14ac:dyDescent="0.25">
      <c r="A963">
        <v>924.73157400000002</v>
      </c>
      <c r="B963" s="1">
        <f>DATE(2012,11,10) + TIME(17,33,27)</f>
        <v>41223.731562499997</v>
      </c>
      <c r="C963">
        <v>582.77850341999999</v>
      </c>
      <c r="D963">
        <v>101.32499695</v>
      </c>
      <c r="E963">
        <v>7963.6982422000001</v>
      </c>
      <c r="F963">
        <v>6064.7202147999997</v>
      </c>
      <c r="G963">
        <v>80</v>
      </c>
      <c r="H963">
        <v>78.621673584000007</v>
      </c>
      <c r="I963">
        <v>50</v>
      </c>
      <c r="J963">
        <v>49.966751099</v>
      </c>
      <c r="K963">
        <v>0</v>
      </c>
      <c r="L963">
        <v>1080.6623535000001</v>
      </c>
      <c r="M963">
        <v>2400</v>
      </c>
      <c r="N963">
        <v>0</v>
      </c>
    </row>
    <row r="964" spans="1:14" x14ac:dyDescent="0.25">
      <c r="A964">
        <v>926.343886</v>
      </c>
      <c r="B964" s="1">
        <f>DATE(2012,11,12) + TIME(8,15,11)</f>
        <v>41225.343877314815</v>
      </c>
      <c r="C964">
        <v>582.28106689000003</v>
      </c>
      <c r="D964">
        <v>101.32499695</v>
      </c>
      <c r="E964">
        <v>7962.7460938000004</v>
      </c>
      <c r="F964">
        <v>6062.1494141000003</v>
      </c>
      <c r="G964">
        <v>80</v>
      </c>
      <c r="H964">
        <v>78.500381469999994</v>
      </c>
      <c r="I964">
        <v>50</v>
      </c>
      <c r="J964">
        <v>49.968284607000001</v>
      </c>
      <c r="K964">
        <v>0</v>
      </c>
      <c r="L964">
        <v>1079.465332</v>
      </c>
      <c r="M964">
        <v>2400</v>
      </c>
      <c r="N964">
        <v>0</v>
      </c>
    </row>
    <row r="965" spans="1:14" x14ac:dyDescent="0.25">
      <c r="A965">
        <v>928.04626199999996</v>
      </c>
      <c r="B965" s="1">
        <f>DATE(2012,11,14) + TIME(1,6,37)</f>
        <v>41227.046261574076</v>
      </c>
      <c r="C965">
        <v>582.00769043000003</v>
      </c>
      <c r="D965">
        <v>101.32499695</v>
      </c>
      <c r="E965">
        <v>7960.4272461</v>
      </c>
      <c r="F965">
        <v>6058.3872069999998</v>
      </c>
      <c r="G965">
        <v>80</v>
      </c>
      <c r="H965">
        <v>78.370033264</v>
      </c>
      <c r="I965">
        <v>50</v>
      </c>
      <c r="J965">
        <v>49.968860626000001</v>
      </c>
      <c r="K965">
        <v>0</v>
      </c>
      <c r="L965">
        <v>1078.6757812000001</v>
      </c>
      <c r="M965">
        <v>2400</v>
      </c>
      <c r="N965">
        <v>0</v>
      </c>
    </row>
    <row r="966" spans="1:14" x14ac:dyDescent="0.25">
      <c r="A966">
        <v>929.99054899999999</v>
      </c>
      <c r="B966" s="1">
        <f>DATE(2012,11,15) + TIME(23,46,23)</f>
        <v>41228.990543981483</v>
      </c>
      <c r="C966">
        <v>581.84252930000002</v>
      </c>
      <c r="D966">
        <v>101.32499695</v>
      </c>
      <c r="E966">
        <v>7957.5385741999999</v>
      </c>
      <c r="F966">
        <v>6054.265625</v>
      </c>
      <c r="G966">
        <v>80</v>
      </c>
      <c r="H966">
        <v>78.225585937999995</v>
      </c>
      <c r="I966">
        <v>50</v>
      </c>
      <c r="J966">
        <v>49.969135283999996</v>
      </c>
      <c r="K966">
        <v>0</v>
      </c>
      <c r="L966">
        <v>1078.0197754000001</v>
      </c>
      <c r="M966">
        <v>2400</v>
      </c>
      <c r="N966">
        <v>0</v>
      </c>
    </row>
    <row r="967" spans="1:14" x14ac:dyDescent="0.25">
      <c r="A967">
        <v>932.200107</v>
      </c>
      <c r="B967" s="1">
        <f>DATE(2012,11,18) + TIME(4,48,9)</f>
        <v>41231.200104166666</v>
      </c>
      <c r="C967">
        <v>581.67761229999996</v>
      </c>
      <c r="D967">
        <v>101.32499695</v>
      </c>
      <c r="E967">
        <v>7954.0917969000002</v>
      </c>
      <c r="F967">
        <v>6049.6660155999998</v>
      </c>
      <c r="G967">
        <v>80</v>
      </c>
      <c r="H967">
        <v>78.064552307</v>
      </c>
      <c r="I967">
        <v>50</v>
      </c>
      <c r="J967">
        <v>49.969284058</v>
      </c>
      <c r="K967">
        <v>0</v>
      </c>
      <c r="L967">
        <v>1077.3250731999999</v>
      </c>
      <c r="M967">
        <v>2400</v>
      </c>
      <c r="N967">
        <v>0</v>
      </c>
    </row>
    <row r="968" spans="1:14" x14ac:dyDescent="0.25">
      <c r="A968">
        <v>934.48492999999996</v>
      </c>
      <c r="B968" s="1">
        <f>DATE(2012,11,20) + TIME(11,38,17)</f>
        <v>41233.484918981485</v>
      </c>
      <c r="C968">
        <v>581.46008300999995</v>
      </c>
      <c r="D968">
        <v>101.32499695</v>
      </c>
      <c r="E968">
        <v>7950.2836914</v>
      </c>
      <c r="F968">
        <v>6044.7910155999998</v>
      </c>
      <c r="G968">
        <v>80</v>
      </c>
      <c r="H968">
        <v>77.892265320000007</v>
      </c>
      <c r="I968">
        <v>50</v>
      </c>
      <c r="J968">
        <v>49.969379425</v>
      </c>
      <c r="K968">
        <v>0</v>
      </c>
      <c r="L968">
        <v>1076.5297852000001</v>
      </c>
      <c r="M968">
        <v>2400</v>
      </c>
      <c r="N968">
        <v>0</v>
      </c>
    </row>
    <row r="969" spans="1:14" x14ac:dyDescent="0.25">
      <c r="A969">
        <v>936.98340700000006</v>
      </c>
      <c r="B969" s="1">
        <f>DATE(2012,11,22) + TIME(23,36,6)</f>
        <v>41235.983402777776</v>
      </c>
      <c r="C969">
        <v>581.25335693</v>
      </c>
      <c r="D969">
        <v>101.32499695</v>
      </c>
      <c r="E969">
        <v>7946.53125</v>
      </c>
      <c r="F969">
        <v>6040.1425780999998</v>
      </c>
      <c r="G969">
        <v>80</v>
      </c>
      <c r="H969">
        <v>77.707321167000003</v>
      </c>
      <c r="I969">
        <v>50</v>
      </c>
      <c r="J969">
        <v>49.969490051000001</v>
      </c>
      <c r="K969">
        <v>0</v>
      </c>
      <c r="L969">
        <v>1075.6805420000001</v>
      </c>
      <c r="M969">
        <v>2400</v>
      </c>
      <c r="N969">
        <v>0</v>
      </c>
    </row>
    <row r="970" spans="1:14" x14ac:dyDescent="0.25">
      <c r="A970">
        <v>939.81004399999995</v>
      </c>
      <c r="B970" s="1">
        <f>DATE(2012,11,25) + TIME(19,26,27)</f>
        <v>41238.810034722221</v>
      </c>
      <c r="C970">
        <v>581.02691649999997</v>
      </c>
      <c r="D970">
        <v>101.32499695</v>
      </c>
      <c r="E970">
        <v>7942.6748047000001</v>
      </c>
      <c r="F970">
        <v>6035.4775391000003</v>
      </c>
      <c r="G970">
        <v>80</v>
      </c>
      <c r="H970">
        <v>77.505104064999998</v>
      </c>
      <c r="I970">
        <v>50</v>
      </c>
      <c r="J970">
        <v>49.969604492000002</v>
      </c>
      <c r="K970">
        <v>0</v>
      </c>
      <c r="L970">
        <v>1074.7316894999999</v>
      </c>
      <c r="M970">
        <v>2400</v>
      </c>
      <c r="N970">
        <v>0</v>
      </c>
    </row>
    <row r="971" spans="1:14" x14ac:dyDescent="0.25">
      <c r="A971">
        <v>942.72369000000003</v>
      </c>
      <c r="B971" s="1">
        <f>DATE(2012,11,28) + TIME(17,22,6)</f>
        <v>41241.723680555559</v>
      </c>
      <c r="C971">
        <v>580.73083496000004</v>
      </c>
      <c r="D971">
        <v>101.32499695</v>
      </c>
      <c r="E971">
        <v>7938.6323241999999</v>
      </c>
      <c r="F971">
        <v>6030.6811522999997</v>
      </c>
      <c r="G971">
        <v>80</v>
      </c>
      <c r="H971">
        <v>77.290107727000006</v>
      </c>
      <c r="I971">
        <v>50</v>
      </c>
      <c r="J971">
        <v>49.969699859999999</v>
      </c>
      <c r="K971">
        <v>0</v>
      </c>
      <c r="L971">
        <v>1073.6494141000001</v>
      </c>
      <c r="M971">
        <v>2400</v>
      </c>
      <c r="N971">
        <v>0</v>
      </c>
    </row>
    <row r="972" spans="1:14" x14ac:dyDescent="0.25">
      <c r="A972">
        <v>945</v>
      </c>
      <c r="B972" s="1">
        <f>DATE(2012,12,1) + TIME(0,0,0)</f>
        <v>41244</v>
      </c>
      <c r="C972">
        <v>580.35260010000002</v>
      </c>
      <c r="D972">
        <v>101.32499695</v>
      </c>
      <c r="E972">
        <v>7934.8286133000001</v>
      </c>
      <c r="F972">
        <v>6026.2407227000003</v>
      </c>
      <c r="G972">
        <v>80</v>
      </c>
      <c r="H972">
        <v>77.093696593999994</v>
      </c>
      <c r="I972">
        <v>50</v>
      </c>
      <c r="J972">
        <v>49.969741821</v>
      </c>
      <c r="K972">
        <v>0</v>
      </c>
      <c r="L972">
        <v>1072.5380858999999</v>
      </c>
      <c r="M972">
        <v>2400</v>
      </c>
      <c r="N972">
        <v>0</v>
      </c>
    </row>
    <row r="973" spans="1:14" x14ac:dyDescent="0.25">
      <c r="A973">
        <v>948.14763900000003</v>
      </c>
      <c r="B973" s="1">
        <f>DATE(2012,12,4) + TIME(3,32,36)</f>
        <v>41247.147638888891</v>
      </c>
      <c r="C973">
        <v>580.24389647999999</v>
      </c>
      <c r="D973">
        <v>101.32499695</v>
      </c>
      <c r="E973">
        <v>7931.7885741999999</v>
      </c>
      <c r="F973">
        <v>6022.7832030999998</v>
      </c>
      <c r="G973">
        <v>80</v>
      </c>
      <c r="H973">
        <v>76.880043029999996</v>
      </c>
      <c r="I973">
        <v>50</v>
      </c>
      <c r="J973">
        <v>49.969898223999998</v>
      </c>
      <c r="K973">
        <v>0</v>
      </c>
      <c r="L973">
        <v>1071.6112060999999</v>
      </c>
      <c r="M973">
        <v>2400</v>
      </c>
      <c r="N973">
        <v>0</v>
      </c>
    </row>
    <row r="974" spans="1:14" x14ac:dyDescent="0.25">
      <c r="A974">
        <v>951.40557100000001</v>
      </c>
      <c r="B974" s="1">
        <f>DATE(2012,12,7) + TIME(9,44,1)</f>
        <v>41250.40556712963</v>
      </c>
      <c r="C974">
        <v>579.90740966999999</v>
      </c>
      <c r="D974">
        <v>101.32499695</v>
      </c>
      <c r="E974">
        <v>7928.0561522999997</v>
      </c>
      <c r="F974">
        <v>6018.5483397999997</v>
      </c>
      <c r="G974">
        <v>80</v>
      </c>
      <c r="H974">
        <v>76.649757385000001</v>
      </c>
      <c r="I974">
        <v>50</v>
      </c>
      <c r="J974">
        <v>49.969985962000003</v>
      </c>
      <c r="K974">
        <v>0</v>
      </c>
      <c r="L974">
        <v>1070.3837891000001</v>
      </c>
      <c r="M974">
        <v>2400</v>
      </c>
      <c r="N974">
        <v>0</v>
      </c>
    </row>
    <row r="975" spans="1:14" x14ac:dyDescent="0.25">
      <c r="A975">
        <v>954.73337200000003</v>
      </c>
      <c r="B975" s="1">
        <f>DATE(2012,12,10) + TIME(17,36,3)</f>
        <v>41253.733368055553</v>
      </c>
      <c r="C975">
        <v>579.56732178000004</v>
      </c>
      <c r="D975">
        <v>101.32499695</v>
      </c>
      <c r="E975">
        <v>7924.3720702999999</v>
      </c>
      <c r="F975">
        <v>6014.4262694999998</v>
      </c>
      <c r="G975">
        <v>80</v>
      </c>
      <c r="H975">
        <v>76.410797118999994</v>
      </c>
      <c r="I975">
        <v>50</v>
      </c>
      <c r="J975">
        <v>49.970081329000003</v>
      </c>
      <c r="K975">
        <v>0</v>
      </c>
      <c r="L975">
        <v>1069.0980225000001</v>
      </c>
      <c r="M975">
        <v>2400</v>
      </c>
      <c r="N975">
        <v>0</v>
      </c>
    </row>
    <row r="976" spans="1:14" x14ac:dyDescent="0.25">
      <c r="A976">
        <v>958.08611399999995</v>
      </c>
      <c r="B976" s="1">
        <f>DATE(2012,12,14) + TIME(2,4,0)</f>
        <v>41257.086111111108</v>
      </c>
      <c r="C976">
        <v>579.22381591999999</v>
      </c>
      <c r="D976">
        <v>101.32499695</v>
      </c>
      <c r="E976">
        <v>7920.8007811999996</v>
      </c>
      <c r="F976">
        <v>6010.4760741999999</v>
      </c>
      <c r="G976">
        <v>80</v>
      </c>
      <c r="H976">
        <v>76.168487549000005</v>
      </c>
      <c r="I976">
        <v>50</v>
      </c>
      <c r="J976">
        <v>49.970176696999999</v>
      </c>
      <c r="K976">
        <v>0</v>
      </c>
      <c r="L976">
        <v>1067.7764893000001</v>
      </c>
      <c r="M976">
        <v>2400</v>
      </c>
      <c r="N976">
        <v>0</v>
      </c>
    </row>
    <row r="977" spans="1:14" x14ac:dyDescent="0.25">
      <c r="A977">
        <v>961.476629</v>
      </c>
      <c r="B977" s="1">
        <f>DATE(2012,12,17) + TIME(11,26,20)</f>
        <v>41260.476620370369</v>
      </c>
      <c r="C977">
        <v>578.88446045000001</v>
      </c>
      <c r="D977">
        <v>101.32499695</v>
      </c>
      <c r="E977">
        <v>7917.3701172000001</v>
      </c>
      <c r="F977">
        <v>6006.7192383000001</v>
      </c>
      <c r="G977">
        <v>80</v>
      </c>
      <c r="H977">
        <v>75.925277710000003</v>
      </c>
      <c r="I977">
        <v>50</v>
      </c>
      <c r="J977">
        <v>49.970272064</v>
      </c>
      <c r="K977">
        <v>0</v>
      </c>
      <c r="L977">
        <v>1066.4360352000001</v>
      </c>
      <c r="M977">
        <v>2400</v>
      </c>
      <c r="N977">
        <v>0</v>
      </c>
    </row>
    <row r="978" spans="1:14" x14ac:dyDescent="0.25">
      <c r="A978">
        <v>964.91765899999996</v>
      </c>
      <c r="B978" s="1">
        <f>DATE(2012,12,20) + TIME(22,1,25)</f>
        <v>41263.917650462965</v>
      </c>
      <c r="C978">
        <v>578.54406738</v>
      </c>
      <c r="D978">
        <v>101.32499695</v>
      </c>
      <c r="E978">
        <v>7914.0541991999999</v>
      </c>
      <c r="F978">
        <v>6003.1186522999997</v>
      </c>
      <c r="G978">
        <v>80</v>
      </c>
      <c r="H978">
        <v>75.681594849000007</v>
      </c>
      <c r="I978">
        <v>50</v>
      </c>
      <c r="J978">
        <v>49.970367432000003</v>
      </c>
      <c r="K978">
        <v>0</v>
      </c>
      <c r="L978">
        <v>1065.0722656</v>
      </c>
      <c r="M978">
        <v>2400</v>
      </c>
      <c r="N978">
        <v>0</v>
      </c>
    </row>
    <row r="979" spans="1:14" x14ac:dyDescent="0.25">
      <c r="A979">
        <v>968.422146</v>
      </c>
      <c r="B979" s="1">
        <f>DATE(2012,12,24) + TIME(10,7,53)</f>
        <v>41267.4221412037</v>
      </c>
      <c r="C979">
        <v>578.20001220999995</v>
      </c>
      <c r="D979">
        <v>101.32499695</v>
      </c>
      <c r="E979">
        <v>7910.828125</v>
      </c>
      <c r="F979">
        <v>5999.6420897999997</v>
      </c>
      <c r="G979">
        <v>80</v>
      </c>
      <c r="H979">
        <v>75.437049865999995</v>
      </c>
      <c r="I979">
        <v>50</v>
      </c>
      <c r="J979">
        <v>49.970462799000003</v>
      </c>
      <c r="K979">
        <v>0</v>
      </c>
      <c r="L979">
        <v>1063.6794434000001</v>
      </c>
      <c r="M979">
        <v>2400</v>
      </c>
      <c r="N979">
        <v>0</v>
      </c>
    </row>
    <row r="980" spans="1:14" x14ac:dyDescent="0.25">
      <c r="A980">
        <v>972.00198699999999</v>
      </c>
      <c r="B980" s="1">
        <f>DATE(2012,12,28) + TIME(0,2,51)</f>
        <v>41271.001979166664</v>
      </c>
      <c r="C980">
        <v>577.85046387</v>
      </c>
      <c r="D980">
        <v>101.32499695</v>
      </c>
      <c r="E980">
        <v>7907.6708983999997</v>
      </c>
      <c r="F980">
        <v>5996.2617188000004</v>
      </c>
      <c r="G980">
        <v>80</v>
      </c>
      <c r="H980">
        <v>75.191047667999996</v>
      </c>
      <c r="I980">
        <v>50</v>
      </c>
      <c r="J980">
        <v>49.970558167</v>
      </c>
      <c r="K980">
        <v>0</v>
      </c>
      <c r="L980">
        <v>1062.2512207</v>
      </c>
      <c r="M980">
        <v>2400</v>
      </c>
      <c r="N980">
        <v>0</v>
      </c>
    </row>
    <row r="981" spans="1:14" x14ac:dyDescent="0.25">
      <c r="A981">
        <v>975.64576399999999</v>
      </c>
      <c r="B981" s="1">
        <f>DATE(2012,12,31) + TIME(15,29,53)</f>
        <v>41274.645752314813</v>
      </c>
      <c r="C981">
        <v>577.49273682</v>
      </c>
      <c r="D981">
        <v>101.32499695</v>
      </c>
      <c r="E981">
        <v>7904.5673827999999</v>
      </c>
      <c r="F981">
        <v>5992.9580077999999</v>
      </c>
      <c r="G981">
        <v>80</v>
      </c>
      <c r="H981">
        <v>74.943405150999993</v>
      </c>
      <c r="I981">
        <v>50</v>
      </c>
      <c r="J981">
        <v>49.970649719000001</v>
      </c>
      <c r="K981">
        <v>0</v>
      </c>
      <c r="L981">
        <v>1060.7811279</v>
      </c>
      <c r="M981">
        <v>2400</v>
      </c>
      <c r="N981">
        <v>0</v>
      </c>
    </row>
    <row r="982" spans="1:14" x14ac:dyDescent="0.25">
      <c r="A982">
        <v>976</v>
      </c>
      <c r="B982" s="1">
        <f>DATE(2013,1,1) + TIME(0,0,0)</f>
        <v>41275</v>
      </c>
      <c r="C982">
        <v>576.55926513999998</v>
      </c>
      <c r="D982">
        <v>101.32499695</v>
      </c>
      <c r="E982">
        <v>7902.921875</v>
      </c>
      <c r="F982">
        <v>5991.1489258000001</v>
      </c>
      <c r="G982">
        <v>80</v>
      </c>
      <c r="H982">
        <v>74.889053344999994</v>
      </c>
      <c r="I982">
        <v>50</v>
      </c>
      <c r="J982">
        <v>49.970523833999998</v>
      </c>
      <c r="K982">
        <v>0</v>
      </c>
      <c r="L982">
        <v>1059.5606689000001</v>
      </c>
      <c r="M982">
        <v>2400</v>
      </c>
      <c r="N982">
        <v>0</v>
      </c>
    </row>
    <row r="983" spans="1:14" x14ac:dyDescent="0.25">
      <c r="A983">
        <v>979.67406100000005</v>
      </c>
      <c r="B983" s="1">
        <f>DATE(2013,1,4) + TIME(16,10,38)</f>
        <v>41278.674050925925</v>
      </c>
      <c r="C983">
        <v>577.12377930000002</v>
      </c>
      <c r="D983">
        <v>101.32499695</v>
      </c>
      <c r="E983">
        <v>7901.1240233999997</v>
      </c>
      <c r="F983">
        <v>5989.3183594000002</v>
      </c>
      <c r="G983">
        <v>80</v>
      </c>
      <c r="H983">
        <v>74.659179687999995</v>
      </c>
      <c r="I983">
        <v>50</v>
      </c>
      <c r="J983">
        <v>49.970760345000002</v>
      </c>
      <c r="K983">
        <v>0</v>
      </c>
      <c r="L983">
        <v>1059.0987548999999</v>
      </c>
      <c r="M983">
        <v>2400</v>
      </c>
      <c r="N983">
        <v>0</v>
      </c>
    </row>
    <row r="984" spans="1:14" x14ac:dyDescent="0.25">
      <c r="A984">
        <v>983.39758800000004</v>
      </c>
      <c r="B984" s="1">
        <f>DATE(2013,1,8) + TIME(9,32,31)</f>
        <v>41282.397581018522</v>
      </c>
      <c r="C984">
        <v>576.74792479999996</v>
      </c>
      <c r="D984">
        <v>101.32499695</v>
      </c>
      <c r="E984">
        <v>7898.2558594000002</v>
      </c>
      <c r="F984">
        <v>5986.2934569999998</v>
      </c>
      <c r="G984">
        <v>80</v>
      </c>
      <c r="H984">
        <v>74.417495728000006</v>
      </c>
      <c r="I984">
        <v>50</v>
      </c>
      <c r="J984">
        <v>49.970848083</v>
      </c>
      <c r="K984">
        <v>0</v>
      </c>
      <c r="L984">
        <v>1057.5783690999999</v>
      </c>
      <c r="M984">
        <v>2400</v>
      </c>
      <c r="N984">
        <v>0</v>
      </c>
    </row>
    <row r="985" spans="1:14" x14ac:dyDescent="0.25">
      <c r="A985">
        <v>987.18222500000002</v>
      </c>
      <c r="B985" s="1">
        <f>DATE(2013,1,12) + TIME(4,22,24)</f>
        <v>41286.182222222225</v>
      </c>
      <c r="C985">
        <v>576.37884521000001</v>
      </c>
      <c r="D985">
        <v>101.32499695</v>
      </c>
      <c r="E985">
        <v>7895.3652344000002</v>
      </c>
      <c r="F985">
        <v>5983.2602539</v>
      </c>
      <c r="G985">
        <v>80</v>
      </c>
      <c r="H985">
        <v>74.170463561999995</v>
      </c>
      <c r="I985">
        <v>50</v>
      </c>
      <c r="J985">
        <v>49.970935822000001</v>
      </c>
      <c r="K985">
        <v>0</v>
      </c>
      <c r="L985">
        <v>1055.9998779</v>
      </c>
      <c r="M985">
        <v>2400</v>
      </c>
      <c r="N985">
        <v>0</v>
      </c>
    </row>
    <row r="986" spans="1:14" x14ac:dyDescent="0.25">
      <c r="A986">
        <v>991.04051400000003</v>
      </c>
      <c r="B986" s="1">
        <f>DATE(2013,1,16) + TIME(0,58,20)</f>
        <v>41290.040509259263</v>
      </c>
      <c r="C986">
        <v>576.01550293000003</v>
      </c>
      <c r="D986">
        <v>101.32499695</v>
      </c>
      <c r="E986">
        <v>7892.5073241999999</v>
      </c>
      <c r="F986">
        <v>5980.2734375</v>
      </c>
      <c r="G986">
        <v>80</v>
      </c>
      <c r="H986">
        <v>73.919952393000003</v>
      </c>
      <c r="I986">
        <v>50</v>
      </c>
      <c r="J986">
        <v>49.971027374000002</v>
      </c>
      <c r="K986">
        <v>0</v>
      </c>
      <c r="L986">
        <v>1054.3720702999999</v>
      </c>
      <c r="M986">
        <v>2400</v>
      </c>
      <c r="N986">
        <v>0</v>
      </c>
    </row>
    <row r="987" spans="1:14" x14ac:dyDescent="0.25">
      <c r="A987">
        <v>994.98336099999995</v>
      </c>
      <c r="B987" s="1">
        <f>DATE(2013,1,19) + TIME(23,36,2)</f>
        <v>41293.983356481483</v>
      </c>
      <c r="C987">
        <v>575.65466308999999</v>
      </c>
      <c r="D987">
        <v>101.32499695</v>
      </c>
      <c r="E987">
        <v>7889.6816405999998</v>
      </c>
      <c r="F987">
        <v>5977.3300780999998</v>
      </c>
      <c r="G987">
        <v>80</v>
      </c>
      <c r="H987">
        <v>73.666107178000004</v>
      </c>
      <c r="I987">
        <v>50</v>
      </c>
      <c r="J987">
        <v>49.971122741999999</v>
      </c>
      <c r="K987">
        <v>0</v>
      </c>
      <c r="L987">
        <v>1052.6866454999999</v>
      </c>
      <c r="M987">
        <v>2400</v>
      </c>
      <c r="N987">
        <v>0</v>
      </c>
    </row>
    <row r="988" spans="1:14" x14ac:dyDescent="0.25">
      <c r="A988">
        <v>998.960016</v>
      </c>
      <c r="B988" s="1">
        <f>DATE(2013,1,23) + TIME(23,2,25)</f>
        <v>41297.960011574076</v>
      </c>
      <c r="C988">
        <v>575.29083251999998</v>
      </c>
      <c r="D988">
        <v>101.32499695</v>
      </c>
      <c r="E988">
        <v>7886.8837891000003</v>
      </c>
      <c r="F988">
        <v>5974.4248047000001</v>
      </c>
      <c r="G988">
        <v>80</v>
      </c>
      <c r="H988">
        <v>73.409873962000006</v>
      </c>
      <c r="I988">
        <v>50</v>
      </c>
      <c r="J988">
        <v>49.971214293999999</v>
      </c>
      <c r="K988">
        <v>0</v>
      </c>
      <c r="L988">
        <v>1050.9354248</v>
      </c>
      <c r="M988">
        <v>2400</v>
      </c>
      <c r="N988">
        <v>0</v>
      </c>
    </row>
    <row r="989" spans="1:14" x14ac:dyDescent="0.25">
      <c r="A989">
        <v>1002.980499</v>
      </c>
      <c r="B989" s="1">
        <f>DATE(2013,1,27) + TIME(23,31,55)</f>
        <v>41301.980497685188</v>
      </c>
      <c r="C989">
        <v>574.93884276999995</v>
      </c>
      <c r="D989">
        <v>101.32499695</v>
      </c>
      <c r="E989">
        <v>7884.1411133000001</v>
      </c>
      <c r="F989">
        <v>5971.5844727000003</v>
      </c>
      <c r="G989">
        <v>80</v>
      </c>
      <c r="H989">
        <v>73.152030945000007</v>
      </c>
      <c r="I989">
        <v>50</v>
      </c>
      <c r="J989">
        <v>49.971305846999996</v>
      </c>
      <c r="K989">
        <v>0</v>
      </c>
      <c r="L989">
        <v>1049.1343993999999</v>
      </c>
      <c r="M989">
        <v>2400</v>
      </c>
      <c r="N989">
        <v>0</v>
      </c>
    </row>
    <row r="990" spans="1:14" x14ac:dyDescent="0.25">
      <c r="A990">
        <v>1007</v>
      </c>
      <c r="B990" s="1">
        <f>DATE(2013,2,1) + TIME(0,0,0)</f>
        <v>41306</v>
      </c>
      <c r="C990">
        <v>574.59338378999996</v>
      </c>
      <c r="D990">
        <v>101.32499695</v>
      </c>
      <c r="E990">
        <v>7881.4516602000003</v>
      </c>
      <c r="F990">
        <v>5968.8061522999997</v>
      </c>
      <c r="G990">
        <v>80</v>
      </c>
      <c r="H990">
        <v>72.893547057999996</v>
      </c>
      <c r="I990">
        <v>50</v>
      </c>
      <c r="J990">
        <v>49.971397400000001</v>
      </c>
      <c r="K990">
        <v>0</v>
      </c>
      <c r="L990">
        <v>1047.2763672000001</v>
      </c>
      <c r="M990">
        <v>2400</v>
      </c>
      <c r="N990">
        <v>0</v>
      </c>
    </row>
    <row r="991" spans="1:14" x14ac:dyDescent="0.25">
      <c r="A991">
        <v>1011.080338</v>
      </c>
      <c r="B991" s="1">
        <f>DATE(2013,2,5) + TIME(1,55,41)</f>
        <v>41310.080335648148</v>
      </c>
      <c r="C991">
        <v>574.27221680000002</v>
      </c>
      <c r="D991">
        <v>101.32499695</v>
      </c>
      <c r="E991">
        <v>7878.8315430000002</v>
      </c>
      <c r="F991">
        <v>5966.1054688000004</v>
      </c>
      <c r="G991">
        <v>80</v>
      </c>
      <c r="H991">
        <v>72.633842467999997</v>
      </c>
      <c r="I991">
        <v>50</v>
      </c>
      <c r="J991">
        <v>49.971488952999998</v>
      </c>
      <c r="K991">
        <v>0</v>
      </c>
      <c r="L991">
        <v>1045.3754882999999</v>
      </c>
      <c r="M991">
        <v>2400</v>
      </c>
      <c r="N991">
        <v>0</v>
      </c>
    </row>
    <row r="992" spans="1:14" x14ac:dyDescent="0.25">
      <c r="A992">
        <v>1015.326612</v>
      </c>
      <c r="B992" s="1">
        <f>DATE(2013,2,9) + TIME(7,50,19)</f>
        <v>41314.326608796298</v>
      </c>
      <c r="C992">
        <v>573.97192383000004</v>
      </c>
      <c r="D992">
        <v>101.32499695</v>
      </c>
      <c r="E992">
        <v>7876.2421875</v>
      </c>
      <c r="F992">
        <v>5963.4423827999999</v>
      </c>
      <c r="G992">
        <v>80</v>
      </c>
      <c r="H992">
        <v>72.369056701999995</v>
      </c>
      <c r="I992">
        <v>50</v>
      </c>
      <c r="J992">
        <v>49.971584319999998</v>
      </c>
      <c r="K992">
        <v>0</v>
      </c>
      <c r="L992">
        <v>1043.3997803</v>
      </c>
      <c r="M992">
        <v>2400</v>
      </c>
      <c r="N992">
        <v>0</v>
      </c>
    </row>
    <row r="993" spans="1:14" x14ac:dyDescent="0.25">
      <c r="A993">
        <v>1019.614416</v>
      </c>
      <c r="B993" s="1">
        <f>DATE(2013,2,13) + TIME(14,44,45)</f>
        <v>41318.61440972222</v>
      </c>
      <c r="C993">
        <v>573.66375731999995</v>
      </c>
      <c r="D993">
        <v>101.32499695</v>
      </c>
      <c r="E993">
        <v>7873.6401366999999</v>
      </c>
      <c r="F993">
        <v>5960.7705077999999</v>
      </c>
      <c r="G993">
        <v>80</v>
      </c>
      <c r="H993">
        <v>72.098541260000005</v>
      </c>
      <c r="I993">
        <v>50</v>
      </c>
      <c r="J993">
        <v>49.971675873000002</v>
      </c>
      <c r="K993">
        <v>0</v>
      </c>
      <c r="L993">
        <v>1041.2957764</v>
      </c>
      <c r="M993">
        <v>2400</v>
      </c>
      <c r="N993">
        <v>0</v>
      </c>
    </row>
    <row r="994" spans="1:14" x14ac:dyDescent="0.25">
      <c r="A994">
        <v>1023.948748</v>
      </c>
      <c r="B994" s="1">
        <f>DATE(2013,2,17) + TIME(22,46,11)</f>
        <v>41322.948738425926</v>
      </c>
      <c r="C994">
        <v>573.38311768000005</v>
      </c>
      <c r="D994">
        <v>101.32499695</v>
      </c>
      <c r="E994">
        <v>7871.0815430000002</v>
      </c>
      <c r="F994">
        <v>5958.1474608999997</v>
      </c>
      <c r="G994">
        <v>80</v>
      </c>
      <c r="H994">
        <v>71.823875427000004</v>
      </c>
      <c r="I994">
        <v>50</v>
      </c>
      <c r="J994">
        <v>49.971771240000002</v>
      </c>
      <c r="K994">
        <v>0</v>
      </c>
      <c r="L994">
        <v>1039.1126709</v>
      </c>
      <c r="M994">
        <v>2400</v>
      </c>
      <c r="N994">
        <v>0</v>
      </c>
    </row>
    <row r="995" spans="1:14" x14ac:dyDescent="0.25">
      <c r="A995">
        <v>1028.347342</v>
      </c>
      <c r="B995" s="1">
        <f>DATE(2013,2,22) + TIME(8,20,10)</f>
        <v>41327.347337962965</v>
      </c>
      <c r="C995">
        <v>573.13128661999997</v>
      </c>
      <c r="D995">
        <v>101.32499695</v>
      </c>
      <c r="E995">
        <v>7868.5668944999998</v>
      </c>
      <c r="F995">
        <v>5955.5737305000002</v>
      </c>
      <c r="G995">
        <v>80</v>
      </c>
      <c r="H995">
        <v>71.544876099000007</v>
      </c>
      <c r="I995">
        <v>50</v>
      </c>
      <c r="J995">
        <v>49.971862793</v>
      </c>
      <c r="K995">
        <v>0</v>
      </c>
      <c r="L995">
        <v>1036.8444824000001</v>
      </c>
      <c r="M995">
        <v>2400</v>
      </c>
      <c r="N995">
        <v>0</v>
      </c>
    </row>
    <row r="996" spans="1:14" x14ac:dyDescent="0.25">
      <c r="A996">
        <v>1032.8265699999999</v>
      </c>
      <c r="B996" s="1">
        <f>DATE(2013,2,26) + TIME(19,50,15)</f>
        <v>41331.826562499999</v>
      </c>
      <c r="C996">
        <v>572.90887451000003</v>
      </c>
      <c r="D996">
        <v>101.32499695</v>
      </c>
      <c r="E996">
        <v>7866.0883789</v>
      </c>
      <c r="F996">
        <v>5953.0405272999997</v>
      </c>
      <c r="G996">
        <v>80</v>
      </c>
      <c r="H996">
        <v>71.260520935000002</v>
      </c>
      <c r="I996">
        <v>50</v>
      </c>
      <c r="J996">
        <v>49.97195816</v>
      </c>
      <c r="K996">
        <v>0</v>
      </c>
      <c r="L996">
        <v>1034.4774170000001</v>
      </c>
      <c r="M996">
        <v>2400</v>
      </c>
      <c r="N996">
        <v>0</v>
      </c>
    </row>
    <row r="997" spans="1:14" x14ac:dyDescent="0.25">
      <c r="A997">
        <v>1035</v>
      </c>
      <c r="B997" s="1">
        <f>DATE(2013,3,1) + TIME(0,0,0)</f>
        <v>41334</v>
      </c>
      <c r="C997">
        <v>572.36688231999995</v>
      </c>
      <c r="D997">
        <v>101.32499695</v>
      </c>
      <c r="E997">
        <v>7863.8969727000003</v>
      </c>
      <c r="F997">
        <v>5950.7973633000001</v>
      </c>
      <c r="G997">
        <v>80</v>
      </c>
      <c r="H997">
        <v>71.050186156999999</v>
      </c>
      <c r="I997">
        <v>50</v>
      </c>
      <c r="J997">
        <v>49.971965789999999</v>
      </c>
      <c r="K997">
        <v>0</v>
      </c>
      <c r="L997">
        <v>1032.0515137</v>
      </c>
      <c r="M997">
        <v>2400</v>
      </c>
      <c r="N997">
        <v>0</v>
      </c>
    </row>
    <row r="998" spans="1:14" x14ac:dyDescent="0.25">
      <c r="A998">
        <v>1039.572842</v>
      </c>
      <c r="B998" s="1">
        <f>DATE(2013,3,5) + TIME(13,44,53)</f>
        <v>41338.572835648149</v>
      </c>
      <c r="C998">
        <v>572.74542236000002</v>
      </c>
      <c r="D998">
        <v>101.32499695</v>
      </c>
      <c r="E998">
        <v>7862.3706055000002</v>
      </c>
      <c r="F998">
        <v>5949.2495116999999</v>
      </c>
      <c r="G998">
        <v>80</v>
      </c>
      <c r="H998">
        <v>70.803138732999997</v>
      </c>
      <c r="I998">
        <v>50</v>
      </c>
      <c r="J998">
        <v>49.972110747999999</v>
      </c>
      <c r="K998">
        <v>0</v>
      </c>
      <c r="L998">
        <v>1030.7357178</v>
      </c>
      <c r="M998">
        <v>2400</v>
      </c>
      <c r="N998">
        <v>0</v>
      </c>
    </row>
    <row r="999" spans="1:14" x14ac:dyDescent="0.25">
      <c r="A999">
        <v>1044.2139279999999</v>
      </c>
      <c r="B999" s="1">
        <f>DATE(2013,3,10) + TIME(5,8,3)</f>
        <v>41343.213923611111</v>
      </c>
      <c r="C999">
        <v>572.5390625</v>
      </c>
      <c r="D999">
        <v>101.32499695</v>
      </c>
      <c r="E999">
        <v>7860.0683594000002</v>
      </c>
      <c r="F999">
        <v>5946.9008789</v>
      </c>
      <c r="G999">
        <v>80</v>
      </c>
      <c r="H999">
        <v>70.519615173000005</v>
      </c>
      <c r="I999">
        <v>50</v>
      </c>
      <c r="J999">
        <v>49.972194672000001</v>
      </c>
      <c r="K999">
        <v>0</v>
      </c>
      <c r="L999">
        <v>1028.1142577999999</v>
      </c>
      <c r="M999">
        <v>2400</v>
      </c>
      <c r="N999">
        <v>0</v>
      </c>
    </row>
    <row r="1000" spans="1:14" x14ac:dyDescent="0.25">
      <c r="A1000">
        <v>1048.9217289999999</v>
      </c>
      <c r="B1000" s="1">
        <f>DATE(2013,3,14) + TIME(22,7,17)</f>
        <v>41347.921724537038</v>
      </c>
      <c r="C1000">
        <v>572.41857909999999</v>
      </c>
      <c r="D1000">
        <v>101.32499695</v>
      </c>
      <c r="E1000">
        <v>7857.7226561999996</v>
      </c>
      <c r="F1000">
        <v>5944.5131836</v>
      </c>
      <c r="G1000">
        <v>80</v>
      </c>
      <c r="H1000">
        <v>70.218788146999998</v>
      </c>
      <c r="I1000">
        <v>50</v>
      </c>
      <c r="J1000">
        <v>49.972286224000001</v>
      </c>
      <c r="K1000">
        <v>0</v>
      </c>
      <c r="L1000">
        <v>1025.3616943</v>
      </c>
      <c r="M1000">
        <v>2400</v>
      </c>
      <c r="N1000">
        <v>0</v>
      </c>
    </row>
    <row r="1001" spans="1:14" x14ac:dyDescent="0.25">
      <c r="A1001">
        <v>1053.7139159999999</v>
      </c>
      <c r="B1001" s="1">
        <f>DATE(2013,3,19) + TIME(17,8,2)</f>
        <v>41352.713912037034</v>
      </c>
      <c r="C1001">
        <v>572.36120604999996</v>
      </c>
      <c r="D1001">
        <v>101.32499695</v>
      </c>
      <c r="E1001">
        <v>7855.3984375</v>
      </c>
      <c r="F1001">
        <v>5942.1484375</v>
      </c>
      <c r="G1001">
        <v>80</v>
      </c>
      <c r="H1001">
        <v>69.906616210999999</v>
      </c>
      <c r="I1001">
        <v>50</v>
      </c>
      <c r="J1001">
        <v>49.972381591999998</v>
      </c>
      <c r="K1001">
        <v>0</v>
      </c>
      <c r="L1001">
        <v>1022.4876099000001</v>
      </c>
      <c r="M1001">
        <v>2400</v>
      </c>
      <c r="N1001">
        <v>0</v>
      </c>
    </row>
    <row r="1002" spans="1:14" x14ac:dyDescent="0.25">
      <c r="A1002">
        <v>1058.60511</v>
      </c>
      <c r="B1002" s="1">
        <f>DATE(2013,3,24) + TIME(14,31,21)</f>
        <v>41357.605104166665</v>
      </c>
      <c r="C1002">
        <v>572.35858154000005</v>
      </c>
      <c r="D1002">
        <v>101.32499695</v>
      </c>
      <c r="E1002">
        <v>7853.1010741999999</v>
      </c>
      <c r="F1002">
        <v>5939.8139647999997</v>
      </c>
      <c r="G1002">
        <v>80</v>
      </c>
      <c r="H1002">
        <v>69.584075928000004</v>
      </c>
      <c r="I1002">
        <v>50</v>
      </c>
      <c r="J1002">
        <v>49.972476958999998</v>
      </c>
      <c r="K1002">
        <v>0</v>
      </c>
      <c r="L1002">
        <v>1019.4814453</v>
      </c>
      <c r="M1002">
        <v>2400</v>
      </c>
      <c r="N1002">
        <v>0</v>
      </c>
    </row>
    <row r="1003" spans="1:14" x14ac:dyDescent="0.25">
      <c r="A1003">
        <v>1063.5416</v>
      </c>
      <c r="B1003" s="1">
        <f>DATE(2013,3,29) + TIME(12,59,54)</f>
        <v>41362.541597222225</v>
      </c>
      <c r="C1003">
        <v>572.40234375</v>
      </c>
      <c r="D1003">
        <v>101.32499695</v>
      </c>
      <c r="E1003">
        <v>7850.8242188000004</v>
      </c>
      <c r="F1003">
        <v>5937.5019530999998</v>
      </c>
      <c r="G1003">
        <v>80</v>
      </c>
      <c r="H1003">
        <v>69.252395629999995</v>
      </c>
      <c r="I1003">
        <v>50</v>
      </c>
      <c r="J1003">
        <v>49.972572327000002</v>
      </c>
      <c r="K1003">
        <v>0</v>
      </c>
      <c r="L1003">
        <v>1016.333252</v>
      </c>
      <c r="M1003">
        <v>2400</v>
      </c>
      <c r="N1003">
        <v>0</v>
      </c>
    </row>
    <row r="1004" spans="1:14" x14ac:dyDescent="0.25">
      <c r="A1004">
        <v>1066</v>
      </c>
      <c r="B1004" s="1">
        <f>DATE(2013,4,1) + TIME(0,0,0)</f>
        <v>41365</v>
      </c>
      <c r="C1004">
        <v>572.05902100000003</v>
      </c>
      <c r="D1004">
        <v>101.32499695</v>
      </c>
      <c r="E1004">
        <v>7848.7778319999998</v>
      </c>
      <c r="F1004">
        <v>5935.4213866999999</v>
      </c>
      <c r="G1004">
        <v>80</v>
      </c>
      <c r="H1004">
        <v>68.999794006000002</v>
      </c>
      <c r="I1004">
        <v>50</v>
      </c>
      <c r="J1004">
        <v>49.972587584999999</v>
      </c>
      <c r="K1004">
        <v>0</v>
      </c>
      <c r="L1004">
        <v>1013.1315308</v>
      </c>
      <c r="M1004">
        <v>2400</v>
      </c>
      <c r="N1004">
        <v>0</v>
      </c>
    </row>
    <row r="1005" spans="1:14" x14ac:dyDescent="0.25">
      <c r="A1005">
        <v>1071.0028119999999</v>
      </c>
      <c r="B1005" s="1">
        <f>DATE(2013,4,6) + TIME(0,4,2)</f>
        <v>41370.002800925926</v>
      </c>
      <c r="C1005">
        <v>572.72784423999997</v>
      </c>
      <c r="D1005">
        <v>101.32499695</v>
      </c>
      <c r="E1005">
        <v>7847.4101561999996</v>
      </c>
      <c r="F1005">
        <v>5934.0405272999997</v>
      </c>
      <c r="G1005">
        <v>80</v>
      </c>
      <c r="H1005">
        <v>68.712814331000004</v>
      </c>
      <c r="I1005">
        <v>50</v>
      </c>
      <c r="J1005">
        <v>49.972728729000004</v>
      </c>
      <c r="K1005">
        <v>0</v>
      </c>
      <c r="L1005">
        <v>1011.3859253000001</v>
      </c>
      <c r="M1005">
        <v>2400</v>
      </c>
      <c r="N1005">
        <v>0</v>
      </c>
    </row>
    <row r="1006" spans="1:14" x14ac:dyDescent="0.25">
      <c r="A1006">
        <v>1076.1432239999999</v>
      </c>
      <c r="B1006" s="1">
        <f>DATE(2013,4,11) + TIME(3,26,14)</f>
        <v>41375.143217592595</v>
      </c>
      <c r="C1006">
        <v>572.82971191000001</v>
      </c>
      <c r="D1006">
        <v>101.32499695</v>
      </c>
      <c r="E1006">
        <v>7845.3193358999997</v>
      </c>
      <c r="F1006">
        <v>5931.9189452999999</v>
      </c>
      <c r="G1006">
        <v>80</v>
      </c>
      <c r="H1006">
        <v>68.379104613999999</v>
      </c>
      <c r="I1006">
        <v>50</v>
      </c>
      <c r="J1006">
        <v>49.972816467000001</v>
      </c>
      <c r="K1006">
        <v>0</v>
      </c>
      <c r="L1006">
        <v>1007.9916992</v>
      </c>
      <c r="M1006">
        <v>2400</v>
      </c>
      <c r="N1006">
        <v>0</v>
      </c>
    </row>
    <row r="1007" spans="1:14" x14ac:dyDescent="0.25">
      <c r="A1007">
        <v>1081.361813</v>
      </c>
      <c r="B1007" s="1">
        <f>DATE(2013,4,16) + TIME(8,41,0)</f>
        <v>41380.361805555556</v>
      </c>
      <c r="C1007">
        <v>573.04498291000004</v>
      </c>
      <c r="D1007">
        <v>101.32499695</v>
      </c>
      <c r="E1007">
        <v>7843.1572266000003</v>
      </c>
      <c r="F1007">
        <v>5929.7285155999998</v>
      </c>
      <c r="G1007">
        <v>80</v>
      </c>
      <c r="H1007">
        <v>68.021820067999997</v>
      </c>
      <c r="I1007">
        <v>50</v>
      </c>
      <c r="J1007">
        <v>49.972911834999998</v>
      </c>
      <c r="K1007">
        <v>0</v>
      </c>
      <c r="L1007">
        <v>1004.4138184</v>
      </c>
      <c r="M1007">
        <v>2400</v>
      </c>
      <c r="N1007">
        <v>0</v>
      </c>
    </row>
    <row r="1008" spans="1:14" x14ac:dyDescent="0.25">
      <c r="A1008">
        <v>1086.6433910000001</v>
      </c>
      <c r="B1008" s="1">
        <f>DATE(2013,4,21) + TIME(15,26,28)</f>
        <v>41385.643379629626</v>
      </c>
      <c r="C1008">
        <v>573.34375</v>
      </c>
      <c r="D1008">
        <v>101.32499695</v>
      </c>
      <c r="E1008">
        <v>7841.0043944999998</v>
      </c>
      <c r="F1008">
        <v>5927.5488280999998</v>
      </c>
      <c r="G1008">
        <v>80</v>
      </c>
      <c r="H1008">
        <v>67.650520325000002</v>
      </c>
      <c r="I1008">
        <v>50</v>
      </c>
      <c r="J1008">
        <v>49.973003386999999</v>
      </c>
      <c r="K1008">
        <v>0</v>
      </c>
      <c r="L1008">
        <v>1000.7068481</v>
      </c>
      <c r="M1008">
        <v>2400</v>
      </c>
      <c r="N1008">
        <v>0</v>
      </c>
    </row>
    <row r="1009" spans="1:14" x14ac:dyDescent="0.25">
      <c r="A1009">
        <v>1092.009853</v>
      </c>
      <c r="B1009" s="1">
        <f>DATE(2013,4,27) + TIME(0,14,11)</f>
        <v>41391.00984953704</v>
      </c>
      <c r="C1009">
        <v>573.71582031000003</v>
      </c>
      <c r="D1009">
        <v>101.32499695</v>
      </c>
      <c r="E1009">
        <v>7838.8808594000002</v>
      </c>
      <c r="F1009">
        <v>5925.3999022999997</v>
      </c>
      <c r="G1009">
        <v>80</v>
      </c>
      <c r="H1009">
        <v>67.268264771000005</v>
      </c>
      <c r="I1009">
        <v>50</v>
      </c>
      <c r="J1009">
        <v>49.973102570000002</v>
      </c>
      <c r="K1009">
        <v>0</v>
      </c>
      <c r="L1009">
        <v>996.88818359000004</v>
      </c>
      <c r="M1009">
        <v>2400</v>
      </c>
      <c r="N1009">
        <v>0</v>
      </c>
    </row>
    <row r="1010" spans="1:14" x14ac:dyDescent="0.25">
      <c r="A1010">
        <v>1096</v>
      </c>
      <c r="B1010" s="1">
        <f>DATE(2013,5,1) + TIME(0,0,0)</f>
        <v>41395</v>
      </c>
      <c r="C1010">
        <v>573.91735840000001</v>
      </c>
      <c r="D1010">
        <v>101.32499695</v>
      </c>
      <c r="E1010">
        <v>7836.8149414</v>
      </c>
      <c r="F1010">
        <v>5923.3095702999999</v>
      </c>
      <c r="G1010">
        <v>80</v>
      </c>
      <c r="H1010">
        <v>66.917030334000003</v>
      </c>
      <c r="I1010">
        <v>50</v>
      </c>
      <c r="J1010">
        <v>49.973159789999997</v>
      </c>
      <c r="K1010">
        <v>0</v>
      </c>
      <c r="L1010">
        <v>992.97473145000004</v>
      </c>
      <c r="M1010">
        <v>2400</v>
      </c>
      <c r="N1010">
        <v>0</v>
      </c>
    </row>
    <row r="1011" spans="1:14" x14ac:dyDescent="0.25">
      <c r="A1011">
        <v>1096.0000010000001</v>
      </c>
      <c r="B1011" s="1">
        <f>DATE(2013,5,1) + TIME(0,0,0)</f>
        <v>41395</v>
      </c>
      <c r="C1011">
        <v>1814.3568115</v>
      </c>
      <c r="D1011">
        <v>574.44659423999997</v>
      </c>
      <c r="E1011">
        <v>5922.3989258000001</v>
      </c>
      <c r="F1011">
        <v>4002.7958984000002</v>
      </c>
      <c r="G1011">
        <v>80</v>
      </c>
      <c r="H1011">
        <v>66.917114257999998</v>
      </c>
      <c r="I1011">
        <v>50</v>
      </c>
      <c r="J1011">
        <v>49.973041533999996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1096.000004</v>
      </c>
      <c r="B1012" s="1">
        <f>DATE(2013,5,1) + TIME(0,0,0)</f>
        <v>41395</v>
      </c>
      <c r="C1012">
        <v>1816.3155518000001</v>
      </c>
      <c r="D1012">
        <v>576.03192138999998</v>
      </c>
      <c r="E1012">
        <v>5919.671875</v>
      </c>
      <c r="F1012">
        <v>4000.0563965000001</v>
      </c>
      <c r="G1012">
        <v>80</v>
      </c>
      <c r="H1012">
        <v>66.917366028000004</v>
      </c>
      <c r="I1012">
        <v>50</v>
      </c>
      <c r="J1012">
        <v>49.972682953000003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1096.0000130000001</v>
      </c>
      <c r="B1013" s="1">
        <f>DATE(2013,5,1) + TIME(0,0,1)</f>
        <v>41395.000011574077</v>
      </c>
      <c r="C1013">
        <v>1822.1590576000001</v>
      </c>
      <c r="D1013">
        <v>580.76739501999998</v>
      </c>
      <c r="E1013">
        <v>5911.5219727000003</v>
      </c>
      <c r="F1013">
        <v>3991.8698730000001</v>
      </c>
      <c r="G1013">
        <v>80</v>
      </c>
      <c r="H1013">
        <v>66.918121338000006</v>
      </c>
      <c r="I1013">
        <v>50</v>
      </c>
      <c r="J1013">
        <v>49.971611023000001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1096.0000399999999</v>
      </c>
      <c r="B1014" s="1">
        <f>DATE(2013,5,1) + TIME(0,0,3)</f>
        <v>41395.000034722223</v>
      </c>
      <c r="C1014">
        <v>1839.4000243999999</v>
      </c>
      <c r="D1014">
        <v>594.79010010000002</v>
      </c>
      <c r="E1014">
        <v>5887.3574219000002</v>
      </c>
      <c r="F1014">
        <v>3967.5959472999998</v>
      </c>
      <c r="G1014">
        <v>80</v>
      </c>
      <c r="H1014">
        <v>66.920364379999995</v>
      </c>
      <c r="I1014">
        <v>50</v>
      </c>
      <c r="J1014">
        <v>49.968437195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1096.000121</v>
      </c>
      <c r="B1015" s="1">
        <f>DATE(2013,5,1) + TIME(0,0,10)</f>
        <v>41395.000115740739</v>
      </c>
      <c r="C1015">
        <v>1888.6831055</v>
      </c>
      <c r="D1015">
        <v>635.28387451000003</v>
      </c>
      <c r="E1015">
        <v>5817.3105469000002</v>
      </c>
      <c r="F1015">
        <v>3897.2336426000002</v>
      </c>
      <c r="G1015">
        <v>80</v>
      </c>
      <c r="H1015">
        <v>66.926879882999998</v>
      </c>
      <c r="I1015">
        <v>50</v>
      </c>
      <c r="J1015">
        <v>49.959236144999998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1096.000364</v>
      </c>
      <c r="B1016" s="1">
        <f>DATE(2013,5,1) + TIME(0,0,31)</f>
        <v>41395.000358796293</v>
      </c>
      <c r="C1016">
        <v>2018.1639404</v>
      </c>
      <c r="D1016">
        <v>744.36334228999999</v>
      </c>
      <c r="E1016">
        <v>5626.5107422000001</v>
      </c>
      <c r="F1016">
        <v>3705.5859375</v>
      </c>
      <c r="G1016">
        <v>80</v>
      </c>
      <c r="H1016">
        <v>66.944831848000007</v>
      </c>
      <c r="I1016">
        <v>50</v>
      </c>
      <c r="J1016">
        <v>49.934188843000001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1096.0010930000001</v>
      </c>
      <c r="B1017" s="1">
        <f>DATE(2013,5,1) + TIME(0,1,34)</f>
        <v>41395.001087962963</v>
      </c>
      <c r="C1017">
        <v>2300.0158691000001</v>
      </c>
      <c r="D1017">
        <v>993.20318603999999</v>
      </c>
      <c r="E1017">
        <v>5178.7016602000003</v>
      </c>
      <c r="F1017">
        <v>3255.828125</v>
      </c>
      <c r="G1017">
        <v>80</v>
      </c>
      <c r="H1017">
        <v>66.988555907999995</v>
      </c>
      <c r="I1017">
        <v>50</v>
      </c>
      <c r="J1017">
        <v>49.875644684000001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1096.00272</v>
      </c>
      <c r="B1018" s="1">
        <f>DATE(2013,5,1) + TIME(0,3,55)</f>
        <v>41395.00271990741</v>
      </c>
      <c r="C1018">
        <v>2674.8332519999999</v>
      </c>
      <c r="D1018">
        <v>1341.4112548999999</v>
      </c>
      <c r="E1018">
        <v>4522.5429688000004</v>
      </c>
      <c r="F1018">
        <v>2596.9555664</v>
      </c>
      <c r="G1018">
        <v>80</v>
      </c>
      <c r="H1018">
        <v>67.058654785000002</v>
      </c>
      <c r="I1018">
        <v>50</v>
      </c>
      <c r="J1018">
        <v>49.790355681999998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1096.0052000000001</v>
      </c>
      <c r="B1019" s="1">
        <f>DATE(2013,5,1) + TIME(0,7,29)</f>
        <v>41395.005196759259</v>
      </c>
      <c r="C1019">
        <v>3001.2587890999998</v>
      </c>
      <c r="D1019">
        <v>1655.3887939000001</v>
      </c>
      <c r="E1019">
        <v>3906.6059570000002</v>
      </c>
      <c r="F1019">
        <v>1978.6907959</v>
      </c>
      <c r="G1019">
        <v>80</v>
      </c>
      <c r="H1019">
        <v>67.136421204000001</v>
      </c>
      <c r="I1019">
        <v>50</v>
      </c>
      <c r="J1019">
        <v>49.7109375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1096.0092259999999</v>
      </c>
      <c r="B1020" s="1">
        <f>DATE(2013,5,1) + TIME(0,13,17)</f>
        <v>41395.00922453704</v>
      </c>
      <c r="C1020">
        <v>3298.0900879000001</v>
      </c>
      <c r="D1020">
        <v>1946.5064697</v>
      </c>
      <c r="E1020">
        <v>3321.9924316000001</v>
      </c>
      <c r="F1020">
        <v>1391.9989014</v>
      </c>
      <c r="G1020">
        <v>80</v>
      </c>
      <c r="H1020">
        <v>67.232940674000005</v>
      </c>
      <c r="I1020">
        <v>50</v>
      </c>
      <c r="J1020">
        <v>49.636375426999997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1096.0161109999999</v>
      </c>
      <c r="B1021" s="1">
        <f>DATE(2013,5,1) + TIME(0,23,11)</f>
        <v>41395.016099537039</v>
      </c>
      <c r="C1021">
        <v>3582.3933105000001</v>
      </c>
      <c r="D1021">
        <v>2228.2722168</v>
      </c>
      <c r="E1021">
        <v>2753.7590332</v>
      </c>
      <c r="F1021">
        <v>821.89746093999997</v>
      </c>
      <c r="G1021">
        <v>80</v>
      </c>
      <c r="H1021">
        <v>67.367950438999998</v>
      </c>
      <c r="I1021">
        <v>50</v>
      </c>
      <c r="J1021">
        <v>49.565078735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1096.028225</v>
      </c>
      <c r="B1022" s="1">
        <f>DATE(2013,5,1) + TIME(0,40,38)</f>
        <v>41395.028217592589</v>
      </c>
      <c r="C1022">
        <v>3864.4042969000002</v>
      </c>
      <c r="D1022">
        <v>2510.0375976999999</v>
      </c>
      <c r="E1022">
        <v>2189.1691894999999</v>
      </c>
      <c r="F1022">
        <v>255.65254211000001</v>
      </c>
      <c r="G1022">
        <v>80</v>
      </c>
      <c r="H1022">
        <v>67.573982239000003</v>
      </c>
      <c r="I1022">
        <v>50</v>
      </c>
      <c r="J1022">
        <v>49.496032714999998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1096.049677</v>
      </c>
      <c r="B1023" s="1">
        <f>DATE(2013,5,1) + TIME(1,11,32)</f>
        <v>41395.049675925926</v>
      </c>
      <c r="C1023">
        <v>4147.4111327999999</v>
      </c>
      <c r="D1023">
        <v>2795.2556152000002</v>
      </c>
      <c r="E1023">
        <v>1623.2568358999999</v>
      </c>
      <c r="F1023">
        <v>-311.65322875999999</v>
      </c>
      <c r="G1023">
        <v>80</v>
      </c>
      <c r="H1023">
        <v>67.902420043999996</v>
      </c>
      <c r="I1023">
        <v>50</v>
      </c>
      <c r="J1023">
        <v>49.429622649999999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1096.0875779999999</v>
      </c>
      <c r="B1024" s="1">
        <f>DATE(2013,5,1) + TIME(2,6,6)</f>
        <v>41395.087569444448</v>
      </c>
      <c r="C1024">
        <v>4431.8994141000003</v>
      </c>
      <c r="D1024">
        <v>3084.9108887000002</v>
      </c>
      <c r="E1024">
        <v>1526.0097656</v>
      </c>
      <c r="F1024">
        <v>101.32499695</v>
      </c>
      <c r="G1024">
        <v>80</v>
      </c>
      <c r="H1024">
        <v>68.432220459000007</v>
      </c>
      <c r="I1024">
        <v>50</v>
      </c>
      <c r="J1024">
        <v>49.422073363999999</v>
      </c>
      <c r="K1024">
        <v>2400</v>
      </c>
      <c r="L1024">
        <v>0</v>
      </c>
      <c r="M1024">
        <v>0</v>
      </c>
      <c r="N1024">
        <v>1911.3227539</v>
      </c>
    </row>
    <row r="1025" spans="1:14" x14ac:dyDescent="0.25">
      <c r="A1025">
        <v>1096.1563060000001</v>
      </c>
      <c r="B1025" s="1">
        <f>DATE(2013,5,1) + TIME(3,45,4)</f>
        <v>41395.1562962963</v>
      </c>
      <c r="C1025">
        <v>4723.6083983999997</v>
      </c>
      <c r="D1025">
        <v>3385.7509765999998</v>
      </c>
      <c r="E1025">
        <v>1327.2810059000001</v>
      </c>
      <c r="F1025">
        <v>101.32499695</v>
      </c>
      <c r="G1025">
        <v>80</v>
      </c>
      <c r="H1025">
        <v>69.298873900999993</v>
      </c>
      <c r="I1025">
        <v>50</v>
      </c>
      <c r="J1025">
        <v>49.402957915999998</v>
      </c>
      <c r="K1025">
        <v>2400</v>
      </c>
      <c r="L1025">
        <v>0</v>
      </c>
      <c r="M1025">
        <v>0</v>
      </c>
      <c r="N1025">
        <v>1646.3585204999999</v>
      </c>
    </row>
    <row r="1026" spans="1:14" x14ac:dyDescent="0.25">
      <c r="A1026">
        <v>1096.232802</v>
      </c>
      <c r="B1026" s="1">
        <f>DATE(2013,5,1) + TIME(5,35,14)</f>
        <v>41395.232800925929</v>
      </c>
      <c r="C1026">
        <v>4934.3911133000001</v>
      </c>
      <c r="D1026">
        <v>3605.7255859000002</v>
      </c>
      <c r="E1026">
        <v>1192.0495605000001</v>
      </c>
      <c r="F1026">
        <v>101.32499695</v>
      </c>
      <c r="G1026">
        <v>80</v>
      </c>
      <c r="H1026">
        <v>70.175773621000005</v>
      </c>
      <c r="I1026">
        <v>50</v>
      </c>
      <c r="J1026">
        <v>49.390098571999999</v>
      </c>
      <c r="K1026">
        <v>2400</v>
      </c>
      <c r="L1026">
        <v>0</v>
      </c>
      <c r="M1026">
        <v>0</v>
      </c>
      <c r="N1026">
        <v>1473.7188721</v>
      </c>
    </row>
    <row r="1027" spans="1:14" x14ac:dyDescent="0.25">
      <c r="A1027">
        <v>1096.317078</v>
      </c>
      <c r="B1027" s="1">
        <f>DATE(2013,5,1) + TIME(7,36,35)</f>
        <v>41395.317071759258</v>
      </c>
      <c r="C1027">
        <v>5098.3061522999997</v>
      </c>
      <c r="D1027">
        <v>3778.6213379000001</v>
      </c>
      <c r="E1027">
        <v>1094.005249</v>
      </c>
      <c r="F1027">
        <v>101.32499695</v>
      </c>
      <c r="G1027">
        <v>80</v>
      </c>
      <c r="H1027">
        <v>71.052085876000007</v>
      </c>
      <c r="I1027">
        <v>50</v>
      </c>
      <c r="J1027">
        <v>49.380710602000001</v>
      </c>
      <c r="K1027">
        <v>2400</v>
      </c>
      <c r="L1027">
        <v>0</v>
      </c>
      <c r="M1027">
        <v>0</v>
      </c>
      <c r="N1027">
        <v>1350.0454102000001</v>
      </c>
    </row>
    <row r="1028" spans="1:14" x14ac:dyDescent="0.25">
      <c r="A1028">
        <v>1096.410032</v>
      </c>
      <c r="B1028" s="1">
        <f>DATE(2013,5,1) + TIME(9,50,26)</f>
        <v>41395.41002314815</v>
      </c>
      <c r="C1028">
        <v>5232.3955077999999</v>
      </c>
      <c r="D1028">
        <v>3921.4067383000001</v>
      </c>
      <c r="E1028">
        <v>1018.1289062</v>
      </c>
      <c r="F1028">
        <v>101.32499695</v>
      </c>
      <c r="G1028">
        <v>80</v>
      </c>
      <c r="H1028">
        <v>71.923873900999993</v>
      </c>
      <c r="I1028">
        <v>50</v>
      </c>
      <c r="J1028">
        <v>49.373191833</v>
      </c>
      <c r="K1028">
        <v>2400</v>
      </c>
      <c r="L1028">
        <v>0</v>
      </c>
      <c r="M1028">
        <v>0</v>
      </c>
      <c r="N1028">
        <v>1254.9036865</v>
      </c>
    </row>
    <row r="1029" spans="1:14" x14ac:dyDescent="0.25">
      <c r="A1029">
        <v>1096.513097</v>
      </c>
      <c r="B1029" s="1">
        <f>DATE(2013,5,1) + TIME(12,18,51)</f>
        <v>41395.513090277775</v>
      </c>
      <c r="C1029">
        <v>5346.1069336</v>
      </c>
      <c r="D1029">
        <v>4043.4943847999998</v>
      </c>
      <c r="E1029">
        <v>956.60583496000004</v>
      </c>
      <c r="F1029">
        <v>101.32499695</v>
      </c>
      <c r="G1029">
        <v>80</v>
      </c>
      <c r="H1029">
        <v>72.787773131999998</v>
      </c>
      <c r="I1029">
        <v>50</v>
      </c>
      <c r="J1029">
        <v>49.366699218999997</v>
      </c>
      <c r="K1029">
        <v>2400</v>
      </c>
      <c r="L1029">
        <v>0</v>
      </c>
      <c r="M1029">
        <v>0</v>
      </c>
      <c r="N1029">
        <v>1178.0393065999999</v>
      </c>
    </row>
    <row r="1030" spans="1:14" x14ac:dyDescent="0.25">
      <c r="A1030">
        <v>1096.6283599999999</v>
      </c>
      <c r="B1030" s="1">
        <f>DATE(2013,5,1) + TIME(15,4,50)</f>
        <v>41395.62835648148</v>
      </c>
      <c r="C1030">
        <v>5445.4091797000001</v>
      </c>
      <c r="D1030">
        <v>4150.8315430000002</v>
      </c>
      <c r="E1030">
        <v>904.96282958999996</v>
      </c>
      <c r="F1030">
        <v>101.32499695</v>
      </c>
      <c r="G1030">
        <v>80</v>
      </c>
      <c r="H1030">
        <v>73.640960692999997</v>
      </c>
      <c r="I1030">
        <v>50</v>
      </c>
      <c r="J1030">
        <v>49.360740661999998</v>
      </c>
      <c r="K1030">
        <v>2400</v>
      </c>
      <c r="L1030">
        <v>0</v>
      </c>
      <c r="M1030">
        <v>0</v>
      </c>
      <c r="N1030">
        <v>1113.6719971</v>
      </c>
    </row>
    <row r="1031" spans="1:14" x14ac:dyDescent="0.25">
      <c r="A1031">
        <v>1096.758781</v>
      </c>
      <c r="B1031" s="1">
        <f>DATE(2013,5,1) + TIME(18,12,38)</f>
        <v>41395.758773148147</v>
      </c>
      <c r="C1031">
        <v>5534.4702147999997</v>
      </c>
      <c r="D1031">
        <v>4247.5673827999999</v>
      </c>
      <c r="E1031">
        <v>860.41979979999996</v>
      </c>
      <c r="F1031">
        <v>101.32499695</v>
      </c>
      <c r="G1031">
        <v>80</v>
      </c>
      <c r="H1031">
        <v>74.480529785000002</v>
      </c>
      <c r="I1031">
        <v>50</v>
      </c>
      <c r="J1031">
        <v>49.354961394999997</v>
      </c>
      <c r="K1031">
        <v>2400</v>
      </c>
      <c r="L1031">
        <v>0</v>
      </c>
      <c r="M1031">
        <v>0</v>
      </c>
      <c r="N1031">
        <v>1058.2419434000001</v>
      </c>
    </row>
    <row r="1032" spans="1:14" x14ac:dyDescent="0.25">
      <c r="A1032">
        <v>1096.9085990000001</v>
      </c>
      <c r="B1032" s="1">
        <f>DATE(2013,5,1) + TIME(21,48,22)</f>
        <v>41395.908587962964</v>
      </c>
      <c r="C1032">
        <v>5616.4506836</v>
      </c>
      <c r="D1032">
        <v>4336.8325194999998</v>
      </c>
      <c r="E1032">
        <v>821.14160156000003</v>
      </c>
      <c r="F1032">
        <v>101.32499695</v>
      </c>
      <c r="G1032">
        <v>80</v>
      </c>
      <c r="H1032">
        <v>75.302688599000007</v>
      </c>
      <c r="I1032">
        <v>50</v>
      </c>
      <c r="J1032">
        <v>49.349079132</v>
      </c>
      <c r="K1032">
        <v>2400</v>
      </c>
      <c r="L1032">
        <v>0</v>
      </c>
      <c r="M1032">
        <v>0</v>
      </c>
      <c r="N1032">
        <v>1009.4153442</v>
      </c>
    </row>
    <row r="1033" spans="1:14" x14ac:dyDescent="0.25">
      <c r="A1033">
        <v>1097.0841009999999</v>
      </c>
      <c r="B1033" s="1">
        <f>DATE(2013,5,2) + TIME(2,1,6)</f>
        <v>41396.084097222221</v>
      </c>
      <c r="C1033">
        <v>5693.9394530999998</v>
      </c>
      <c r="D1033">
        <v>4421.1772461</v>
      </c>
      <c r="E1033">
        <v>785.86810303000004</v>
      </c>
      <c r="F1033">
        <v>101.32499695</v>
      </c>
      <c r="G1033">
        <v>80</v>
      </c>
      <c r="H1033">
        <v>76.102607727000006</v>
      </c>
      <c r="I1033">
        <v>50</v>
      </c>
      <c r="J1033">
        <v>49.342815399000003</v>
      </c>
      <c r="K1033">
        <v>2400</v>
      </c>
      <c r="L1033">
        <v>0</v>
      </c>
      <c r="M1033">
        <v>0</v>
      </c>
      <c r="N1033">
        <v>965.59777831999997</v>
      </c>
    </row>
    <row r="1034" spans="1:14" x14ac:dyDescent="0.25">
      <c r="A1034">
        <v>1097.295157</v>
      </c>
      <c r="B1034" s="1">
        <f>DATE(2013,5,2) + TIME(7,5,1)</f>
        <v>41396.29515046296</v>
      </c>
      <c r="C1034">
        <v>5769.2514647999997</v>
      </c>
      <c r="D1034">
        <v>4502.8613280999998</v>
      </c>
      <c r="E1034">
        <v>753.72210693</v>
      </c>
      <c r="F1034">
        <v>101.32499695</v>
      </c>
      <c r="G1034">
        <v>80</v>
      </c>
      <c r="H1034">
        <v>76.874572753999999</v>
      </c>
      <c r="I1034">
        <v>50</v>
      </c>
      <c r="J1034">
        <v>49.335826873999999</v>
      </c>
      <c r="K1034">
        <v>2400</v>
      </c>
      <c r="L1034">
        <v>0</v>
      </c>
      <c r="M1034">
        <v>0</v>
      </c>
      <c r="N1034">
        <v>925.68420409999999</v>
      </c>
    </row>
    <row r="1035" spans="1:14" x14ac:dyDescent="0.25">
      <c r="A1035">
        <v>1097.5515849999999</v>
      </c>
      <c r="B1035" s="1">
        <f>DATE(2013,5,2) + TIME(13,14,16)</f>
        <v>41396.551574074074</v>
      </c>
      <c r="C1035">
        <v>5843.0107422000001</v>
      </c>
      <c r="D1035">
        <v>4582.2944336</v>
      </c>
      <c r="E1035">
        <v>724.71411133000004</v>
      </c>
      <c r="F1035">
        <v>101.32499695</v>
      </c>
      <c r="G1035">
        <v>80</v>
      </c>
      <c r="H1035">
        <v>77.595489502000007</v>
      </c>
      <c r="I1035">
        <v>50</v>
      </c>
      <c r="J1035">
        <v>49.32780838</v>
      </c>
      <c r="K1035">
        <v>2400</v>
      </c>
      <c r="L1035">
        <v>0</v>
      </c>
      <c r="M1035">
        <v>0</v>
      </c>
      <c r="N1035">
        <v>889.67919921999999</v>
      </c>
    </row>
    <row r="1036" spans="1:14" x14ac:dyDescent="0.25">
      <c r="A1036">
        <v>1097.8080339999999</v>
      </c>
      <c r="B1036" s="1">
        <f>DATE(2013,5,2) + TIME(19,23,34)</f>
        <v>41396.808032407411</v>
      </c>
      <c r="C1036">
        <v>5903.6865233999997</v>
      </c>
      <c r="D1036">
        <v>4646.9497069999998</v>
      </c>
      <c r="E1036">
        <v>702.72882079999999</v>
      </c>
      <c r="F1036">
        <v>101.32499695</v>
      </c>
      <c r="G1036">
        <v>80</v>
      </c>
      <c r="H1036">
        <v>78.148841857999997</v>
      </c>
      <c r="I1036">
        <v>50</v>
      </c>
      <c r="J1036">
        <v>49.319866179999998</v>
      </c>
      <c r="K1036">
        <v>2400</v>
      </c>
      <c r="L1036">
        <v>0</v>
      </c>
      <c r="M1036">
        <v>0</v>
      </c>
      <c r="N1036">
        <v>862.40393066000001</v>
      </c>
    </row>
    <row r="1037" spans="1:14" x14ac:dyDescent="0.25">
      <c r="A1037">
        <v>1098.073054</v>
      </c>
      <c r="B1037" s="1">
        <f>DATE(2013,5,3) + TIME(1,45,11)</f>
        <v>41397.07304398148</v>
      </c>
      <c r="C1037">
        <v>5956.2392577999999</v>
      </c>
      <c r="D1037">
        <v>4702.4213866999999</v>
      </c>
      <c r="E1037">
        <v>685.45275878999996</v>
      </c>
      <c r="F1037">
        <v>101.32499695</v>
      </c>
      <c r="G1037">
        <v>80</v>
      </c>
      <c r="H1037">
        <v>78.583839416999993</v>
      </c>
      <c r="I1037">
        <v>50</v>
      </c>
      <c r="J1037">
        <v>49.311729431000003</v>
      </c>
      <c r="K1037">
        <v>2400</v>
      </c>
      <c r="L1037">
        <v>0</v>
      </c>
      <c r="M1037">
        <v>0</v>
      </c>
      <c r="N1037">
        <v>840.97436522999999</v>
      </c>
    </row>
    <row r="1038" spans="1:14" x14ac:dyDescent="0.25">
      <c r="A1038">
        <v>1098.350027</v>
      </c>
      <c r="B1038" s="1">
        <f>DATE(2013,5,3) + TIME(8,24,2)</f>
        <v>41397.350023148145</v>
      </c>
      <c r="C1038">
        <v>6002.5595702999999</v>
      </c>
      <c r="D1038">
        <v>4750.8271483999997</v>
      </c>
      <c r="E1038">
        <v>671.78546143000005</v>
      </c>
      <c r="F1038">
        <v>101.32499695</v>
      </c>
      <c r="G1038">
        <v>80</v>
      </c>
      <c r="H1038">
        <v>78.925598144999995</v>
      </c>
      <c r="I1038">
        <v>50</v>
      </c>
      <c r="J1038">
        <v>49.303268433</v>
      </c>
      <c r="K1038">
        <v>2400</v>
      </c>
      <c r="L1038">
        <v>0</v>
      </c>
      <c r="M1038">
        <v>0</v>
      </c>
      <c r="N1038">
        <v>824.02478026999995</v>
      </c>
    </row>
    <row r="1039" spans="1:14" x14ac:dyDescent="0.25">
      <c r="A1039">
        <v>1098.6431620000001</v>
      </c>
      <c r="B1039" s="1">
        <f>DATE(2013,5,3) + TIME(15,26,9)</f>
        <v>41397.643159722225</v>
      </c>
      <c r="C1039">
        <v>6043.9580077999999</v>
      </c>
      <c r="D1039">
        <v>4793.6591797000001</v>
      </c>
      <c r="E1039">
        <v>660.98162841999999</v>
      </c>
      <c r="F1039">
        <v>101.32499695</v>
      </c>
      <c r="G1039">
        <v>80</v>
      </c>
      <c r="H1039">
        <v>79.193359375</v>
      </c>
      <c r="I1039">
        <v>50</v>
      </c>
      <c r="J1039">
        <v>49.294345856</v>
      </c>
      <c r="K1039">
        <v>2400</v>
      </c>
      <c r="L1039">
        <v>0</v>
      </c>
      <c r="M1039">
        <v>0</v>
      </c>
      <c r="N1039">
        <v>810.62969970999995</v>
      </c>
    </row>
    <row r="1040" spans="1:14" x14ac:dyDescent="0.25">
      <c r="A1040">
        <v>1098.957275</v>
      </c>
      <c r="B1040" s="1">
        <f>DATE(2013,5,3) + TIME(22,58,28)</f>
        <v>41397.957268518519</v>
      </c>
      <c r="C1040">
        <v>6081.3027344000002</v>
      </c>
      <c r="D1040">
        <v>4831.9155272999997</v>
      </c>
      <c r="E1040">
        <v>652.53314208999996</v>
      </c>
      <c r="F1040">
        <v>101.32499695</v>
      </c>
      <c r="G1040">
        <v>80</v>
      </c>
      <c r="H1040">
        <v>79.40171814</v>
      </c>
      <c r="I1040">
        <v>50</v>
      </c>
      <c r="J1040">
        <v>49.284801483000003</v>
      </c>
      <c r="K1040">
        <v>2400</v>
      </c>
      <c r="L1040">
        <v>0</v>
      </c>
      <c r="M1040">
        <v>0</v>
      </c>
      <c r="N1040">
        <v>800.15832520000004</v>
      </c>
    </row>
    <row r="1041" spans="1:14" x14ac:dyDescent="0.25">
      <c r="A1041">
        <v>1099.298008</v>
      </c>
      <c r="B1041" s="1">
        <f>DATE(2013,5,4) + TIME(7,9,7)</f>
        <v>41398.297997685186</v>
      </c>
      <c r="C1041">
        <v>6115.1660155999998</v>
      </c>
      <c r="D1041">
        <v>4866.2685547000001</v>
      </c>
      <c r="E1041">
        <v>646.08056640999996</v>
      </c>
      <c r="F1041">
        <v>101.32499695</v>
      </c>
      <c r="G1041">
        <v>80</v>
      </c>
      <c r="H1041">
        <v>79.562004088999998</v>
      </c>
      <c r="I1041">
        <v>50</v>
      </c>
      <c r="J1041">
        <v>49.274456024000003</v>
      </c>
      <c r="K1041">
        <v>2400</v>
      </c>
      <c r="L1041">
        <v>0</v>
      </c>
      <c r="M1041">
        <v>0</v>
      </c>
      <c r="N1041">
        <v>792.16424560999997</v>
      </c>
    </row>
    <row r="1042" spans="1:14" x14ac:dyDescent="0.25">
      <c r="A1042">
        <v>1099.6727699999999</v>
      </c>
      <c r="B1042" s="1">
        <f>DATE(2013,5,4) + TIME(16,8,47)</f>
        <v>41398.672766203701</v>
      </c>
      <c r="C1042">
        <v>6145.9624022999997</v>
      </c>
      <c r="D1042">
        <v>4897.2104491999999</v>
      </c>
      <c r="E1042">
        <v>641.35186768000005</v>
      </c>
      <c r="F1042">
        <v>101.32499695</v>
      </c>
      <c r="G1042">
        <v>80</v>
      </c>
      <c r="H1042">
        <v>79.683425903</v>
      </c>
      <c r="I1042">
        <v>50</v>
      </c>
      <c r="J1042">
        <v>49.263072968000003</v>
      </c>
      <c r="K1042">
        <v>2400</v>
      </c>
      <c r="L1042">
        <v>0</v>
      </c>
      <c r="M1042">
        <v>0</v>
      </c>
      <c r="N1042">
        <v>786.30969238</v>
      </c>
    </row>
    <row r="1043" spans="1:14" x14ac:dyDescent="0.25">
      <c r="A1043">
        <v>1100.0914620000001</v>
      </c>
      <c r="B1043" s="1">
        <f>DATE(2013,5,5) + TIME(2,11,42)</f>
        <v>41399.091458333336</v>
      </c>
      <c r="C1043">
        <v>6173.9755858999997</v>
      </c>
      <c r="D1043">
        <v>4925.0854491999999</v>
      </c>
      <c r="E1043">
        <v>638.13500977000001</v>
      </c>
      <c r="F1043">
        <v>101.32499695</v>
      </c>
      <c r="G1043">
        <v>80</v>
      </c>
      <c r="H1043">
        <v>79.773529053000004</v>
      </c>
      <c r="I1043">
        <v>50</v>
      </c>
      <c r="J1043">
        <v>49.250354766999997</v>
      </c>
      <c r="K1043">
        <v>2400</v>
      </c>
      <c r="L1043">
        <v>0</v>
      </c>
      <c r="M1043">
        <v>0</v>
      </c>
      <c r="N1043">
        <v>782.33093262</v>
      </c>
    </row>
    <row r="1044" spans="1:14" x14ac:dyDescent="0.25">
      <c r="A1044">
        <v>1100.5679520000001</v>
      </c>
      <c r="B1044" s="1">
        <f>DATE(2013,5,5) + TIME(13,37,51)</f>
        <v>41399.56795138889</v>
      </c>
      <c r="C1044">
        <v>6199.3886719000002</v>
      </c>
      <c r="D1044">
        <v>4950.1259766000003</v>
      </c>
      <c r="E1044">
        <v>636.25518798999997</v>
      </c>
      <c r="F1044">
        <v>101.32499695</v>
      </c>
      <c r="G1044">
        <v>80</v>
      </c>
      <c r="H1044">
        <v>79.838592528999996</v>
      </c>
      <c r="I1044">
        <v>50</v>
      </c>
      <c r="J1044">
        <v>49.235870361000003</v>
      </c>
      <c r="K1044">
        <v>2400</v>
      </c>
      <c r="L1044">
        <v>0</v>
      </c>
      <c r="M1044">
        <v>0</v>
      </c>
      <c r="N1044">
        <v>780.01055908000001</v>
      </c>
    </row>
    <row r="1045" spans="1:14" x14ac:dyDescent="0.25">
      <c r="A1045">
        <v>1101.0913270000001</v>
      </c>
      <c r="B1045" s="1">
        <f>DATE(2013,5,6) + TIME(2,11,30)</f>
        <v>41400.091319444444</v>
      </c>
      <c r="C1045">
        <v>6221.1342772999997</v>
      </c>
      <c r="D1045">
        <v>4971.2880858999997</v>
      </c>
      <c r="E1045">
        <v>635.54669189000003</v>
      </c>
      <c r="F1045">
        <v>101.32499695</v>
      </c>
      <c r="G1045">
        <v>80</v>
      </c>
      <c r="H1045">
        <v>79.882347107000001</v>
      </c>
      <c r="I1045">
        <v>50</v>
      </c>
      <c r="J1045">
        <v>49.219837189000003</v>
      </c>
      <c r="K1045">
        <v>2400</v>
      </c>
      <c r="L1045">
        <v>0</v>
      </c>
      <c r="M1045">
        <v>0</v>
      </c>
      <c r="N1045">
        <v>779.14538574000005</v>
      </c>
    </row>
    <row r="1046" spans="1:14" x14ac:dyDescent="0.25">
      <c r="A1046">
        <v>1101.618295</v>
      </c>
      <c r="B1046" s="1">
        <f>DATE(2013,5,6) + TIME(14,50,20)</f>
        <v>41400.618287037039</v>
      </c>
      <c r="C1046">
        <v>6238.0170897999997</v>
      </c>
      <c r="D1046">
        <v>4987.4584961</v>
      </c>
      <c r="E1046">
        <v>635.67224121000004</v>
      </c>
      <c r="F1046">
        <v>101.32499695</v>
      </c>
      <c r="G1046">
        <v>80</v>
      </c>
      <c r="H1046">
        <v>79.909225464000002</v>
      </c>
      <c r="I1046">
        <v>50</v>
      </c>
      <c r="J1046">
        <v>49.203315734999997</v>
      </c>
      <c r="K1046">
        <v>2400</v>
      </c>
      <c r="L1046">
        <v>0</v>
      </c>
      <c r="M1046">
        <v>0</v>
      </c>
      <c r="N1046">
        <v>779.31860352000001</v>
      </c>
    </row>
    <row r="1047" spans="1:14" x14ac:dyDescent="0.25">
      <c r="A1047">
        <v>1102.156416</v>
      </c>
      <c r="B1047" s="1">
        <f>DATE(2013,5,7) + TIME(3,45,14)</f>
        <v>41401.156412037039</v>
      </c>
      <c r="C1047">
        <v>6251.4296875</v>
      </c>
      <c r="D1047">
        <v>5000.1660155999998</v>
      </c>
      <c r="E1047">
        <v>636.31146239999998</v>
      </c>
      <c r="F1047">
        <v>101.32499695</v>
      </c>
      <c r="G1047">
        <v>80</v>
      </c>
      <c r="H1047">
        <v>79.925857543999996</v>
      </c>
      <c r="I1047">
        <v>50</v>
      </c>
      <c r="J1047">
        <v>49.186138153000002</v>
      </c>
      <c r="K1047">
        <v>2400</v>
      </c>
      <c r="L1047">
        <v>0</v>
      </c>
      <c r="M1047">
        <v>0</v>
      </c>
      <c r="N1047">
        <v>780.12445068</v>
      </c>
    </row>
    <row r="1048" spans="1:14" x14ac:dyDescent="0.25">
      <c r="A1048">
        <v>1102.714774</v>
      </c>
      <c r="B1048" s="1">
        <f>DATE(2013,5,7) + TIME(17,9,16)</f>
        <v>41401.714768518519</v>
      </c>
      <c r="C1048">
        <v>6262.1582030999998</v>
      </c>
      <c r="D1048">
        <v>5010.2070311999996</v>
      </c>
      <c r="E1048">
        <v>637.25762939000003</v>
      </c>
      <c r="F1048">
        <v>101.32499695</v>
      </c>
      <c r="G1048">
        <v>80</v>
      </c>
      <c r="H1048">
        <v>79.936172485</v>
      </c>
      <c r="I1048">
        <v>50</v>
      </c>
      <c r="J1048">
        <v>49.168075561999999</v>
      </c>
      <c r="K1048">
        <v>2400</v>
      </c>
      <c r="L1048">
        <v>0</v>
      </c>
      <c r="M1048">
        <v>0</v>
      </c>
      <c r="N1048">
        <v>781.30639647999999</v>
      </c>
    </row>
    <row r="1049" spans="1:14" x14ac:dyDescent="0.25">
      <c r="A1049">
        <v>1103.302316</v>
      </c>
      <c r="B1049" s="1">
        <f>DATE(2013,5,8) + TIME(7,15,20)</f>
        <v>41402.302314814813</v>
      </c>
      <c r="C1049">
        <v>6270.7104491999999</v>
      </c>
      <c r="D1049">
        <v>5018.0908202999999</v>
      </c>
      <c r="E1049">
        <v>638.37414550999995</v>
      </c>
      <c r="F1049">
        <v>101.32499695</v>
      </c>
      <c r="G1049">
        <v>80</v>
      </c>
      <c r="H1049">
        <v>79.942527771000002</v>
      </c>
      <c r="I1049">
        <v>50</v>
      </c>
      <c r="J1049">
        <v>49.148876190000003</v>
      </c>
      <c r="K1049">
        <v>2400</v>
      </c>
      <c r="L1049">
        <v>0</v>
      </c>
      <c r="M1049">
        <v>0</v>
      </c>
      <c r="N1049">
        <v>782.69494628999996</v>
      </c>
    </row>
    <row r="1050" spans="1:14" x14ac:dyDescent="0.25">
      <c r="A1050">
        <v>1103.9288939999999</v>
      </c>
      <c r="B1050" s="1">
        <f>DATE(2013,5,8) + TIME(22,17,36)</f>
        <v>41402.928888888891</v>
      </c>
      <c r="C1050">
        <v>6277.4404297000001</v>
      </c>
      <c r="D1050">
        <v>5024.1689452999999</v>
      </c>
      <c r="E1050">
        <v>639.56726074000005</v>
      </c>
      <c r="F1050">
        <v>101.32499695</v>
      </c>
      <c r="G1050">
        <v>80</v>
      </c>
      <c r="H1050">
        <v>79.946403502999999</v>
      </c>
      <c r="I1050">
        <v>50</v>
      </c>
      <c r="J1050">
        <v>49.128257751</v>
      </c>
      <c r="K1050">
        <v>2400</v>
      </c>
      <c r="L1050">
        <v>0</v>
      </c>
      <c r="M1050">
        <v>0</v>
      </c>
      <c r="N1050">
        <v>784.17352295000001</v>
      </c>
    </row>
    <row r="1051" spans="1:14" x14ac:dyDescent="0.25">
      <c r="A1051">
        <v>1104.605904</v>
      </c>
      <c r="B1051" s="1">
        <f>DATE(2013,5,9) + TIME(14,32,30)</f>
        <v>41403.605902777781</v>
      </c>
      <c r="C1051">
        <v>6282.5922852000003</v>
      </c>
      <c r="D1051">
        <v>5028.6845702999999</v>
      </c>
      <c r="E1051">
        <v>640.76995850000003</v>
      </c>
      <c r="F1051">
        <v>101.32499695</v>
      </c>
      <c r="G1051">
        <v>80</v>
      </c>
      <c r="H1051">
        <v>79.948715210000003</v>
      </c>
      <c r="I1051">
        <v>50</v>
      </c>
      <c r="J1051">
        <v>49.105895996000001</v>
      </c>
      <c r="K1051">
        <v>2400</v>
      </c>
      <c r="L1051">
        <v>0</v>
      </c>
      <c r="M1051">
        <v>0</v>
      </c>
      <c r="N1051">
        <v>785.65869140999996</v>
      </c>
    </row>
    <row r="1052" spans="1:14" x14ac:dyDescent="0.25">
      <c r="A1052">
        <v>1105.348225</v>
      </c>
      <c r="B1052" s="1">
        <f>DATE(2013,5,10) + TIME(8,21,26)</f>
        <v>41404.348217592589</v>
      </c>
      <c r="C1052">
        <v>6286.3442383000001</v>
      </c>
      <c r="D1052">
        <v>5031.8115233999997</v>
      </c>
      <c r="E1052">
        <v>641.93463135000002</v>
      </c>
      <c r="F1052">
        <v>101.32499695</v>
      </c>
      <c r="G1052">
        <v>80</v>
      </c>
      <c r="H1052">
        <v>79.950073242000002</v>
      </c>
      <c r="I1052">
        <v>50</v>
      </c>
      <c r="J1052">
        <v>49.081352234000001</v>
      </c>
      <c r="K1052">
        <v>2400</v>
      </c>
      <c r="L1052">
        <v>0</v>
      </c>
      <c r="M1052">
        <v>0</v>
      </c>
      <c r="N1052">
        <v>787.09069824000005</v>
      </c>
    </row>
    <row r="1053" spans="1:14" x14ac:dyDescent="0.25">
      <c r="A1053">
        <v>1106.1307320000001</v>
      </c>
      <c r="B1053" s="1">
        <f>DATE(2013,5,11) + TIME(3,8,15)</f>
        <v>41405.130729166667</v>
      </c>
      <c r="C1053">
        <v>6288.6035155999998</v>
      </c>
      <c r="D1053">
        <v>5033.4526366999999</v>
      </c>
      <c r="E1053">
        <v>642.97320557</v>
      </c>
      <c r="F1053">
        <v>101.32499695</v>
      </c>
      <c r="G1053">
        <v>80</v>
      </c>
      <c r="H1053">
        <v>79.950813292999996</v>
      </c>
      <c r="I1053">
        <v>50</v>
      </c>
      <c r="J1053">
        <v>49.055240630999997</v>
      </c>
      <c r="K1053">
        <v>2400</v>
      </c>
      <c r="L1053">
        <v>0</v>
      </c>
      <c r="M1053">
        <v>0</v>
      </c>
      <c r="N1053">
        <v>788.36535645000004</v>
      </c>
    </row>
    <row r="1054" spans="1:14" x14ac:dyDescent="0.25">
      <c r="A1054">
        <v>1106.9296469999999</v>
      </c>
      <c r="B1054" s="1">
        <f>DATE(2013,5,11) + TIME(22,18,41)</f>
        <v>41405.9296412037</v>
      </c>
      <c r="C1054">
        <v>6289.5991211</v>
      </c>
      <c r="D1054">
        <v>5033.8647461</v>
      </c>
      <c r="E1054">
        <v>643.84851074000005</v>
      </c>
      <c r="F1054">
        <v>101.32499695</v>
      </c>
      <c r="G1054">
        <v>80</v>
      </c>
      <c r="H1054">
        <v>79.951202393000003</v>
      </c>
      <c r="I1054">
        <v>50</v>
      </c>
      <c r="J1054">
        <v>49.028190613</v>
      </c>
      <c r="K1054">
        <v>2400</v>
      </c>
      <c r="L1054">
        <v>0</v>
      </c>
      <c r="M1054">
        <v>0</v>
      </c>
      <c r="N1054">
        <v>789.43566895000004</v>
      </c>
    </row>
    <row r="1055" spans="1:14" x14ac:dyDescent="0.25">
      <c r="A1055">
        <v>1107.759648</v>
      </c>
      <c r="B1055" s="1">
        <f>DATE(2013,5,12) + TIME(18,13,53)</f>
        <v>41406.759641203702</v>
      </c>
      <c r="C1055">
        <v>6289.7104491999999</v>
      </c>
      <c r="D1055">
        <v>5033.4423827999999</v>
      </c>
      <c r="E1055">
        <v>644.58679199000005</v>
      </c>
      <c r="F1055">
        <v>101.32499695</v>
      </c>
      <c r="G1055">
        <v>80</v>
      </c>
      <c r="H1055">
        <v>79.951423645000006</v>
      </c>
      <c r="I1055">
        <v>50</v>
      </c>
      <c r="J1055">
        <v>48.999866486000002</v>
      </c>
      <c r="K1055">
        <v>2400</v>
      </c>
      <c r="L1055">
        <v>0</v>
      </c>
      <c r="M1055">
        <v>0</v>
      </c>
      <c r="N1055">
        <v>790.32843018000005</v>
      </c>
    </row>
    <row r="1056" spans="1:14" x14ac:dyDescent="0.25">
      <c r="A1056">
        <v>1108.6356350000001</v>
      </c>
      <c r="B1056" s="1">
        <f>DATE(2013,5,13) + TIME(15,15,18)</f>
        <v>41407.635625000003</v>
      </c>
      <c r="C1056">
        <v>6289.0942383000001</v>
      </c>
      <c r="D1056">
        <v>5032.3286133000001</v>
      </c>
      <c r="E1056">
        <v>645.20495604999996</v>
      </c>
      <c r="F1056">
        <v>101.32499695</v>
      </c>
      <c r="G1056">
        <v>80</v>
      </c>
      <c r="H1056">
        <v>79.951553344999994</v>
      </c>
      <c r="I1056">
        <v>50</v>
      </c>
      <c r="J1056">
        <v>48.969898223999998</v>
      </c>
      <c r="K1056">
        <v>2400</v>
      </c>
      <c r="L1056">
        <v>0</v>
      </c>
      <c r="M1056">
        <v>0</v>
      </c>
      <c r="N1056">
        <v>791.06481933999999</v>
      </c>
    </row>
    <row r="1057" spans="1:14" x14ac:dyDescent="0.25">
      <c r="A1057">
        <v>1109.5454440000001</v>
      </c>
      <c r="B1057" s="1">
        <f>DATE(2013,5,14) + TIME(13,5,26)</f>
        <v>41408.545439814814</v>
      </c>
      <c r="C1057">
        <v>6287.8183594000002</v>
      </c>
      <c r="D1057">
        <v>5030.5800780999998</v>
      </c>
      <c r="E1057">
        <v>645.70306396000001</v>
      </c>
      <c r="F1057">
        <v>101.32499695</v>
      </c>
      <c r="G1057">
        <v>80</v>
      </c>
      <c r="H1057">
        <v>79.951629639000004</v>
      </c>
      <c r="I1057">
        <v>50</v>
      </c>
      <c r="J1057">
        <v>48.938594817999999</v>
      </c>
      <c r="K1057">
        <v>2400</v>
      </c>
      <c r="L1057">
        <v>0</v>
      </c>
      <c r="M1057">
        <v>0</v>
      </c>
      <c r="N1057">
        <v>791.64916991999996</v>
      </c>
    </row>
    <row r="1058" spans="1:14" x14ac:dyDescent="0.25">
      <c r="A1058">
        <v>1110.5020919999999</v>
      </c>
      <c r="B1058" s="1">
        <f>DATE(2013,5,15) + TIME(12,3,0)</f>
        <v>41409.502083333333</v>
      </c>
      <c r="C1058">
        <v>6286.0454102000003</v>
      </c>
      <c r="D1058">
        <v>5028.3647461</v>
      </c>
      <c r="E1058">
        <v>646.10534668000003</v>
      </c>
      <c r="F1058">
        <v>101.32499695</v>
      </c>
      <c r="G1058">
        <v>80</v>
      </c>
      <c r="H1058">
        <v>79.951690674000005</v>
      </c>
      <c r="I1058">
        <v>50</v>
      </c>
      <c r="J1058">
        <v>48.905643462999997</v>
      </c>
      <c r="K1058">
        <v>2400</v>
      </c>
      <c r="L1058">
        <v>0</v>
      </c>
      <c r="M1058">
        <v>0</v>
      </c>
      <c r="N1058">
        <v>792.10754395000004</v>
      </c>
    </row>
    <row r="1059" spans="1:14" x14ac:dyDescent="0.25">
      <c r="A1059">
        <v>1111.5213799999999</v>
      </c>
      <c r="B1059" s="1">
        <f>DATE(2013,5,16) + TIME(12,30,47)</f>
        <v>41410.521377314813</v>
      </c>
      <c r="C1059">
        <v>6283.8378905999998</v>
      </c>
      <c r="D1059">
        <v>5025.7387694999998</v>
      </c>
      <c r="E1059">
        <v>646.42858887</v>
      </c>
      <c r="F1059">
        <v>101.32499695</v>
      </c>
      <c r="G1059">
        <v>80</v>
      </c>
      <c r="H1059">
        <v>79.951744079999997</v>
      </c>
      <c r="I1059">
        <v>50</v>
      </c>
      <c r="J1059">
        <v>48.870628357000001</v>
      </c>
      <c r="K1059">
        <v>2400</v>
      </c>
      <c r="L1059">
        <v>0</v>
      </c>
      <c r="M1059">
        <v>0</v>
      </c>
      <c r="N1059">
        <v>792.46051024999997</v>
      </c>
    </row>
    <row r="1060" spans="1:14" x14ac:dyDescent="0.25">
      <c r="A1060">
        <v>1112.5991959999999</v>
      </c>
      <c r="B1060" s="1">
        <f>DATE(2013,5,17) + TIME(14,22,50)</f>
        <v>41411.599189814813</v>
      </c>
      <c r="C1060">
        <v>6281.2285155999998</v>
      </c>
      <c r="D1060">
        <v>5022.7275391000003</v>
      </c>
      <c r="E1060">
        <v>646.68066406000003</v>
      </c>
      <c r="F1060">
        <v>101.32499695</v>
      </c>
      <c r="G1060">
        <v>80</v>
      </c>
      <c r="H1060">
        <v>79.951797485</v>
      </c>
      <c r="I1060">
        <v>50</v>
      </c>
      <c r="J1060">
        <v>48.833629608000003</v>
      </c>
      <c r="K1060">
        <v>2400</v>
      </c>
      <c r="L1060">
        <v>0</v>
      </c>
      <c r="M1060">
        <v>0</v>
      </c>
      <c r="N1060">
        <v>792.72058104999996</v>
      </c>
    </row>
    <row r="1061" spans="1:14" x14ac:dyDescent="0.25">
      <c r="A1061">
        <v>1113.6958139999999</v>
      </c>
      <c r="B1061" s="1">
        <f>DATE(2013,5,18) + TIME(16,41,58)</f>
        <v>41412.695810185185</v>
      </c>
      <c r="C1061">
        <v>6278.3061522999997</v>
      </c>
      <c r="D1061">
        <v>5019.421875</v>
      </c>
      <c r="E1061">
        <v>646.86639404000005</v>
      </c>
      <c r="F1061">
        <v>101.32499695</v>
      </c>
      <c r="G1061">
        <v>80</v>
      </c>
      <c r="H1061">
        <v>79.951835631999998</v>
      </c>
      <c r="I1061">
        <v>50</v>
      </c>
      <c r="J1061">
        <v>48.795623779000003</v>
      </c>
      <c r="K1061">
        <v>2400</v>
      </c>
      <c r="L1061">
        <v>0</v>
      </c>
      <c r="M1061">
        <v>0</v>
      </c>
      <c r="N1061">
        <v>792.89868163999995</v>
      </c>
    </row>
    <row r="1062" spans="1:14" x14ac:dyDescent="0.25">
      <c r="A1062">
        <v>1114.828411</v>
      </c>
      <c r="B1062" s="1">
        <f>DATE(2013,5,19) + TIME(19,52,54)</f>
        <v>41413.828402777777</v>
      </c>
      <c r="C1062">
        <v>6275.2236327999999</v>
      </c>
      <c r="D1062">
        <v>5015.9882811999996</v>
      </c>
      <c r="E1062">
        <v>647.01037598000005</v>
      </c>
      <c r="F1062">
        <v>101.32499695</v>
      </c>
      <c r="G1062">
        <v>80</v>
      </c>
      <c r="H1062">
        <v>79.951889038000004</v>
      </c>
      <c r="I1062">
        <v>50</v>
      </c>
      <c r="J1062">
        <v>48.756290436</v>
      </c>
      <c r="K1062">
        <v>2400</v>
      </c>
      <c r="L1062">
        <v>0</v>
      </c>
      <c r="M1062">
        <v>0</v>
      </c>
      <c r="N1062">
        <v>793.01696776999995</v>
      </c>
    </row>
    <row r="1063" spans="1:14" x14ac:dyDescent="0.25">
      <c r="A1063">
        <v>1116.015089</v>
      </c>
      <c r="B1063" s="1">
        <f>DATE(2013,5,21) + TIME(0,21,43)</f>
        <v>41415.015081018515</v>
      </c>
      <c r="C1063">
        <v>6271.9868164</v>
      </c>
      <c r="D1063">
        <v>5012.4238280999998</v>
      </c>
      <c r="E1063">
        <v>647.12298583999996</v>
      </c>
      <c r="F1063">
        <v>101.32499695</v>
      </c>
      <c r="G1063">
        <v>80</v>
      </c>
      <c r="H1063">
        <v>79.951950073000006</v>
      </c>
      <c r="I1063">
        <v>50</v>
      </c>
      <c r="J1063">
        <v>48.715213775999999</v>
      </c>
      <c r="K1063">
        <v>2400</v>
      </c>
      <c r="L1063">
        <v>0</v>
      </c>
      <c r="M1063">
        <v>0</v>
      </c>
      <c r="N1063">
        <v>793.08856201000003</v>
      </c>
    </row>
    <row r="1064" spans="1:14" x14ac:dyDescent="0.25">
      <c r="A1064">
        <v>1117.2623590000001</v>
      </c>
      <c r="B1064" s="1">
        <f>DATE(2013,5,22) + TIME(6,17,47)</f>
        <v>41416.262349537035</v>
      </c>
      <c r="C1064">
        <v>6268.5883789</v>
      </c>
      <c r="D1064">
        <v>5008.7148438000004</v>
      </c>
      <c r="E1064">
        <v>647.21032715000001</v>
      </c>
      <c r="F1064">
        <v>101.32499695</v>
      </c>
      <c r="G1064">
        <v>80</v>
      </c>
      <c r="H1064">
        <v>79.952011107999994</v>
      </c>
      <c r="I1064">
        <v>50</v>
      </c>
      <c r="J1064">
        <v>48.672225951999998</v>
      </c>
      <c r="K1064">
        <v>2400</v>
      </c>
      <c r="L1064">
        <v>0</v>
      </c>
      <c r="M1064">
        <v>0</v>
      </c>
      <c r="N1064">
        <v>793.12255859000004</v>
      </c>
    </row>
    <row r="1065" spans="1:14" x14ac:dyDescent="0.25">
      <c r="A1065">
        <v>1118.5540390000001</v>
      </c>
      <c r="B1065" s="1">
        <f>DATE(2013,5,23) + TIME(13,17,48)</f>
        <v>41417.554027777776</v>
      </c>
      <c r="C1065">
        <v>6265.0512694999998</v>
      </c>
      <c r="D1065">
        <v>5004.8818358999997</v>
      </c>
      <c r="E1065">
        <v>647.27600098000005</v>
      </c>
      <c r="F1065">
        <v>101.32499695</v>
      </c>
      <c r="G1065">
        <v>80</v>
      </c>
      <c r="H1065">
        <v>79.952072143999999</v>
      </c>
      <c r="I1065">
        <v>50</v>
      </c>
      <c r="J1065">
        <v>48.627693176000001</v>
      </c>
      <c r="K1065">
        <v>2400</v>
      </c>
      <c r="L1065">
        <v>0</v>
      </c>
      <c r="M1065">
        <v>0</v>
      </c>
      <c r="N1065">
        <v>793.12670897999999</v>
      </c>
    </row>
    <row r="1066" spans="1:14" x14ac:dyDescent="0.25">
      <c r="A1066">
        <v>1119.9078300000001</v>
      </c>
      <c r="B1066" s="1">
        <f>DATE(2013,5,24) + TIME(21,47,16)</f>
        <v>41418.907824074071</v>
      </c>
      <c r="C1066">
        <v>6261.4184569999998</v>
      </c>
      <c r="D1066">
        <v>5000.9721680000002</v>
      </c>
      <c r="E1066">
        <v>647.33001708999996</v>
      </c>
      <c r="F1066">
        <v>101.32499695</v>
      </c>
      <c r="G1066">
        <v>80</v>
      </c>
      <c r="H1066">
        <v>79.952140807999996</v>
      </c>
      <c r="I1066">
        <v>50</v>
      </c>
      <c r="J1066">
        <v>48.581233978</v>
      </c>
      <c r="K1066">
        <v>2400</v>
      </c>
      <c r="L1066">
        <v>0</v>
      </c>
      <c r="M1066">
        <v>0</v>
      </c>
      <c r="N1066">
        <v>793.10827637</v>
      </c>
    </row>
    <row r="1067" spans="1:14" x14ac:dyDescent="0.25">
      <c r="A1067">
        <v>1121.316061</v>
      </c>
      <c r="B1067" s="1">
        <f>DATE(2013,5,26) + TIME(7,35,7)</f>
        <v>41420.316053240742</v>
      </c>
      <c r="C1067">
        <v>6257.6826172000001</v>
      </c>
      <c r="D1067">
        <v>4996.9731444999998</v>
      </c>
      <c r="E1067">
        <v>647.37286376999998</v>
      </c>
      <c r="F1067">
        <v>101.32499695</v>
      </c>
      <c r="G1067">
        <v>80</v>
      </c>
      <c r="H1067">
        <v>79.952209472999996</v>
      </c>
      <c r="I1067">
        <v>50</v>
      </c>
      <c r="J1067">
        <v>48.533012390000003</v>
      </c>
      <c r="K1067">
        <v>2400</v>
      </c>
      <c r="L1067">
        <v>0</v>
      </c>
      <c r="M1067">
        <v>0</v>
      </c>
      <c r="N1067">
        <v>793.07135010000002</v>
      </c>
    </row>
    <row r="1068" spans="1:14" x14ac:dyDescent="0.25">
      <c r="A1068">
        <v>1122.7515820000001</v>
      </c>
      <c r="B1068" s="1">
        <f>DATE(2013,5,27) + TIME(18,2,16)</f>
        <v>41421.751574074071</v>
      </c>
      <c r="C1068">
        <v>6253.8872069999998</v>
      </c>
      <c r="D1068">
        <v>4992.9301758000001</v>
      </c>
      <c r="E1068">
        <v>647.40625</v>
      </c>
      <c r="F1068">
        <v>101.32499695</v>
      </c>
      <c r="G1068">
        <v>80</v>
      </c>
      <c r="H1068">
        <v>79.952270507999998</v>
      </c>
      <c r="I1068">
        <v>50</v>
      </c>
      <c r="J1068">
        <v>48.483673095999997</v>
      </c>
      <c r="K1068">
        <v>2400</v>
      </c>
      <c r="L1068">
        <v>0</v>
      </c>
      <c r="M1068">
        <v>0</v>
      </c>
      <c r="N1068">
        <v>793.02081298999997</v>
      </c>
    </row>
    <row r="1069" spans="1:14" x14ac:dyDescent="0.25">
      <c r="A1069">
        <v>1124.234089</v>
      </c>
      <c r="B1069" s="1">
        <f>DATE(2013,5,29) + TIME(5,37,5)</f>
        <v>41423.234085648146</v>
      </c>
      <c r="C1069">
        <v>6250.0776366999999</v>
      </c>
      <c r="D1069">
        <v>4988.8916016000003</v>
      </c>
      <c r="E1069">
        <v>647.43786621000004</v>
      </c>
      <c r="F1069">
        <v>101.32499695</v>
      </c>
      <c r="G1069">
        <v>80</v>
      </c>
      <c r="H1069">
        <v>79.952346801999994</v>
      </c>
      <c r="I1069">
        <v>50</v>
      </c>
      <c r="J1069">
        <v>48.43289566</v>
      </c>
      <c r="K1069">
        <v>2400</v>
      </c>
      <c r="L1069">
        <v>0</v>
      </c>
      <c r="M1069">
        <v>0</v>
      </c>
      <c r="N1069">
        <v>792.95977783000001</v>
      </c>
    </row>
    <row r="1070" spans="1:14" x14ac:dyDescent="0.25">
      <c r="A1070">
        <v>1125.7843319999999</v>
      </c>
      <c r="B1070" s="1">
        <f>DATE(2013,5,30) + TIME(18,49,26)</f>
        <v>41424.784328703703</v>
      </c>
      <c r="C1070">
        <v>6246.21875</v>
      </c>
      <c r="D1070">
        <v>4984.8178711</v>
      </c>
      <c r="E1070">
        <v>647.46795654000005</v>
      </c>
      <c r="F1070">
        <v>101.32499695</v>
      </c>
      <c r="G1070">
        <v>80</v>
      </c>
      <c r="H1070">
        <v>79.952415466000005</v>
      </c>
      <c r="I1070">
        <v>50</v>
      </c>
      <c r="J1070">
        <v>48.38022995</v>
      </c>
      <c r="K1070">
        <v>2400</v>
      </c>
      <c r="L1070">
        <v>0</v>
      </c>
      <c r="M1070">
        <v>0</v>
      </c>
      <c r="N1070">
        <v>792.88873291000004</v>
      </c>
    </row>
    <row r="1071" spans="1:14" x14ac:dyDescent="0.25">
      <c r="A1071">
        <v>1127</v>
      </c>
      <c r="B1071" s="1">
        <f>DATE(2013,6,1) + TIME(0,0,0)</f>
        <v>41426</v>
      </c>
      <c r="C1071">
        <v>6242.5620116999999</v>
      </c>
      <c r="D1071">
        <v>4980.9575194999998</v>
      </c>
      <c r="E1071">
        <v>647.45599364999998</v>
      </c>
      <c r="F1071">
        <v>101.32499695</v>
      </c>
      <c r="G1071">
        <v>80</v>
      </c>
      <c r="H1071">
        <v>79.952430724999999</v>
      </c>
      <c r="I1071">
        <v>50</v>
      </c>
      <c r="J1071">
        <v>48.335258484000001</v>
      </c>
      <c r="K1071">
        <v>2400</v>
      </c>
      <c r="L1071">
        <v>0</v>
      </c>
      <c r="M1071">
        <v>0</v>
      </c>
      <c r="N1071">
        <v>792.82122803000004</v>
      </c>
    </row>
    <row r="1072" spans="1:14" x14ac:dyDescent="0.25">
      <c r="A1072">
        <v>1128.6144240000001</v>
      </c>
      <c r="B1072" s="1">
        <f>DATE(2013,6,2) + TIME(14,44,46)</f>
        <v>41427.614421296297</v>
      </c>
      <c r="C1072">
        <v>6239.1826172000001</v>
      </c>
      <c r="D1072">
        <v>4977.4316405999998</v>
      </c>
      <c r="E1072">
        <v>647.52551270000004</v>
      </c>
      <c r="F1072">
        <v>101.32499695</v>
      </c>
      <c r="G1072">
        <v>80</v>
      </c>
      <c r="H1072">
        <v>79.952560425000001</v>
      </c>
      <c r="I1072">
        <v>50</v>
      </c>
      <c r="J1072">
        <v>48.281749724999997</v>
      </c>
      <c r="K1072">
        <v>2400</v>
      </c>
      <c r="L1072">
        <v>0</v>
      </c>
      <c r="M1072">
        <v>0</v>
      </c>
      <c r="N1072">
        <v>792.74755859000004</v>
      </c>
    </row>
    <row r="1073" spans="1:14" x14ac:dyDescent="0.25">
      <c r="A1073">
        <v>1130.3267539999999</v>
      </c>
      <c r="B1073" s="1">
        <f>DATE(2013,6,4) + TIME(7,50,31)</f>
        <v>41429.326747685183</v>
      </c>
      <c r="C1073">
        <v>6235.2817383000001</v>
      </c>
      <c r="D1073">
        <v>4973.3515625</v>
      </c>
      <c r="E1073">
        <v>647.54632568</v>
      </c>
      <c r="F1073">
        <v>101.32499695</v>
      </c>
      <c r="G1073">
        <v>80</v>
      </c>
      <c r="H1073">
        <v>79.952629088999998</v>
      </c>
      <c r="I1073">
        <v>50</v>
      </c>
      <c r="J1073">
        <v>48.225410461000003</v>
      </c>
      <c r="K1073">
        <v>2400</v>
      </c>
      <c r="L1073">
        <v>0</v>
      </c>
      <c r="M1073">
        <v>0</v>
      </c>
      <c r="N1073">
        <v>792.65136718999997</v>
      </c>
    </row>
    <row r="1074" spans="1:14" x14ac:dyDescent="0.25">
      <c r="A1074">
        <v>1132.0882999999999</v>
      </c>
      <c r="B1074" s="1">
        <f>DATE(2013,6,6) + TIME(2,7,9)</f>
        <v>41431.08829861111</v>
      </c>
      <c r="C1074">
        <v>6231.2353516000003</v>
      </c>
      <c r="D1074">
        <v>4969.1313477000003</v>
      </c>
      <c r="E1074">
        <v>647.56579590000001</v>
      </c>
      <c r="F1074">
        <v>101.32499695</v>
      </c>
      <c r="G1074">
        <v>80</v>
      </c>
      <c r="H1074">
        <v>79.952697753999999</v>
      </c>
      <c r="I1074">
        <v>50</v>
      </c>
      <c r="J1074">
        <v>48.167201996000003</v>
      </c>
      <c r="K1074">
        <v>2400</v>
      </c>
      <c r="L1074">
        <v>0</v>
      </c>
      <c r="M1074">
        <v>0</v>
      </c>
      <c r="N1074">
        <v>792.55236816000001</v>
      </c>
    </row>
    <row r="1075" spans="1:14" x14ac:dyDescent="0.25">
      <c r="A1075">
        <v>1133.8861830000001</v>
      </c>
      <c r="B1075" s="1">
        <f>DATE(2013,6,7) + TIME(21,16,6)</f>
        <v>41432.886180555557</v>
      </c>
      <c r="C1075">
        <v>6227.1528319999998</v>
      </c>
      <c r="D1075">
        <v>4964.8867188000004</v>
      </c>
      <c r="E1075">
        <v>647.58740234000004</v>
      </c>
      <c r="F1075">
        <v>101.32499695</v>
      </c>
      <c r="G1075">
        <v>80</v>
      </c>
      <c r="H1075">
        <v>79.952766417999996</v>
      </c>
      <c r="I1075">
        <v>50</v>
      </c>
      <c r="J1075">
        <v>48.107601166000002</v>
      </c>
      <c r="K1075">
        <v>2400</v>
      </c>
      <c r="L1075">
        <v>0</v>
      </c>
      <c r="M1075">
        <v>0</v>
      </c>
      <c r="N1075">
        <v>792.45013428000004</v>
      </c>
    </row>
    <row r="1076" spans="1:14" x14ac:dyDescent="0.25">
      <c r="A1076">
        <v>1135.7422389999999</v>
      </c>
      <c r="B1076" s="1">
        <f>DATE(2013,6,9) + TIME(17,48,49)</f>
        <v>41434.7422337963</v>
      </c>
      <c r="C1076">
        <v>6223.0532227000003</v>
      </c>
      <c r="D1076">
        <v>4960.6367188000004</v>
      </c>
      <c r="E1076">
        <v>647.61236571999996</v>
      </c>
      <c r="F1076">
        <v>101.32499695</v>
      </c>
      <c r="G1076">
        <v>80</v>
      </c>
      <c r="H1076">
        <v>79.952842712000006</v>
      </c>
      <c r="I1076">
        <v>50</v>
      </c>
      <c r="J1076">
        <v>48.046360016000001</v>
      </c>
      <c r="K1076">
        <v>2400</v>
      </c>
      <c r="L1076">
        <v>0</v>
      </c>
      <c r="M1076">
        <v>0</v>
      </c>
      <c r="N1076">
        <v>792.34277343999997</v>
      </c>
    </row>
    <row r="1077" spans="1:14" x14ac:dyDescent="0.25">
      <c r="A1077">
        <v>1137.6797019999999</v>
      </c>
      <c r="B1077" s="1">
        <f>DATE(2013,6,11) + TIME(16,18,46)</f>
        <v>41436.679699074077</v>
      </c>
      <c r="C1077">
        <v>6218.9008789</v>
      </c>
      <c r="D1077">
        <v>4956.3422852000003</v>
      </c>
      <c r="E1077">
        <v>647.63909911999997</v>
      </c>
      <c r="F1077">
        <v>101.32499695</v>
      </c>
      <c r="G1077">
        <v>80</v>
      </c>
      <c r="H1077">
        <v>79.952919006000002</v>
      </c>
      <c r="I1077">
        <v>50</v>
      </c>
      <c r="J1077">
        <v>47.983074188000003</v>
      </c>
      <c r="K1077">
        <v>2400</v>
      </c>
      <c r="L1077">
        <v>0</v>
      </c>
      <c r="M1077">
        <v>0</v>
      </c>
      <c r="N1077">
        <v>792.22845458999996</v>
      </c>
    </row>
    <row r="1078" spans="1:14" x14ac:dyDescent="0.25">
      <c r="A1078">
        <v>1139.6709960000001</v>
      </c>
      <c r="B1078" s="1">
        <f>DATE(2013,6,13) + TIME(16,6,14)</f>
        <v>41438.670995370368</v>
      </c>
      <c r="C1078">
        <v>6214.6796875</v>
      </c>
      <c r="D1078">
        <v>4951.9868164</v>
      </c>
      <c r="E1078">
        <v>647.66345215000001</v>
      </c>
      <c r="F1078">
        <v>101.32499695</v>
      </c>
      <c r="G1078">
        <v>80</v>
      </c>
      <c r="H1078">
        <v>79.953002929999997</v>
      </c>
      <c r="I1078">
        <v>50</v>
      </c>
      <c r="J1078">
        <v>47.918209075999997</v>
      </c>
      <c r="K1078">
        <v>2400</v>
      </c>
      <c r="L1078">
        <v>0</v>
      </c>
      <c r="M1078">
        <v>0</v>
      </c>
      <c r="N1078">
        <v>792.10821533000001</v>
      </c>
    </row>
    <row r="1079" spans="1:14" x14ac:dyDescent="0.25">
      <c r="A1079">
        <v>1141.7148979999999</v>
      </c>
      <c r="B1079" s="1">
        <f>DATE(2013,6,15) + TIME(17,9,27)</f>
        <v>41440.714895833335</v>
      </c>
      <c r="C1079">
        <v>6210.4262694999998</v>
      </c>
      <c r="D1079">
        <v>4947.6069336</v>
      </c>
      <c r="E1079">
        <v>647.68878173999997</v>
      </c>
      <c r="F1079">
        <v>101.32499695</v>
      </c>
      <c r="G1079">
        <v>80</v>
      </c>
      <c r="H1079">
        <v>79.953079224000007</v>
      </c>
      <c r="I1079">
        <v>50</v>
      </c>
      <c r="J1079">
        <v>47.851909636999999</v>
      </c>
      <c r="K1079">
        <v>2400</v>
      </c>
      <c r="L1079">
        <v>0</v>
      </c>
      <c r="M1079">
        <v>0</v>
      </c>
      <c r="N1079">
        <v>791.98291015999996</v>
      </c>
    </row>
    <row r="1080" spans="1:14" x14ac:dyDescent="0.25">
      <c r="A1080">
        <v>1143.8194960000001</v>
      </c>
      <c r="B1080" s="1">
        <f>DATE(2013,6,17) + TIME(19,40,4)</f>
        <v>41442.819490740738</v>
      </c>
      <c r="C1080">
        <v>6206.1420897999997</v>
      </c>
      <c r="D1080">
        <v>4943.2050780999998</v>
      </c>
      <c r="E1080">
        <v>647.71533203000001</v>
      </c>
      <c r="F1080">
        <v>101.32499695</v>
      </c>
      <c r="G1080">
        <v>80</v>
      </c>
      <c r="H1080">
        <v>79.953155518000003</v>
      </c>
      <c r="I1080">
        <v>50</v>
      </c>
      <c r="J1080">
        <v>47.784114838000001</v>
      </c>
      <c r="K1080">
        <v>2400</v>
      </c>
      <c r="L1080">
        <v>0</v>
      </c>
      <c r="M1080">
        <v>0</v>
      </c>
      <c r="N1080">
        <v>791.85205078000001</v>
      </c>
    </row>
    <row r="1081" spans="1:14" x14ac:dyDescent="0.25">
      <c r="A1081">
        <v>1145.964911</v>
      </c>
      <c r="B1081" s="1">
        <f>DATE(2013,6,19) + TIME(23,9,28)</f>
        <v>41444.964907407404</v>
      </c>
      <c r="C1081">
        <v>6201.8295897999997</v>
      </c>
      <c r="D1081">
        <v>4938.7822266000003</v>
      </c>
      <c r="E1081">
        <v>647.74072265999996</v>
      </c>
      <c r="F1081">
        <v>101.32499695</v>
      </c>
      <c r="G1081">
        <v>80</v>
      </c>
      <c r="H1081">
        <v>79.953239440999994</v>
      </c>
      <c r="I1081">
        <v>50</v>
      </c>
      <c r="J1081">
        <v>47.715217590000002</v>
      </c>
      <c r="K1081">
        <v>2400</v>
      </c>
      <c r="L1081">
        <v>0</v>
      </c>
      <c r="M1081">
        <v>0</v>
      </c>
      <c r="N1081">
        <v>791.71624756000006</v>
      </c>
    </row>
    <row r="1082" spans="1:14" x14ac:dyDescent="0.25">
      <c r="A1082">
        <v>1148.167762</v>
      </c>
      <c r="B1082" s="1">
        <f>DATE(2013,6,22) + TIME(4,1,34)</f>
        <v>41447.167754629627</v>
      </c>
      <c r="C1082">
        <v>6197.5048827999999</v>
      </c>
      <c r="D1082">
        <v>4934.3549805000002</v>
      </c>
      <c r="E1082">
        <v>647.76824951000003</v>
      </c>
      <c r="F1082">
        <v>101.32499695</v>
      </c>
      <c r="G1082">
        <v>80</v>
      </c>
      <c r="H1082">
        <v>79.953315735000004</v>
      </c>
      <c r="I1082">
        <v>50</v>
      </c>
      <c r="J1082">
        <v>47.645057678000001</v>
      </c>
      <c r="K1082">
        <v>2400</v>
      </c>
      <c r="L1082">
        <v>0</v>
      </c>
      <c r="M1082">
        <v>0</v>
      </c>
      <c r="N1082">
        <v>791.57537841999999</v>
      </c>
    </row>
    <row r="1083" spans="1:14" x14ac:dyDescent="0.25">
      <c r="A1083">
        <v>1150.452082</v>
      </c>
      <c r="B1083" s="1">
        <f>DATE(2013,6,24) + TIME(10,50,59)</f>
        <v>41449.45207175926</v>
      </c>
      <c r="C1083">
        <v>6193.1401366999999</v>
      </c>
      <c r="D1083">
        <v>4929.8940430000002</v>
      </c>
      <c r="E1083">
        <v>647.79718018000005</v>
      </c>
      <c r="F1083">
        <v>101.32499695</v>
      </c>
      <c r="G1083">
        <v>80</v>
      </c>
      <c r="H1083">
        <v>79.953399657999995</v>
      </c>
      <c r="I1083">
        <v>50</v>
      </c>
      <c r="J1083">
        <v>47.573211669999999</v>
      </c>
      <c r="K1083">
        <v>2400</v>
      </c>
      <c r="L1083">
        <v>0</v>
      </c>
      <c r="M1083">
        <v>0</v>
      </c>
      <c r="N1083">
        <v>791.42797852000001</v>
      </c>
    </row>
    <row r="1084" spans="1:14" x14ac:dyDescent="0.25">
      <c r="A1084">
        <v>1152.8011100000001</v>
      </c>
      <c r="B1084" s="1">
        <f>DATE(2013,6,26) + TIME(19,13,35)</f>
        <v>41451.801099537035</v>
      </c>
      <c r="C1084">
        <v>6188.7148438000004</v>
      </c>
      <c r="D1084">
        <v>4925.3779297000001</v>
      </c>
      <c r="E1084">
        <v>647.82470703000001</v>
      </c>
      <c r="F1084">
        <v>101.32499695</v>
      </c>
      <c r="G1084">
        <v>80</v>
      </c>
      <c r="H1084">
        <v>79.953483582000004</v>
      </c>
      <c r="I1084">
        <v>50</v>
      </c>
      <c r="J1084">
        <v>47.499858856000003</v>
      </c>
      <c r="K1084">
        <v>2400</v>
      </c>
      <c r="L1084">
        <v>0</v>
      </c>
      <c r="M1084">
        <v>0</v>
      </c>
      <c r="N1084">
        <v>791.27453613</v>
      </c>
    </row>
    <row r="1085" spans="1:14" x14ac:dyDescent="0.25">
      <c r="A1085">
        <v>1155.1946190000001</v>
      </c>
      <c r="B1085" s="1">
        <f>DATE(2013,6,29) + TIME(4,40,15)</f>
        <v>41454.194618055553</v>
      </c>
      <c r="C1085">
        <v>6184.2563477000003</v>
      </c>
      <c r="D1085">
        <v>4920.8339844000002</v>
      </c>
      <c r="E1085">
        <v>647.85180663999995</v>
      </c>
      <c r="F1085">
        <v>101.32499695</v>
      </c>
      <c r="G1085">
        <v>80</v>
      </c>
      <c r="H1085">
        <v>79.953567504999995</v>
      </c>
      <c r="I1085">
        <v>50</v>
      </c>
      <c r="J1085">
        <v>47.425407409999998</v>
      </c>
      <c r="K1085">
        <v>2400</v>
      </c>
      <c r="L1085">
        <v>0</v>
      </c>
      <c r="M1085">
        <v>0</v>
      </c>
      <c r="N1085">
        <v>791.11639404000005</v>
      </c>
    </row>
    <row r="1086" spans="1:14" x14ac:dyDescent="0.25">
      <c r="A1086">
        <v>1157</v>
      </c>
      <c r="B1086" s="1">
        <f>DATE(2013,7,1) + TIME(0,0,0)</f>
        <v>41456</v>
      </c>
      <c r="C1086">
        <v>6180.1386719000002</v>
      </c>
      <c r="D1086">
        <v>4916.6372069999998</v>
      </c>
      <c r="E1086">
        <v>647.83581543000003</v>
      </c>
      <c r="F1086">
        <v>101.32499695</v>
      </c>
      <c r="G1086">
        <v>80</v>
      </c>
      <c r="H1086">
        <v>79.953598021999994</v>
      </c>
      <c r="I1086">
        <v>50</v>
      </c>
      <c r="J1086">
        <v>47.362258910999998</v>
      </c>
      <c r="K1086">
        <v>2400</v>
      </c>
      <c r="L1086">
        <v>0</v>
      </c>
      <c r="M1086">
        <v>0</v>
      </c>
      <c r="N1086">
        <v>790.98193359000004</v>
      </c>
    </row>
    <row r="1087" spans="1:14" x14ac:dyDescent="0.25">
      <c r="A1087">
        <v>1159.463892</v>
      </c>
      <c r="B1087" s="1">
        <f>DATE(2013,7,3) + TIME(11,8,0)</f>
        <v>41458.463888888888</v>
      </c>
      <c r="C1087">
        <v>6176.3242188000004</v>
      </c>
      <c r="D1087">
        <v>4912.7680664</v>
      </c>
      <c r="E1087">
        <v>647.92071533000001</v>
      </c>
      <c r="F1087">
        <v>101.32499695</v>
      </c>
      <c r="G1087">
        <v>80</v>
      </c>
      <c r="H1087">
        <v>79.953735351999995</v>
      </c>
      <c r="I1087">
        <v>50</v>
      </c>
      <c r="J1087">
        <v>47.289604187000002</v>
      </c>
      <c r="K1087">
        <v>2400</v>
      </c>
      <c r="L1087">
        <v>0</v>
      </c>
      <c r="M1087">
        <v>0</v>
      </c>
      <c r="N1087">
        <v>790.82745361000002</v>
      </c>
    </row>
    <row r="1088" spans="1:14" x14ac:dyDescent="0.25">
      <c r="A1088">
        <v>1162.0169269999999</v>
      </c>
      <c r="B1088" s="1">
        <f>DATE(2013,7,6) + TIME(0,24,22)</f>
        <v>41461.016921296294</v>
      </c>
      <c r="C1088">
        <v>6171.9379883000001</v>
      </c>
      <c r="D1088">
        <v>4908.3125</v>
      </c>
      <c r="E1088">
        <v>647.93908691000001</v>
      </c>
      <c r="F1088">
        <v>101.32499695</v>
      </c>
      <c r="G1088">
        <v>80</v>
      </c>
      <c r="H1088">
        <v>79.953811646000005</v>
      </c>
      <c r="I1088">
        <v>50</v>
      </c>
      <c r="J1088">
        <v>47.214031218999999</v>
      </c>
      <c r="K1088">
        <v>2400</v>
      </c>
      <c r="L1088">
        <v>0</v>
      </c>
      <c r="M1088">
        <v>0</v>
      </c>
      <c r="N1088">
        <v>790.65087890999996</v>
      </c>
    </row>
    <row r="1089" spans="1:14" x14ac:dyDescent="0.25">
      <c r="A1089">
        <v>1164.6479119999999</v>
      </c>
      <c r="B1089" s="1">
        <f>DATE(2013,7,8) + TIME(15,32,59)</f>
        <v>41463.647905092592</v>
      </c>
      <c r="C1089">
        <v>6167.4199219000002</v>
      </c>
      <c r="D1089">
        <v>4903.7280272999997</v>
      </c>
      <c r="E1089">
        <v>647.96533203000001</v>
      </c>
      <c r="F1089">
        <v>101.32499695</v>
      </c>
      <c r="G1089">
        <v>80</v>
      </c>
      <c r="H1089">
        <v>79.953895568999997</v>
      </c>
      <c r="I1089">
        <v>50</v>
      </c>
      <c r="J1089">
        <v>47.136123656999999</v>
      </c>
      <c r="K1089">
        <v>2400</v>
      </c>
      <c r="L1089">
        <v>0</v>
      </c>
      <c r="M1089">
        <v>0</v>
      </c>
      <c r="N1089">
        <v>790.47344970999995</v>
      </c>
    </row>
    <row r="1090" spans="1:14" x14ac:dyDescent="0.25">
      <c r="A1090">
        <v>1167.3462469999999</v>
      </c>
      <c r="B1090" s="1">
        <f>DATE(2013,7,11) + TIME(8,18,35)</f>
        <v>41466.346238425926</v>
      </c>
      <c r="C1090">
        <v>6162.8315430000002</v>
      </c>
      <c r="D1090">
        <v>4899.0776366999999</v>
      </c>
      <c r="E1090">
        <v>647.99426270000004</v>
      </c>
      <c r="F1090">
        <v>101.32499695</v>
      </c>
      <c r="G1090">
        <v>80</v>
      </c>
      <c r="H1090">
        <v>79.953987122000001</v>
      </c>
      <c r="I1090">
        <v>50</v>
      </c>
      <c r="J1090">
        <v>47.056373596</v>
      </c>
      <c r="K1090">
        <v>2400</v>
      </c>
      <c r="L1090">
        <v>0</v>
      </c>
      <c r="M1090">
        <v>0</v>
      </c>
      <c r="N1090">
        <v>790.29040526999995</v>
      </c>
    </row>
    <row r="1091" spans="1:14" x14ac:dyDescent="0.25">
      <c r="A1091">
        <v>1170.094353</v>
      </c>
      <c r="B1091" s="1">
        <f>DATE(2013,7,14) + TIME(2,15,52)</f>
        <v>41469.094351851854</v>
      </c>
      <c r="C1091">
        <v>6158.203125</v>
      </c>
      <c r="D1091">
        <v>4894.3911133000001</v>
      </c>
      <c r="E1091">
        <v>648.02410888999998</v>
      </c>
      <c r="F1091">
        <v>101.32499695</v>
      </c>
      <c r="G1091">
        <v>80</v>
      </c>
      <c r="H1091">
        <v>79.954078674000002</v>
      </c>
      <c r="I1091">
        <v>50</v>
      </c>
      <c r="J1091">
        <v>46.975318909000002</v>
      </c>
      <c r="K1091">
        <v>2400</v>
      </c>
      <c r="L1091">
        <v>0</v>
      </c>
      <c r="M1091">
        <v>0</v>
      </c>
      <c r="N1091">
        <v>790.10137939000003</v>
      </c>
    </row>
    <row r="1092" spans="1:14" x14ac:dyDescent="0.25">
      <c r="A1092">
        <v>1172.918979</v>
      </c>
      <c r="B1092" s="1">
        <f>DATE(2013,7,16) + TIME(22,3,19)</f>
        <v>41471.918969907405</v>
      </c>
      <c r="C1092">
        <v>6153.5478516000003</v>
      </c>
      <c r="D1092">
        <v>4889.6821289</v>
      </c>
      <c r="E1092">
        <v>648.05676270000004</v>
      </c>
      <c r="F1092">
        <v>101.32499695</v>
      </c>
      <c r="G1092">
        <v>80</v>
      </c>
      <c r="H1092">
        <v>79.954170227000006</v>
      </c>
      <c r="I1092">
        <v>50</v>
      </c>
      <c r="J1092">
        <v>46.892837524000001</v>
      </c>
      <c r="K1092">
        <v>2400</v>
      </c>
      <c r="L1092">
        <v>0</v>
      </c>
      <c r="M1092">
        <v>0</v>
      </c>
      <c r="N1092">
        <v>789.90551758000004</v>
      </c>
    </row>
    <row r="1093" spans="1:14" x14ac:dyDescent="0.25">
      <c r="A1093">
        <v>1175.798548</v>
      </c>
      <c r="B1093" s="1">
        <f>DATE(2013,7,19) + TIME(19,9,54)</f>
        <v>41474.798541666663</v>
      </c>
      <c r="C1093">
        <v>6148.8540039</v>
      </c>
      <c r="D1093">
        <v>4884.9375</v>
      </c>
      <c r="E1093">
        <v>648.08862305000002</v>
      </c>
      <c r="F1093">
        <v>101.32499695</v>
      </c>
      <c r="G1093">
        <v>80</v>
      </c>
      <c r="H1093">
        <v>79.954261779999996</v>
      </c>
      <c r="I1093">
        <v>50</v>
      </c>
      <c r="J1093">
        <v>46.809234619000001</v>
      </c>
      <c r="K1093">
        <v>2400</v>
      </c>
      <c r="L1093">
        <v>0</v>
      </c>
      <c r="M1093">
        <v>0</v>
      </c>
      <c r="N1093">
        <v>789.70343018000005</v>
      </c>
    </row>
    <row r="1094" spans="1:14" x14ac:dyDescent="0.25">
      <c r="A1094">
        <v>1178.7396100000001</v>
      </c>
      <c r="B1094" s="1">
        <f>DATE(2013,7,22) + TIME(17,45,2)</f>
        <v>41477.739606481482</v>
      </c>
      <c r="C1094">
        <v>6144.1386719000002</v>
      </c>
      <c r="D1094">
        <v>4880.1748047000001</v>
      </c>
      <c r="E1094">
        <v>648.12213135000002</v>
      </c>
      <c r="F1094">
        <v>101.32499695</v>
      </c>
      <c r="G1094">
        <v>80</v>
      </c>
      <c r="H1094">
        <v>79.954353333</v>
      </c>
      <c r="I1094">
        <v>50</v>
      </c>
      <c r="J1094">
        <v>46.724571228000002</v>
      </c>
      <c r="K1094">
        <v>2400</v>
      </c>
      <c r="L1094">
        <v>0</v>
      </c>
      <c r="M1094">
        <v>0</v>
      </c>
      <c r="N1094">
        <v>789.49536133000004</v>
      </c>
    </row>
    <row r="1095" spans="1:14" x14ac:dyDescent="0.25">
      <c r="A1095">
        <v>1181.767758</v>
      </c>
      <c r="B1095" s="1">
        <f>DATE(2013,7,25) + TIME(18,25,34)</f>
        <v>41480.767754629633</v>
      </c>
      <c r="C1095">
        <v>6139.3886719000002</v>
      </c>
      <c r="D1095">
        <v>4875.3813477000003</v>
      </c>
      <c r="E1095">
        <v>648.15771484000004</v>
      </c>
      <c r="F1095">
        <v>101.32499695</v>
      </c>
      <c r="G1095">
        <v>80</v>
      </c>
      <c r="H1095">
        <v>79.954452515</v>
      </c>
      <c r="I1095">
        <v>50</v>
      </c>
      <c r="J1095">
        <v>46.638530731000003</v>
      </c>
      <c r="K1095">
        <v>2400</v>
      </c>
      <c r="L1095">
        <v>0</v>
      </c>
      <c r="M1095">
        <v>0</v>
      </c>
      <c r="N1095">
        <v>789.28002930000002</v>
      </c>
    </row>
    <row r="1096" spans="1:14" x14ac:dyDescent="0.25">
      <c r="A1096">
        <v>1184.846978</v>
      </c>
      <c r="B1096" s="1">
        <f>DATE(2013,7,28) + TIME(20,19,38)</f>
        <v>41483.846967592595</v>
      </c>
      <c r="C1096">
        <v>6134.5957030999998</v>
      </c>
      <c r="D1096">
        <v>4870.546875</v>
      </c>
      <c r="E1096">
        <v>648.19213866999996</v>
      </c>
      <c r="F1096">
        <v>101.32499695</v>
      </c>
      <c r="G1096">
        <v>80</v>
      </c>
      <c r="H1096">
        <v>79.954544067</v>
      </c>
      <c r="I1096">
        <v>50</v>
      </c>
      <c r="J1096">
        <v>46.551483154000003</v>
      </c>
      <c r="K1096">
        <v>2400</v>
      </c>
      <c r="L1096">
        <v>0</v>
      </c>
      <c r="M1096">
        <v>0</v>
      </c>
      <c r="N1096">
        <v>789.05865478999999</v>
      </c>
    </row>
    <row r="1097" spans="1:14" x14ac:dyDescent="0.25">
      <c r="A1097">
        <v>1188</v>
      </c>
      <c r="B1097" s="1">
        <f>DATE(2013,8,1) + TIME(0,0,0)</f>
        <v>41487</v>
      </c>
      <c r="C1097">
        <v>6129.7817383000001</v>
      </c>
      <c r="D1097">
        <v>4865.6953125</v>
      </c>
      <c r="E1097">
        <v>648.22955321999996</v>
      </c>
      <c r="F1097">
        <v>101.32499695</v>
      </c>
      <c r="G1097">
        <v>80</v>
      </c>
      <c r="H1097">
        <v>79.954643250000004</v>
      </c>
      <c r="I1097">
        <v>50</v>
      </c>
      <c r="J1097">
        <v>46.463310241999999</v>
      </c>
      <c r="K1097">
        <v>2400</v>
      </c>
      <c r="L1097">
        <v>0</v>
      </c>
      <c r="M1097">
        <v>0</v>
      </c>
      <c r="N1097">
        <v>788.83074951000003</v>
      </c>
    </row>
    <row r="1098" spans="1:14" x14ac:dyDescent="0.25">
      <c r="A1098">
        <v>1191.1442480000001</v>
      </c>
      <c r="B1098" s="1">
        <f>DATE(2013,8,4) + TIME(3,27,42)</f>
        <v>41490.144236111111</v>
      </c>
      <c r="C1098">
        <v>6124.9633789</v>
      </c>
      <c r="D1098">
        <v>4860.8408202999999</v>
      </c>
      <c r="E1098">
        <v>648.26440430000002</v>
      </c>
      <c r="F1098">
        <v>101.32499695</v>
      </c>
      <c r="G1098">
        <v>80</v>
      </c>
      <c r="H1098">
        <v>79.954734802000004</v>
      </c>
      <c r="I1098">
        <v>50</v>
      </c>
      <c r="J1098">
        <v>46.375087737999998</v>
      </c>
      <c r="K1098">
        <v>2400</v>
      </c>
      <c r="L1098">
        <v>0</v>
      </c>
      <c r="M1098">
        <v>0</v>
      </c>
      <c r="N1098">
        <v>788.59936522999999</v>
      </c>
    </row>
    <row r="1099" spans="1:14" x14ac:dyDescent="0.25">
      <c r="A1099">
        <v>1194.4334100000001</v>
      </c>
      <c r="B1099" s="1">
        <f>DATE(2013,8,7) + TIME(10,24,6)</f>
        <v>41493.43340277778</v>
      </c>
      <c r="C1099">
        <v>6120.1538086</v>
      </c>
      <c r="D1099">
        <v>4855.9985352000003</v>
      </c>
      <c r="E1099">
        <v>648.30871581999997</v>
      </c>
      <c r="F1099">
        <v>101.32499695</v>
      </c>
      <c r="G1099">
        <v>80</v>
      </c>
      <c r="H1099">
        <v>79.954841614000003</v>
      </c>
      <c r="I1099">
        <v>50</v>
      </c>
      <c r="J1099">
        <v>46.285289763999998</v>
      </c>
      <c r="K1099">
        <v>2400</v>
      </c>
      <c r="L1099">
        <v>0</v>
      </c>
      <c r="M1099">
        <v>0</v>
      </c>
      <c r="N1099">
        <v>788.35894774999997</v>
      </c>
    </row>
    <row r="1100" spans="1:14" x14ac:dyDescent="0.25">
      <c r="A1100">
        <v>1197.789951</v>
      </c>
      <c r="B1100" s="1">
        <f>DATE(2013,8,10) + TIME(18,57,31)</f>
        <v>41496.789942129632</v>
      </c>
      <c r="C1100">
        <v>6115.2583008000001</v>
      </c>
      <c r="D1100">
        <v>4851.0722655999998</v>
      </c>
      <c r="E1100">
        <v>648.34875488</v>
      </c>
      <c r="F1100">
        <v>101.32499695</v>
      </c>
      <c r="G1100">
        <v>80</v>
      </c>
      <c r="H1100">
        <v>79.954940796000002</v>
      </c>
      <c r="I1100">
        <v>50</v>
      </c>
      <c r="J1100">
        <v>46.194149017000001</v>
      </c>
      <c r="K1100">
        <v>2400</v>
      </c>
      <c r="L1100">
        <v>0</v>
      </c>
      <c r="M1100">
        <v>0</v>
      </c>
      <c r="N1100">
        <v>788.11041260000002</v>
      </c>
    </row>
    <row r="1101" spans="1:14" x14ac:dyDescent="0.25">
      <c r="A1101">
        <v>1201.1904030000001</v>
      </c>
      <c r="B1101" s="1">
        <f>DATE(2013,8,14) + TIME(4,34,10)</f>
        <v>41500.190393518518</v>
      </c>
      <c r="C1101">
        <v>6110.3364258000001</v>
      </c>
      <c r="D1101">
        <v>4846.1215819999998</v>
      </c>
      <c r="E1101">
        <v>648.39105225000003</v>
      </c>
      <c r="F1101">
        <v>101.32499695</v>
      </c>
      <c r="G1101">
        <v>80</v>
      </c>
      <c r="H1101">
        <v>79.955039978000002</v>
      </c>
      <c r="I1101">
        <v>50</v>
      </c>
      <c r="J1101">
        <v>46.102142334</v>
      </c>
      <c r="K1101">
        <v>2400</v>
      </c>
      <c r="L1101">
        <v>0</v>
      </c>
      <c r="M1101">
        <v>0</v>
      </c>
      <c r="N1101">
        <v>787.85614013999998</v>
      </c>
    </row>
    <row r="1102" spans="1:14" x14ac:dyDescent="0.25">
      <c r="A1102">
        <v>1204.639318</v>
      </c>
      <c r="B1102" s="1">
        <f>DATE(2013,8,17) + TIME(15,20,37)</f>
        <v>41503.639317129629</v>
      </c>
      <c r="C1102">
        <v>6105.4135741999999</v>
      </c>
      <c r="D1102">
        <v>4841.171875</v>
      </c>
      <c r="E1102">
        <v>648.43652343999997</v>
      </c>
      <c r="F1102">
        <v>101.32499695</v>
      </c>
      <c r="G1102">
        <v>80</v>
      </c>
      <c r="H1102">
        <v>79.955139160000002</v>
      </c>
      <c r="I1102">
        <v>50</v>
      </c>
      <c r="J1102">
        <v>46.009464264000002</v>
      </c>
      <c r="K1102">
        <v>2400</v>
      </c>
      <c r="L1102">
        <v>0</v>
      </c>
      <c r="M1102">
        <v>0</v>
      </c>
      <c r="N1102">
        <v>787.59552001999998</v>
      </c>
    </row>
    <row r="1103" spans="1:14" x14ac:dyDescent="0.25">
      <c r="A1103">
        <v>1208.1343919999999</v>
      </c>
      <c r="B1103" s="1">
        <f>DATE(2013,8,21) + TIME(3,13,31)</f>
        <v>41507.134386574071</v>
      </c>
      <c r="C1103">
        <v>6100.4916991999999</v>
      </c>
      <c r="D1103">
        <v>4836.2255858999997</v>
      </c>
      <c r="E1103">
        <v>648.48431396000001</v>
      </c>
      <c r="F1103">
        <v>101.32499695</v>
      </c>
      <c r="G1103">
        <v>80</v>
      </c>
      <c r="H1103">
        <v>79.955238342000001</v>
      </c>
      <c r="I1103">
        <v>50</v>
      </c>
      <c r="J1103">
        <v>45.916225433000001</v>
      </c>
      <c r="K1103">
        <v>2400</v>
      </c>
      <c r="L1103">
        <v>0</v>
      </c>
      <c r="M1103">
        <v>0</v>
      </c>
      <c r="N1103">
        <v>787.32849121000004</v>
      </c>
    </row>
    <row r="1104" spans="1:14" x14ac:dyDescent="0.25">
      <c r="A1104">
        <v>1211.696764</v>
      </c>
      <c r="B1104" s="1">
        <f>DATE(2013,8,24) + TIME(16,43,20)</f>
        <v>41510.696759259263</v>
      </c>
      <c r="C1104">
        <v>6095.5659180000002</v>
      </c>
      <c r="D1104">
        <v>4831.2773438000004</v>
      </c>
      <c r="E1104">
        <v>648.53558350000003</v>
      </c>
      <c r="F1104">
        <v>101.32499695</v>
      </c>
      <c r="G1104">
        <v>80</v>
      </c>
      <c r="H1104">
        <v>79.955345154</v>
      </c>
      <c r="I1104">
        <v>50</v>
      </c>
      <c r="J1104">
        <v>45.822216034</v>
      </c>
      <c r="K1104">
        <v>2400</v>
      </c>
      <c r="L1104">
        <v>0</v>
      </c>
      <c r="M1104">
        <v>0</v>
      </c>
      <c r="N1104">
        <v>787.05419921999999</v>
      </c>
    </row>
    <row r="1105" spans="1:14" x14ac:dyDescent="0.25">
      <c r="A1105">
        <v>1215.296595</v>
      </c>
      <c r="B1105" s="1">
        <f>DATE(2013,8,28) + TIME(7,7,5)</f>
        <v>41514.296585648146</v>
      </c>
      <c r="C1105">
        <v>6090.6308594000002</v>
      </c>
      <c r="D1105">
        <v>4826.3203125</v>
      </c>
      <c r="E1105">
        <v>648.58843993999994</v>
      </c>
      <c r="F1105">
        <v>101.32499695</v>
      </c>
      <c r="G1105">
        <v>80</v>
      </c>
      <c r="H1105">
        <v>79.955444335999999</v>
      </c>
      <c r="I1105">
        <v>50</v>
      </c>
      <c r="J1105">
        <v>45.727661132999998</v>
      </c>
      <c r="K1105">
        <v>2400</v>
      </c>
      <c r="L1105">
        <v>0</v>
      </c>
      <c r="M1105">
        <v>0</v>
      </c>
      <c r="N1105">
        <v>786.7734375</v>
      </c>
    </row>
    <row r="1106" spans="1:14" x14ac:dyDescent="0.25">
      <c r="A1106">
        <v>1219</v>
      </c>
      <c r="B1106" s="1">
        <f>DATE(2013,9,1) + TIME(0,0,0)</f>
        <v>41518</v>
      </c>
      <c r="C1106">
        <v>6085.6850586</v>
      </c>
      <c r="D1106">
        <v>4821.3554688000004</v>
      </c>
      <c r="E1106">
        <v>648.64758300999995</v>
      </c>
      <c r="F1106">
        <v>101.32499695</v>
      </c>
      <c r="G1106">
        <v>80</v>
      </c>
      <c r="H1106">
        <v>79.955551146999994</v>
      </c>
      <c r="I1106">
        <v>50</v>
      </c>
      <c r="J1106">
        <v>45.631919861</v>
      </c>
      <c r="K1106">
        <v>2400</v>
      </c>
      <c r="L1106">
        <v>0</v>
      </c>
      <c r="M1106">
        <v>0</v>
      </c>
      <c r="N1106">
        <v>786.48370361000002</v>
      </c>
    </row>
    <row r="1107" spans="1:14" x14ac:dyDescent="0.25">
      <c r="A1107">
        <v>1222.6609169999999</v>
      </c>
      <c r="B1107" s="1">
        <f>DATE(2013,9,4) + TIME(15,51,43)</f>
        <v>41521.660914351851</v>
      </c>
      <c r="C1107">
        <v>6080.7285155999998</v>
      </c>
      <c r="D1107">
        <v>4816.3803711</v>
      </c>
      <c r="E1107">
        <v>648.70446776999995</v>
      </c>
      <c r="F1107">
        <v>101.32499695</v>
      </c>
      <c r="G1107">
        <v>80</v>
      </c>
      <c r="H1107">
        <v>79.955650329999997</v>
      </c>
      <c r="I1107">
        <v>50</v>
      </c>
      <c r="J1107">
        <v>45.536296843999999</v>
      </c>
      <c r="K1107">
        <v>2400</v>
      </c>
      <c r="L1107">
        <v>0</v>
      </c>
      <c r="M1107">
        <v>0</v>
      </c>
      <c r="N1107">
        <v>786.19000243999994</v>
      </c>
    </row>
    <row r="1108" spans="1:14" x14ac:dyDescent="0.25">
      <c r="A1108">
        <v>1226.4272559999999</v>
      </c>
      <c r="B1108" s="1">
        <f>DATE(2013,9,8) + TIME(10,15,14)</f>
        <v>41525.427245370367</v>
      </c>
      <c r="C1108">
        <v>6075.8188477000003</v>
      </c>
      <c r="D1108">
        <v>4811.4541016000003</v>
      </c>
      <c r="E1108">
        <v>648.77258300999995</v>
      </c>
      <c r="F1108">
        <v>101.32499695</v>
      </c>
      <c r="G1108">
        <v>80</v>
      </c>
      <c r="H1108">
        <v>79.955749511999997</v>
      </c>
      <c r="I1108">
        <v>50</v>
      </c>
      <c r="J1108">
        <v>45.439914702999999</v>
      </c>
      <c r="K1108">
        <v>2400</v>
      </c>
      <c r="L1108">
        <v>0</v>
      </c>
      <c r="M1108">
        <v>0</v>
      </c>
      <c r="N1108">
        <v>785.88793944999998</v>
      </c>
    </row>
    <row r="1109" spans="1:14" x14ac:dyDescent="0.25">
      <c r="A1109">
        <v>1230.2529460000001</v>
      </c>
      <c r="B1109" s="1">
        <f>DATE(2013,9,12) + TIME(6,4,14)</f>
        <v>41529.252939814818</v>
      </c>
      <c r="C1109">
        <v>6070.8740233999997</v>
      </c>
      <c r="D1109">
        <v>4806.4941405999998</v>
      </c>
      <c r="E1109">
        <v>648.84173583999996</v>
      </c>
      <c r="F1109">
        <v>101.32499695</v>
      </c>
      <c r="G1109">
        <v>80</v>
      </c>
      <c r="H1109">
        <v>79.955856323000006</v>
      </c>
      <c r="I1109">
        <v>50</v>
      </c>
      <c r="J1109">
        <v>45.342605591000002</v>
      </c>
      <c r="K1109">
        <v>2400</v>
      </c>
      <c r="L1109">
        <v>0</v>
      </c>
      <c r="M1109">
        <v>0</v>
      </c>
      <c r="N1109">
        <v>785.57708739999998</v>
      </c>
    </row>
    <row r="1110" spans="1:14" x14ac:dyDescent="0.25">
      <c r="A1110">
        <v>1234.1199039999999</v>
      </c>
      <c r="B1110" s="1">
        <f>DATE(2013,9,16) + TIME(2,52,39)</f>
        <v>41533.119895833333</v>
      </c>
      <c r="C1110">
        <v>6065.9204102000003</v>
      </c>
      <c r="D1110">
        <v>4801.5258789</v>
      </c>
      <c r="E1110">
        <v>648.91601562000005</v>
      </c>
      <c r="F1110">
        <v>101.32499695</v>
      </c>
      <c r="G1110">
        <v>80</v>
      </c>
      <c r="H1110">
        <v>79.955963135000005</v>
      </c>
      <c r="I1110">
        <v>50</v>
      </c>
      <c r="J1110">
        <v>45.244579315000003</v>
      </c>
      <c r="K1110">
        <v>2400</v>
      </c>
      <c r="L1110">
        <v>0</v>
      </c>
      <c r="M1110">
        <v>0</v>
      </c>
      <c r="N1110">
        <v>785.25897216999999</v>
      </c>
    </row>
    <row r="1111" spans="1:14" x14ac:dyDescent="0.25">
      <c r="A1111">
        <v>1238.0407319999999</v>
      </c>
      <c r="B1111" s="1">
        <f>DATE(2013,9,20) + TIME(0,58,39)</f>
        <v>41537.040729166663</v>
      </c>
      <c r="C1111">
        <v>6060.9697266000003</v>
      </c>
      <c r="D1111">
        <v>4796.5620116999999</v>
      </c>
      <c r="E1111">
        <v>648.99658203000001</v>
      </c>
      <c r="F1111">
        <v>101.32499695</v>
      </c>
      <c r="G1111">
        <v>80</v>
      </c>
      <c r="H1111">
        <v>79.956062317000004</v>
      </c>
      <c r="I1111">
        <v>50</v>
      </c>
      <c r="J1111">
        <v>45.145816803000002</v>
      </c>
      <c r="K1111">
        <v>2400</v>
      </c>
      <c r="L1111">
        <v>0</v>
      </c>
      <c r="M1111">
        <v>0</v>
      </c>
      <c r="N1111">
        <v>784.93280029000005</v>
      </c>
    </row>
    <row r="1112" spans="1:14" x14ac:dyDescent="0.25">
      <c r="A1112">
        <v>1242.0394120000001</v>
      </c>
      <c r="B1112" s="1">
        <f>DATE(2013,9,24) + TIME(0,56,45)</f>
        <v>41541.039409722223</v>
      </c>
      <c r="C1112">
        <v>6056.0087891000003</v>
      </c>
      <c r="D1112">
        <v>4791.5888672000001</v>
      </c>
      <c r="E1112">
        <v>649.08398437999995</v>
      </c>
      <c r="F1112">
        <v>101.32499695</v>
      </c>
      <c r="G1112">
        <v>80</v>
      </c>
      <c r="H1112">
        <v>79.956169127999999</v>
      </c>
      <c r="I1112">
        <v>50</v>
      </c>
      <c r="J1112">
        <v>45.045993805000002</v>
      </c>
      <c r="K1112">
        <v>2400</v>
      </c>
      <c r="L1112">
        <v>0</v>
      </c>
      <c r="M1112">
        <v>0</v>
      </c>
      <c r="N1112">
        <v>784.59716796999999</v>
      </c>
    </row>
    <row r="1113" spans="1:14" x14ac:dyDescent="0.25">
      <c r="A1113">
        <v>1246.0732720000001</v>
      </c>
      <c r="B1113" s="1">
        <f>DATE(2013,9,28) + TIME(1,45,30)</f>
        <v>41545.073263888888</v>
      </c>
      <c r="C1113">
        <v>6051.0322266000003</v>
      </c>
      <c r="D1113">
        <v>4786.6005858999997</v>
      </c>
      <c r="E1113">
        <v>649.17657470999995</v>
      </c>
      <c r="F1113">
        <v>101.32499695</v>
      </c>
      <c r="G1113">
        <v>80</v>
      </c>
      <c r="H1113">
        <v>79.956275939999998</v>
      </c>
      <c r="I1113">
        <v>50</v>
      </c>
      <c r="J1113">
        <v>44.945365905999999</v>
      </c>
      <c r="K1113">
        <v>2400</v>
      </c>
      <c r="L1113">
        <v>0</v>
      </c>
      <c r="M1113">
        <v>0</v>
      </c>
      <c r="N1113">
        <v>784.25347899999997</v>
      </c>
    </row>
    <row r="1114" spans="1:14" x14ac:dyDescent="0.25">
      <c r="A1114">
        <v>1249</v>
      </c>
      <c r="B1114" s="1">
        <f>DATE(2013,10,1) + TIME(0,0,0)</f>
        <v>41548</v>
      </c>
      <c r="C1114">
        <v>6046.4956055000002</v>
      </c>
      <c r="D1114">
        <v>4782.0527344000002</v>
      </c>
      <c r="E1114">
        <v>649.22900390999996</v>
      </c>
      <c r="F1114">
        <v>101.32499695</v>
      </c>
      <c r="G1114">
        <v>80</v>
      </c>
      <c r="H1114">
        <v>79.956321716000005</v>
      </c>
      <c r="I1114">
        <v>50</v>
      </c>
      <c r="J1114">
        <v>44.858917236000003</v>
      </c>
      <c r="K1114">
        <v>2400</v>
      </c>
      <c r="L1114">
        <v>0</v>
      </c>
      <c r="M1114">
        <v>0</v>
      </c>
      <c r="N1114">
        <v>783.96160888999998</v>
      </c>
    </row>
    <row r="1115" spans="1:14" x14ac:dyDescent="0.25">
      <c r="A1115">
        <v>1253.0930599999999</v>
      </c>
      <c r="B1115" s="1">
        <f>DATE(2013,10,5) + TIME(2,14,0)</f>
        <v>41552.093055555553</v>
      </c>
      <c r="C1115">
        <v>6042.2963866999999</v>
      </c>
      <c r="D1115">
        <v>4777.8476561999996</v>
      </c>
      <c r="E1115">
        <v>649.37792968999997</v>
      </c>
      <c r="F1115">
        <v>101.32499695</v>
      </c>
      <c r="G1115">
        <v>80</v>
      </c>
      <c r="H1115">
        <v>79.956466675000001</v>
      </c>
      <c r="I1115">
        <v>50</v>
      </c>
      <c r="J1115">
        <v>44.764900208</v>
      </c>
      <c r="K1115">
        <v>2400</v>
      </c>
      <c r="L1115">
        <v>0</v>
      </c>
      <c r="M1115">
        <v>0</v>
      </c>
      <c r="N1115">
        <v>783.62554932</v>
      </c>
    </row>
    <row r="1116" spans="1:14" x14ac:dyDescent="0.25">
      <c r="A1116">
        <v>1257.2890809999999</v>
      </c>
      <c r="B1116" s="1">
        <f>DATE(2013,10,9) + TIME(6,56,16)</f>
        <v>41556.289074074077</v>
      </c>
      <c r="C1116">
        <v>6037.4868164</v>
      </c>
      <c r="D1116">
        <v>4773.0283202999999</v>
      </c>
      <c r="E1116">
        <v>649.47576904000005</v>
      </c>
      <c r="F1116">
        <v>101.32499695</v>
      </c>
      <c r="G1116">
        <v>80</v>
      </c>
      <c r="H1116">
        <v>79.956565857000001</v>
      </c>
      <c r="I1116">
        <v>50</v>
      </c>
      <c r="J1116">
        <v>44.665397644000002</v>
      </c>
      <c r="K1116">
        <v>2400</v>
      </c>
      <c r="L1116">
        <v>0</v>
      </c>
      <c r="M1116">
        <v>0</v>
      </c>
      <c r="N1116">
        <v>783.26428223000005</v>
      </c>
    </row>
    <row r="1117" spans="1:14" x14ac:dyDescent="0.25">
      <c r="A1117">
        <v>1261.5494329999999</v>
      </c>
      <c r="B1117" s="1">
        <f>DATE(2013,10,13) + TIME(13,11,11)</f>
        <v>41560.549432870372</v>
      </c>
      <c r="C1117">
        <v>6032.5371094000002</v>
      </c>
      <c r="D1117">
        <v>4768.0703125</v>
      </c>
      <c r="E1117">
        <v>649.59539795000001</v>
      </c>
      <c r="F1117">
        <v>101.32499695</v>
      </c>
      <c r="G1117">
        <v>80</v>
      </c>
      <c r="H1117">
        <v>79.956672667999996</v>
      </c>
      <c r="I1117">
        <v>50</v>
      </c>
      <c r="J1117">
        <v>44.562671661000003</v>
      </c>
      <c r="K1117">
        <v>2400</v>
      </c>
      <c r="L1117">
        <v>0</v>
      </c>
      <c r="M1117">
        <v>0</v>
      </c>
      <c r="N1117">
        <v>782.89526366999996</v>
      </c>
    </row>
    <row r="1118" spans="1:14" x14ac:dyDescent="0.25">
      <c r="A1118">
        <v>1265.8633299999999</v>
      </c>
      <c r="B1118" s="1">
        <f>DATE(2013,10,17) + TIME(20,43,11)</f>
        <v>41564.863321759258</v>
      </c>
      <c r="C1118">
        <v>6027.5434569999998</v>
      </c>
      <c r="D1118">
        <v>4763.0683594000002</v>
      </c>
      <c r="E1118">
        <v>649.72747803000004</v>
      </c>
      <c r="F1118">
        <v>101.32499695</v>
      </c>
      <c r="G1118">
        <v>80</v>
      </c>
      <c r="H1118">
        <v>79.956779479999994</v>
      </c>
      <c r="I1118">
        <v>50</v>
      </c>
      <c r="J1118">
        <v>44.457962035999998</v>
      </c>
      <c r="K1118">
        <v>2400</v>
      </c>
      <c r="L1118">
        <v>0</v>
      </c>
      <c r="M1118">
        <v>0</v>
      </c>
      <c r="N1118">
        <v>782.51403808999999</v>
      </c>
    </row>
    <row r="1119" spans="1:14" x14ac:dyDescent="0.25">
      <c r="A1119">
        <v>1270.225308</v>
      </c>
      <c r="B1119" s="1">
        <f>DATE(2013,10,22) + TIME(5,24,26)</f>
        <v>41569.225300925929</v>
      </c>
      <c r="C1119">
        <v>6022.5380858999997</v>
      </c>
      <c r="D1119">
        <v>4758.0551758000001</v>
      </c>
      <c r="E1119">
        <v>649.87017821999996</v>
      </c>
      <c r="F1119">
        <v>101.32499695</v>
      </c>
      <c r="G1119">
        <v>80</v>
      </c>
      <c r="H1119">
        <v>79.956886291999993</v>
      </c>
      <c r="I1119">
        <v>50</v>
      </c>
      <c r="J1119">
        <v>44.351898192999997</v>
      </c>
      <c r="K1119">
        <v>2400</v>
      </c>
      <c r="L1119">
        <v>0</v>
      </c>
      <c r="M1119">
        <v>0</v>
      </c>
      <c r="N1119">
        <v>782.12268066000001</v>
      </c>
    </row>
    <row r="1120" spans="1:14" x14ac:dyDescent="0.25">
      <c r="A1120">
        <v>1274.6607650000001</v>
      </c>
      <c r="B1120" s="1">
        <f>DATE(2013,10,26) + TIME(15,51,30)</f>
        <v>41573.660763888889</v>
      </c>
      <c r="C1120">
        <v>6017.5234375</v>
      </c>
      <c r="D1120">
        <v>4753.0341797000001</v>
      </c>
      <c r="E1120">
        <v>650.02447510000002</v>
      </c>
      <c r="F1120">
        <v>101.32499695</v>
      </c>
      <c r="G1120">
        <v>80</v>
      </c>
      <c r="H1120">
        <v>79.956993103000002</v>
      </c>
      <c r="I1120">
        <v>50</v>
      </c>
      <c r="J1120">
        <v>44.244495391999997</v>
      </c>
      <c r="K1120">
        <v>2400</v>
      </c>
      <c r="L1120">
        <v>0</v>
      </c>
      <c r="M1120">
        <v>0</v>
      </c>
      <c r="N1120">
        <v>781.72198486000002</v>
      </c>
    </row>
    <row r="1121" spans="1:14" x14ac:dyDescent="0.25">
      <c r="A1121">
        <v>1279.162235</v>
      </c>
      <c r="B1121" s="1">
        <f>DATE(2013,10,31) + TIME(3,53,37)</f>
        <v>41578.162233796298</v>
      </c>
      <c r="C1121">
        <v>6012.4892577999999</v>
      </c>
      <c r="D1121">
        <v>4747.9936522999997</v>
      </c>
      <c r="E1121">
        <v>650.18981933999999</v>
      </c>
      <c r="F1121">
        <v>101.32499695</v>
      </c>
      <c r="G1121">
        <v>80</v>
      </c>
      <c r="H1121">
        <v>79.957099915000001</v>
      </c>
      <c r="I1121">
        <v>50</v>
      </c>
      <c r="J1121">
        <v>44.135753631999997</v>
      </c>
      <c r="K1121">
        <v>2400</v>
      </c>
      <c r="L1121">
        <v>0</v>
      </c>
      <c r="M1121">
        <v>0</v>
      </c>
      <c r="N1121">
        <v>781.31304932</v>
      </c>
    </row>
    <row r="1122" spans="1:14" x14ac:dyDescent="0.25">
      <c r="A1122">
        <v>1280</v>
      </c>
      <c r="B1122" s="1">
        <f>DATE(2013,11,1) + TIME(0,0,0)</f>
        <v>41579</v>
      </c>
      <c r="C1122">
        <v>6009.8828125</v>
      </c>
      <c r="D1122">
        <v>4745.3784180000002</v>
      </c>
      <c r="E1122">
        <v>650.05584716999999</v>
      </c>
      <c r="F1122">
        <v>101.32499695</v>
      </c>
      <c r="G1122">
        <v>80</v>
      </c>
      <c r="H1122">
        <v>79.957000731999997</v>
      </c>
      <c r="I1122">
        <v>50</v>
      </c>
      <c r="J1122">
        <v>44.096904754999997</v>
      </c>
      <c r="K1122">
        <v>2400</v>
      </c>
      <c r="L1122">
        <v>0</v>
      </c>
      <c r="M1122">
        <v>0</v>
      </c>
      <c r="N1122">
        <v>781.13684081999997</v>
      </c>
    </row>
    <row r="1123" spans="1:14" x14ac:dyDescent="0.25">
      <c r="A1123">
        <v>1280.0000010000001</v>
      </c>
      <c r="B1123" s="1">
        <f>DATE(2013,11,1) + TIME(0,0,0)</f>
        <v>41579</v>
      </c>
      <c r="C1123">
        <v>4744.4501952999999</v>
      </c>
      <c r="D1123">
        <v>3475.7543945000002</v>
      </c>
      <c r="E1123">
        <v>2502.2104491999999</v>
      </c>
      <c r="F1123">
        <v>650.57141113</v>
      </c>
      <c r="G1123">
        <v>80</v>
      </c>
      <c r="H1123">
        <v>79.956863403</v>
      </c>
      <c r="I1123">
        <v>50</v>
      </c>
      <c r="J1123">
        <v>44.096973419000001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1280.000004</v>
      </c>
      <c r="B1124" s="1">
        <f>DATE(2013,11,1) + TIME(0,0,0)</f>
        <v>41579</v>
      </c>
      <c r="C1124">
        <v>4741.671875</v>
      </c>
      <c r="D1124">
        <v>3472.9694823999998</v>
      </c>
      <c r="E1124">
        <v>2504.0144043</v>
      </c>
      <c r="F1124">
        <v>652.11657715000001</v>
      </c>
      <c r="G1124">
        <v>80</v>
      </c>
      <c r="H1124">
        <v>79.956459045000003</v>
      </c>
      <c r="I1124">
        <v>50</v>
      </c>
      <c r="J1124">
        <v>44.097179412999999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1280.0000130000001</v>
      </c>
      <c r="B1125" s="1">
        <f>DATE(2013,11,1) + TIME(0,0,1)</f>
        <v>41579.000011574077</v>
      </c>
      <c r="C1125">
        <v>4733.3862305000002</v>
      </c>
      <c r="D1125">
        <v>3464.6650390999998</v>
      </c>
      <c r="E1125">
        <v>2509.4057616999999</v>
      </c>
      <c r="F1125">
        <v>656.73736571999996</v>
      </c>
      <c r="G1125">
        <v>80</v>
      </c>
      <c r="H1125">
        <v>79.955245972</v>
      </c>
      <c r="I1125">
        <v>50</v>
      </c>
      <c r="J1125">
        <v>44.097793578999998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1280.0000399999999</v>
      </c>
      <c r="B1126" s="1">
        <f>DATE(2013,11,1) + TIME(0,0,3)</f>
        <v>41579.000034722223</v>
      </c>
      <c r="C1126">
        <v>4708.9711914</v>
      </c>
      <c r="D1126">
        <v>3440.1955566000001</v>
      </c>
      <c r="E1126">
        <v>2525.3962402000002</v>
      </c>
      <c r="F1126">
        <v>670.46856689000003</v>
      </c>
      <c r="G1126">
        <v>80</v>
      </c>
      <c r="H1126">
        <v>79.951675414999997</v>
      </c>
      <c r="I1126">
        <v>50</v>
      </c>
      <c r="J1126">
        <v>44.099632262999997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1280.000121</v>
      </c>
      <c r="B1127" s="1">
        <f>DATE(2013,11,1) + TIME(0,0,10)</f>
        <v>41579.000115740739</v>
      </c>
      <c r="C1127">
        <v>4639.4384766000003</v>
      </c>
      <c r="D1127">
        <v>3370.5065918</v>
      </c>
      <c r="E1127">
        <v>2571.7932129000001</v>
      </c>
      <c r="F1127">
        <v>710.52362060999997</v>
      </c>
      <c r="G1127">
        <v>80</v>
      </c>
      <c r="H1127">
        <v>79.941520690999994</v>
      </c>
      <c r="I1127">
        <v>50</v>
      </c>
      <c r="J1127">
        <v>44.104999542000002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1280.000364</v>
      </c>
      <c r="B1128" s="1">
        <f>DATE(2013,11,1) + TIME(0,0,31)</f>
        <v>41579.000358796293</v>
      </c>
      <c r="C1128">
        <v>4458.4252930000002</v>
      </c>
      <c r="D1128">
        <v>3189.1020508000001</v>
      </c>
      <c r="E1128">
        <v>2698.4907226999999</v>
      </c>
      <c r="F1128">
        <v>821.43383788999995</v>
      </c>
      <c r="G1128">
        <v>80</v>
      </c>
      <c r="H1128">
        <v>79.915092467999997</v>
      </c>
      <c r="I1128">
        <v>50</v>
      </c>
      <c r="J1128">
        <v>44.120006560999997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1280.0010930000001</v>
      </c>
      <c r="B1129" s="1">
        <f>DATE(2013,11,1) + TIME(0,1,34)</f>
        <v>41579.001087962963</v>
      </c>
      <c r="C1129">
        <v>4071.4489745999999</v>
      </c>
      <c r="D1129">
        <v>2801.3398437999999</v>
      </c>
      <c r="E1129">
        <v>2997.3835448999998</v>
      </c>
      <c r="F1129">
        <v>1090.8604736</v>
      </c>
      <c r="G1129">
        <v>80</v>
      </c>
      <c r="H1129">
        <v>79.858757018999995</v>
      </c>
      <c r="I1129">
        <v>50</v>
      </c>
      <c r="J1129">
        <v>44.157463073999999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1280.002976</v>
      </c>
      <c r="B1130" s="1">
        <f>DATE(2013,11,1) + TIME(0,4,17)</f>
        <v>41579.002974537034</v>
      </c>
      <c r="C1130">
        <v>3517.4282226999999</v>
      </c>
      <c r="D1130">
        <v>2246.4169922000001</v>
      </c>
      <c r="E1130">
        <v>3484.4589844000002</v>
      </c>
      <c r="F1130">
        <v>1547.4495850000001</v>
      </c>
      <c r="G1130">
        <v>80</v>
      </c>
      <c r="H1130">
        <v>79.778450011999993</v>
      </c>
      <c r="I1130">
        <v>50</v>
      </c>
      <c r="J1130">
        <v>44.225273131999998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1280.0063749999999</v>
      </c>
      <c r="B1131" s="1">
        <f>DATE(2013,11,1) + TIME(0,9,10)</f>
        <v>41579.006365740737</v>
      </c>
      <c r="C1131">
        <v>3009.5808105000001</v>
      </c>
      <c r="D1131">
        <v>1737.9243164</v>
      </c>
      <c r="E1131">
        <v>3976.7465820000002</v>
      </c>
      <c r="F1131">
        <v>2023.6563721</v>
      </c>
      <c r="G1131">
        <v>80</v>
      </c>
      <c r="H1131">
        <v>79.705284118999998</v>
      </c>
      <c r="I1131">
        <v>50</v>
      </c>
      <c r="J1131">
        <v>44.305194855000003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1280.012958</v>
      </c>
      <c r="B1132" s="1">
        <f>DATE(2013,11,1) + TIME(0,18,39)</f>
        <v>41579.01295138889</v>
      </c>
      <c r="C1132">
        <v>2530.5258789</v>
      </c>
      <c r="D1132">
        <v>1258.4274902</v>
      </c>
      <c r="E1132">
        <v>4462.7612305000002</v>
      </c>
      <c r="F1132">
        <v>2502.9191894999999</v>
      </c>
      <c r="G1132">
        <v>80</v>
      </c>
      <c r="H1132">
        <v>79.636909485000004</v>
      </c>
      <c r="I1132">
        <v>50</v>
      </c>
      <c r="J1132">
        <v>44.405143738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1280.0259120000001</v>
      </c>
      <c r="B1133" s="1">
        <f>DATE(2013,11,1) + TIME(0,37,18)</f>
        <v>41579.025902777779</v>
      </c>
      <c r="C1133">
        <v>2068.0649414</v>
      </c>
      <c r="D1133">
        <v>795.74224853999999</v>
      </c>
      <c r="E1133">
        <v>4935.4008789</v>
      </c>
      <c r="F1133">
        <v>2973.6694336</v>
      </c>
      <c r="G1133">
        <v>80</v>
      </c>
      <c r="H1133">
        <v>79.571876525999997</v>
      </c>
      <c r="I1133">
        <v>50</v>
      </c>
      <c r="J1133">
        <v>44.541873932000001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1280.052271</v>
      </c>
      <c r="B1134" s="1">
        <f>DATE(2013,11,1) + TIME(1,15,16)</f>
        <v>41579.052268518521</v>
      </c>
      <c r="C1134">
        <v>1603.9246826000001</v>
      </c>
      <c r="D1134">
        <v>331.61553954999999</v>
      </c>
      <c r="E1134">
        <v>5407.8808594000002</v>
      </c>
      <c r="F1134">
        <v>3447.7443847999998</v>
      </c>
      <c r="G1134">
        <v>80</v>
      </c>
      <c r="H1134">
        <v>79.508277892999999</v>
      </c>
      <c r="I1134">
        <v>50</v>
      </c>
      <c r="J1134">
        <v>44.754249573000003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1280.1060890000001</v>
      </c>
      <c r="B1135" s="1">
        <f>DATE(2013,11,1) + TIME(2,32,46)</f>
        <v>41579.106087962966</v>
      </c>
      <c r="C1135">
        <v>1135.4440918</v>
      </c>
      <c r="D1135">
        <v>-136.61567688</v>
      </c>
      <c r="E1135">
        <v>5881.4907227000003</v>
      </c>
      <c r="F1135">
        <v>3926.7387695000002</v>
      </c>
      <c r="G1135">
        <v>80</v>
      </c>
      <c r="H1135">
        <v>79.446853637999993</v>
      </c>
      <c r="I1135">
        <v>50</v>
      </c>
      <c r="J1135">
        <v>45.106628418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1280.215776</v>
      </c>
      <c r="B1136" s="1">
        <f>DATE(2013,11,1) + TIME(5,10,43)</f>
        <v>41579.215775462966</v>
      </c>
      <c r="C1136">
        <v>1059.3854980000001</v>
      </c>
      <c r="D1136">
        <v>101.32499695</v>
      </c>
      <c r="E1136">
        <v>6350.3007811999996</v>
      </c>
      <c r="F1136">
        <v>4405.4213866999999</v>
      </c>
      <c r="G1136">
        <v>80</v>
      </c>
      <c r="H1136">
        <v>79.436546325999998</v>
      </c>
      <c r="I1136">
        <v>50</v>
      </c>
      <c r="J1136">
        <v>45.693023682000003</v>
      </c>
      <c r="K1136">
        <v>0</v>
      </c>
      <c r="L1136">
        <v>1997.7707519999999</v>
      </c>
      <c r="M1136">
        <v>2400</v>
      </c>
      <c r="N1136">
        <v>0</v>
      </c>
    </row>
    <row r="1137" spans="1:14" x14ac:dyDescent="0.25">
      <c r="A1137">
        <v>1280.4025879999999</v>
      </c>
      <c r="B1137" s="1">
        <f>DATE(2013,11,1) + TIME(9,39,43)</f>
        <v>41579.402581018519</v>
      </c>
      <c r="C1137">
        <v>924.03009033000001</v>
      </c>
      <c r="D1137">
        <v>101.32499695</v>
      </c>
      <c r="E1137">
        <v>6749.7280272999997</v>
      </c>
      <c r="F1137">
        <v>4817.6049805000002</v>
      </c>
      <c r="G1137">
        <v>80</v>
      </c>
      <c r="H1137">
        <v>79.413749695000007</v>
      </c>
      <c r="I1137">
        <v>50</v>
      </c>
      <c r="J1137">
        <v>46.480731964</v>
      </c>
      <c r="K1137">
        <v>0</v>
      </c>
      <c r="L1137">
        <v>1729.3347168</v>
      </c>
      <c r="M1137">
        <v>2400</v>
      </c>
      <c r="N1137">
        <v>0</v>
      </c>
    </row>
    <row r="1138" spans="1:14" x14ac:dyDescent="0.25">
      <c r="A1138">
        <v>1280.6397460000001</v>
      </c>
      <c r="B1138" s="1">
        <f>DATE(2013,11,1) + TIME(15,21,14)</f>
        <v>41579.639745370368</v>
      </c>
      <c r="C1138">
        <v>830.88110352000001</v>
      </c>
      <c r="D1138">
        <v>101.32499695</v>
      </c>
      <c r="E1138">
        <v>7029.3256836</v>
      </c>
      <c r="F1138">
        <v>5108.7705077999999</v>
      </c>
      <c r="G1138">
        <v>80</v>
      </c>
      <c r="H1138">
        <v>79.391220093000001</v>
      </c>
      <c r="I1138">
        <v>50</v>
      </c>
      <c r="J1138">
        <v>47.250312805</v>
      </c>
      <c r="K1138">
        <v>0</v>
      </c>
      <c r="L1138">
        <v>1551.2917480000001</v>
      </c>
      <c r="M1138">
        <v>2400</v>
      </c>
      <c r="N1138">
        <v>0</v>
      </c>
    </row>
    <row r="1139" spans="1:14" x14ac:dyDescent="0.25">
      <c r="A1139">
        <v>1280.9479120000001</v>
      </c>
      <c r="B1139" s="1">
        <f>DATE(2013,11,1) + TIME(22,44,59)</f>
        <v>41579.947905092595</v>
      </c>
      <c r="C1139">
        <v>761.25415038999995</v>
      </c>
      <c r="D1139">
        <v>101.32499695</v>
      </c>
      <c r="E1139">
        <v>7239.2299805000002</v>
      </c>
      <c r="F1139">
        <v>5328.8017577999999</v>
      </c>
      <c r="G1139">
        <v>80</v>
      </c>
      <c r="H1139">
        <v>79.365959167</v>
      </c>
      <c r="I1139">
        <v>50</v>
      </c>
      <c r="J1139">
        <v>47.979610442999999</v>
      </c>
      <c r="K1139">
        <v>0</v>
      </c>
      <c r="L1139">
        <v>1419.2860106999999</v>
      </c>
      <c r="M1139">
        <v>2400</v>
      </c>
      <c r="N1139">
        <v>0</v>
      </c>
    </row>
    <row r="1140" spans="1:14" x14ac:dyDescent="0.25">
      <c r="A1140">
        <v>1281.370465</v>
      </c>
      <c r="B1140" s="1">
        <f>DATE(2013,11,2) + TIME(8,53,28)</f>
        <v>41580.370462962965</v>
      </c>
      <c r="C1140">
        <v>705.32794189000003</v>
      </c>
      <c r="D1140">
        <v>101.32499695</v>
      </c>
      <c r="E1140">
        <v>7406.8432616999999</v>
      </c>
      <c r="F1140">
        <v>5504.8608397999997</v>
      </c>
      <c r="G1140">
        <v>80</v>
      </c>
      <c r="H1140">
        <v>79.334701538000004</v>
      </c>
      <c r="I1140">
        <v>50</v>
      </c>
      <c r="J1140">
        <v>48.645835876</v>
      </c>
      <c r="K1140">
        <v>0</v>
      </c>
      <c r="L1140">
        <v>1313.5150146000001</v>
      </c>
      <c r="M1140">
        <v>2400</v>
      </c>
      <c r="N1140">
        <v>0</v>
      </c>
    </row>
    <row r="1141" spans="1:14" x14ac:dyDescent="0.25">
      <c r="A1141">
        <v>1282.0047099999999</v>
      </c>
      <c r="B1141" s="1">
        <f>DATE(2013,11,3) + TIME(0,6,46)</f>
        <v>41581.004699074074</v>
      </c>
      <c r="C1141">
        <v>658.54071045000001</v>
      </c>
      <c r="D1141">
        <v>101.32499695</v>
      </c>
      <c r="E1141">
        <v>7546.9057616999999</v>
      </c>
      <c r="F1141">
        <v>5651.2622069999998</v>
      </c>
      <c r="G1141">
        <v>80</v>
      </c>
      <c r="H1141">
        <v>79.292251586999996</v>
      </c>
      <c r="I1141">
        <v>50</v>
      </c>
      <c r="J1141">
        <v>49.217205047999997</v>
      </c>
      <c r="K1141">
        <v>0</v>
      </c>
      <c r="L1141">
        <v>1225.0610352000001</v>
      </c>
      <c r="M1141">
        <v>2400</v>
      </c>
      <c r="N1141">
        <v>0</v>
      </c>
    </row>
    <row r="1142" spans="1:14" x14ac:dyDescent="0.25">
      <c r="A1142">
        <v>1282.7000230000001</v>
      </c>
      <c r="B1142" s="1">
        <f>DATE(2013,11,3) + TIME(16,48,1)</f>
        <v>41581.700011574074</v>
      </c>
      <c r="C1142">
        <v>628.8671875</v>
      </c>
      <c r="D1142">
        <v>101.32499695</v>
      </c>
      <c r="E1142">
        <v>7635.8129883000001</v>
      </c>
      <c r="F1142">
        <v>5742.5200194999998</v>
      </c>
      <c r="G1142">
        <v>80</v>
      </c>
      <c r="H1142">
        <v>79.244895935000002</v>
      </c>
      <c r="I1142">
        <v>50</v>
      </c>
      <c r="J1142">
        <v>49.560356140000003</v>
      </c>
      <c r="K1142">
        <v>0</v>
      </c>
      <c r="L1142">
        <v>1168.9711914</v>
      </c>
      <c r="M1142">
        <v>2400</v>
      </c>
      <c r="N1142">
        <v>0</v>
      </c>
    </row>
    <row r="1143" spans="1:14" x14ac:dyDescent="0.25">
      <c r="A1143">
        <v>1283.5144089999999</v>
      </c>
      <c r="B1143" s="1">
        <f>DATE(2013,11,4) + TIME(12,20,44)</f>
        <v>41582.514398148145</v>
      </c>
      <c r="C1143">
        <v>609.36352538999995</v>
      </c>
      <c r="D1143">
        <v>101.32499695</v>
      </c>
      <c r="E1143">
        <v>7695.6987305000002</v>
      </c>
      <c r="F1143">
        <v>5802.8261719000002</v>
      </c>
      <c r="G1143">
        <v>80</v>
      </c>
      <c r="H1143">
        <v>79.190246582</v>
      </c>
      <c r="I1143">
        <v>50</v>
      </c>
      <c r="J1143">
        <v>49.764415741000001</v>
      </c>
      <c r="K1143">
        <v>0</v>
      </c>
      <c r="L1143">
        <v>1132.0524902</v>
      </c>
      <c r="M1143">
        <v>2400</v>
      </c>
      <c r="N1143">
        <v>0</v>
      </c>
    </row>
    <row r="1144" spans="1:14" x14ac:dyDescent="0.25">
      <c r="A1144">
        <v>1284.5283059999999</v>
      </c>
      <c r="B1144" s="1">
        <f>DATE(2013,11,5) + TIME(12,40,45)</f>
        <v>41583.528298611112</v>
      </c>
      <c r="C1144">
        <v>596.80889893000005</v>
      </c>
      <c r="D1144">
        <v>101.32499695</v>
      </c>
      <c r="E1144">
        <v>7735.7919922000001</v>
      </c>
      <c r="F1144">
        <v>5842.0732422000001</v>
      </c>
      <c r="G1144">
        <v>80</v>
      </c>
      <c r="H1144">
        <v>79.124618530000006</v>
      </c>
      <c r="I1144">
        <v>50</v>
      </c>
      <c r="J1144">
        <v>49.879337311</v>
      </c>
      <c r="K1144">
        <v>0</v>
      </c>
      <c r="L1144">
        <v>1108.2215576000001</v>
      </c>
      <c r="M1144">
        <v>2400</v>
      </c>
      <c r="N1144">
        <v>0</v>
      </c>
    </row>
    <row r="1145" spans="1:14" x14ac:dyDescent="0.25">
      <c r="A1145">
        <v>1285.8516790000001</v>
      </c>
      <c r="B1145" s="1">
        <f>DATE(2013,11,6) + TIME(20,26,25)</f>
        <v>41584.851678240739</v>
      </c>
      <c r="C1145">
        <v>589.38476562000005</v>
      </c>
      <c r="D1145">
        <v>101.32499695</v>
      </c>
      <c r="E1145">
        <v>7760.6992188000004</v>
      </c>
      <c r="F1145">
        <v>5865.2709961</v>
      </c>
      <c r="G1145">
        <v>80</v>
      </c>
      <c r="H1145">
        <v>79.043106078999998</v>
      </c>
      <c r="I1145">
        <v>50</v>
      </c>
      <c r="J1145">
        <v>49.937427520999996</v>
      </c>
      <c r="K1145">
        <v>0</v>
      </c>
      <c r="L1145">
        <v>1094.0386963000001</v>
      </c>
      <c r="M1145">
        <v>2400</v>
      </c>
      <c r="N1145">
        <v>0</v>
      </c>
    </row>
    <row r="1146" spans="1:14" x14ac:dyDescent="0.25">
      <c r="A1146">
        <v>1287.2116289999999</v>
      </c>
      <c r="B1146" s="1">
        <f>DATE(2013,11,8) + TIME(5,4,44)</f>
        <v>41586.21162037037</v>
      </c>
      <c r="C1146">
        <v>585.93060303000004</v>
      </c>
      <c r="D1146">
        <v>101.32499695</v>
      </c>
      <c r="E1146">
        <v>7771.8930664</v>
      </c>
      <c r="F1146">
        <v>5874.1909180000002</v>
      </c>
      <c r="G1146">
        <v>80</v>
      </c>
      <c r="H1146">
        <v>78.954154967999997</v>
      </c>
      <c r="I1146">
        <v>50</v>
      </c>
      <c r="J1146">
        <v>49.960056305000002</v>
      </c>
      <c r="K1146">
        <v>0</v>
      </c>
      <c r="L1146">
        <v>1087.3927002</v>
      </c>
      <c r="M1146">
        <v>2400</v>
      </c>
      <c r="N1146">
        <v>0</v>
      </c>
    </row>
    <row r="1147" spans="1:14" x14ac:dyDescent="0.25">
      <c r="A1147">
        <v>1288.8037750000001</v>
      </c>
      <c r="B1147" s="1">
        <f>DATE(2013,11,9) + TIME(19,17,26)</f>
        <v>41587.803773148145</v>
      </c>
      <c r="C1147">
        <v>584.31127930000002</v>
      </c>
      <c r="D1147">
        <v>101.32499695</v>
      </c>
      <c r="E1147">
        <v>7777.125</v>
      </c>
      <c r="F1147">
        <v>5877.5444336</v>
      </c>
      <c r="G1147">
        <v>80</v>
      </c>
      <c r="H1147">
        <v>78.852378845000004</v>
      </c>
      <c r="I1147">
        <v>50</v>
      </c>
      <c r="J1147">
        <v>49.969207763999997</v>
      </c>
      <c r="K1147">
        <v>0</v>
      </c>
      <c r="L1147">
        <v>1084.1326904</v>
      </c>
      <c r="M1147">
        <v>2400</v>
      </c>
      <c r="N1147">
        <v>0</v>
      </c>
    </row>
    <row r="1148" spans="1:14" x14ac:dyDescent="0.25">
      <c r="A1148">
        <v>1290.753074</v>
      </c>
      <c r="B1148" s="1">
        <f>DATE(2013,11,11) + TIME(18,4,25)</f>
        <v>41589.753067129626</v>
      </c>
      <c r="C1148">
        <v>583.59466553000004</v>
      </c>
      <c r="D1148">
        <v>101.32499695</v>
      </c>
      <c r="E1148">
        <v>7778.6611327999999</v>
      </c>
      <c r="F1148">
        <v>5877.3110352000003</v>
      </c>
      <c r="G1148">
        <v>80</v>
      </c>
      <c r="H1148">
        <v>78.732566833000007</v>
      </c>
      <c r="I1148">
        <v>50</v>
      </c>
      <c r="J1148">
        <v>49.972591399999999</v>
      </c>
      <c r="K1148">
        <v>0</v>
      </c>
      <c r="L1148">
        <v>1082.5245361</v>
      </c>
      <c r="M1148">
        <v>2400</v>
      </c>
      <c r="N1148">
        <v>0</v>
      </c>
    </row>
    <row r="1149" spans="1:14" x14ac:dyDescent="0.25">
      <c r="A1149">
        <v>1292.787744</v>
      </c>
      <c r="B1149" s="1">
        <f>DATE(2013,11,13) + TIME(18,54,21)</f>
        <v>41591.787743055553</v>
      </c>
      <c r="C1149">
        <v>583.22912598000005</v>
      </c>
      <c r="D1149">
        <v>101.32499695</v>
      </c>
      <c r="E1149">
        <v>7777.8081055000002</v>
      </c>
      <c r="F1149">
        <v>5874.7666016000003</v>
      </c>
      <c r="G1149">
        <v>80</v>
      </c>
      <c r="H1149">
        <v>78.600677489999995</v>
      </c>
      <c r="I1149">
        <v>50</v>
      </c>
      <c r="J1149">
        <v>49.973613739000001</v>
      </c>
      <c r="K1149">
        <v>0</v>
      </c>
      <c r="L1149">
        <v>1081.5958252</v>
      </c>
      <c r="M1149">
        <v>2400</v>
      </c>
      <c r="N1149">
        <v>0</v>
      </c>
    </row>
    <row r="1150" spans="1:14" x14ac:dyDescent="0.25">
      <c r="A1150">
        <v>1295.1105560000001</v>
      </c>
      <c r="B1150" s="1">
        <f>DATE(2013,11,16) + TIME(2,39,12)</f>
        <v>41594.110555555555</v>
      </c>
      <c r="C1150">
        <v>583.01641845999995</v>
      </c>
      <c r="D1150">
        <v>101.32499695</v>
      </c>
      <c r="E1150">
        <v>7776.2050780999998</v>
      </c>
      <c r="F1150">
        <v>5871.8168944999998</v>
      </c>
      <c r="G1150">
        <v>80</v>
      </c>
      <c r="H1150">
        <v>78.453575134000005</v>
      </c>
      <c r="I1150">
        <v>50</v>
      </c>
      <c r="J1150">
        <v>49.97397995</v>
      </c>
      <c r="K1150">
        <v>0</v>
      </c>
      <c r="L1150">
        <v>1080.8688964999999</v>
      </c>
      <c r="M1150">
        <v>2400</v>
      </c>
      <c r="N1150">
        <v>0</v>
      </c>
    </row>
    <row r="1151" spans="1:14" x14ac:dyDescent="0.25">
      <c r="A1151">
        <v>1297.877115</v>
      </c>
      <c r="B1151" s="1">
        <f>DATE(2013,11,18) + TIME(21,3,2)</f>
        <v>41596.877106481479</v>
      </c>
      <c r="C1151">
        <v>582.81695557</v>
      </c>
      <c r="D1151">
        <v>101.32499695</v>
      </c>
      <c r="E1151">
        <v>7774.0947266000003</v>
      </c>
      <c r="F1151">
        <v>5868.4960938000004</v>
      </c>
      <c r="G1151">
        <v>80</v>
      </c>
      <c r="H1151">
        <v>78.285369872999993</v>
      </c>
      <c r="I1151">
        <v>50</v>
      </c>
      <c r="J1151">
        <v>49.974143982000001</v>
      </c>
      <c r="K1151">
        <v>0</v>
      </c>
      <c r="L1151">
        <v>1080.0993652</v>
      </c>
      <c r="M1151">
        <v>2400</v>
      </c>
      <c r="N1151">
        <v>0</v>
      </c>
    </row>
    <row r="1152" spans="1:14" x14ac:dyDescent="0.25">
      <c r="A1152">
        <v>1300.7636669999999</v>
      </c>
      <c r="B1152" s="1">
        <f>DATE(2013,11,21) + TIME(18,19,40)</f>
        <v>41599.763657407406</v>
      </c>
      <c r="C1152">
        <v>582.53759765999996</v>
      </c>
      <c r="D1152">
        <v>101.32499695</v>
      </c>
      <c r="E1152">
        <v>7771.6206055000002</v>
      </c>
      <c r="F1152">
        <v>5864.8891602000003</v>
      </c>
      <c r="G1152">
        <v>80</v>
      </c>
      <c r="H1152">
        <v>78.100608825999998</v>
      </c>
      <c r="I1152">
        <v>50</v>
      </c>
      <c r="J1152">
        <v>49.974231719999999</v>
      </c>
      <c r="K1152">
        <v>0</v>
      </c>
      <c r="L1152">
        <v>1079.1783447</v>
      </c>
      <c r="M1152">
        <v>2400</v>
      </c>
      <c r="N1152">
        <v>0</v>
      </c>
    </row>
    <row r="1153" spans="1:14" x14ac:dyDescent="0.25">
      <c r="A1153">
        <v>1304.0915190000001</v>
      </c>
      <c r="B1153" s="1">
        <f>DATE(2013,11,25) + TIME(2,11,47)</f>
        <v>41603.091516203705</v>
      </c>
      <c r="C1153">
        <v>582.27575683999999</v>
      </c>
      <c r="D1153">
        <v>101.32499695</v>
      </c>
      <c r="E1153">
        <v>7769.2070311999996</v>
      </c>
      <c r="F1153">
        <v>5861.5541991999999</v>
      </c>
      <c r="G1153">
        <v>80</v>
      </c>
      <c r="H1153">
        <v>77.896881104000002</v>
      </c>
      <c r="I1153">
        <v>50</v>
      </c>
      <c r="J1153">
        <v>49.974330901999998</v>
      </c>
      <c r="K1153">
        <v>0</v>
      </c>
      <c r="L1153">
        <v>1078.1787108999999</v>
      </c>
      <c r="M1153">
        <v>2400</v>
      </c>
      <c r="N1153">
        <v>0</v>
      </c>
    </row>
    <row r="1154" spans="1:14" x14ac:dyDescent="0.25">
      <c r="A1154">
        <v>1307.629113</v>
      </c>
      <c r="B1154" s="1">
        <f>DATE(2013,11,28) + TIME(15,5,55)</f>
        <v>41606.629108796296</v>
      </c>
      <c r="C1154">
        <v>581.94006348000005</v>
      </c>
      <c r="D1154">
        <v>101.32499695</v>
      </c>
      <c r="E1154">
        <v>7766.6762694999998</v>
      </c>
      <c r="F1154">
        <v>5858.1791991999999</v>
      </c>
      <c r="G1154">
        <v>80</v>
      </c>
      <c r="H1154">
        <v>77.675148010000001</v>
      </c>
      <c r="I1154">
        <v>50</v>
      </c>
      <c r="J1154">
        <v>49.974418640000003</v>
      </c>
      <c r="K1154">
        <v>0</v>
      </c>
      <c r="L1154">
        <v>1077.0184326000001</v>
      </c>
      <c r="M1154">
        <v>2400</v>
      </c>
      <c r="N1154">
        <v>0</v>
      </c>
    </row>
    <row r="1155" spans="1:14" x14ac:dyDescent="0.25">
      <c r="A1155">
        <v>1310</v>
      </c>
      <c r="B1155" s="1">
        <f>DATE(2013,12,1) + TIME(0,0,0)</f>
        <v>41609</v>
      </c>
      <c r="C1155">
        <v>581.47100829999999</v>
      </c>
      <c r="D1155">
        <v>101.32499695</v>
      </c>
      <c r="E1155">
        <v>7764.3242188000004</v>
      </c>
      <c r="F1155">
        <v>5855.1191405999998</v>
      </c>
      <c r="G1155">
        <v>80</v>
      </c>
      <c r="H1155">
        <v>77.481178283999995</v>
      </c>
      <c r="I1155">
        <v>50</v>
      </c>
      <c r="J1155">
        <v>49.974441528</v>
      </c>
      <c r="K1155">
        <v>0</v>
      </c>
      <c r="L1155">
        <v>1075.8156738</v>
      </c>
      <c r="M1155">
        <v>2400</v>
      </c>
      <c r="N1155">
        <v>0</v>
      </c>
    </row>
    <row r="1156" spans="1:14" x14ac:dyDescent="0.25">
      <c r="A1156">
        <v>1313.7753740000001</v>
      </c>
      <c r="B1156" s="1">
        <f>DATE(2013,12,4) + TIME(18,36,32)</f>
        <v>41612.775370370371</v>
      </c>
      <c r="C1156">
        <v>581.39135741999996</v>
      </c>
      <c r="D1156">
        <v>101.32499695</v>
      </c>
      <c r="E1156">
        <v>7762.6596680000002</v>
      </c>
      <c r="F1156">
        <v>5853.0683594000002</v>
      </c>
      <c r="G1156">
        <v>80</v>
      </c>
      <c r="H1156">
        <v>77.268829346000004</v>
      </c>
      <c r="I1156">
        <v>50</v>
      </c>
      <c r="J1156">
        <v>49.974578856999997</v>
      </c>
      <c r="K1156">
        <v>0</v>
      </c>
      <c r="L1156">
        <v>1074.8986815999999</v>
      </c>
      <c r="M1156">
        <v>2400</v>
      </c>
      <c r="N1156">
        <v>0</v>
      </c>
    </row>
    <row r="1157" spans="1:14" x14ac:dyDescent="0.25">
      <c r="A1157">
        <v>1317.673233</v>
      </c>
      <c r="B1157" s="1">
        <f>DATE(2013,12,8) + TIME(16,9,27)</f>
        <v>41616.673229166663</v>
      </c>
      <c r="C1157">
        <v>580.99371338000003</v>
      </c>
      <c r="D1157">
        <v>101.32499695</v>
      </c>
      <c r="E1157">
        <v>7760.4135741999999</v>
      </c>
      <c r="F1157">
        <v>5850.2885741999999</v>
      </c>
      <c r="G1157">
        <v>80</v>
      </c>
      <c r="H1157">
        <v>77.032646178999997</v>
      </c>
      <c r="I1157">
        <v>50</v>
      </c>
      <c r="J1157">
        <v>49.974647521999998</v>
      </c>
      <c r="K1157">
        <v>0</v>
      </c>
      <c r="L1157">
        <v>1073.5679932</v>
      </c>
      <c r="M1157">
        <v>2400</v>
      </c>
      <c r="N1157">
        <v>0</v>
      </c>
    </row>
    <row r="1158" spans="1:14" x14ac:dyDescent="0.25">
      <c r="A1158">
        <v>1321.6686159999999</v>
      </c>
      <c r="B1158" s="1">
        <f>DATE(2013,12,12) + TIME(16,2,48)</f>
        <v>41620.668611111112</v>
      </c>
      <c r="C1158">
        <v>580.59985352000001</v>
      </c>
      <c r="D1158">
        <v>101.32499695</v>
      </c>
      <c r="E1158">
        <v>7758.2338866999999</v>
      </c>
      <c r="F1158">
        <v>5847.6567383000001</v>
      </c>
      <c r="G1158">
        <v>80</v>
      </c>
      <c r="H1158">
        <v>76.785545349000003</v>
      </c>
      <c r="I1158">
        <v>50</v>
      </c>
      <c r="J1158">
        <v>49.974727631</v>
      </c>
      <c r="K1158">
        <v>0</v>
      </c>
      <c r="L1158">
        <v>1072.1721190999999</v>
      </c>
      <c r="M1158">
        <v>2400</v>
      </c>
      <c r="N1158">
        <v>0</v>
      </c>
    </row>
    <row r="1159" spans="1:14" x14ac:dyDescent="0.25">
      <c r="A1159">
        <v>1325.708537</v>
      </c>
      <c r="B1159" s="1">
        <f>DATE(2013,12,16) + TIME(17,0,17)</f>
        <v>41624.70853009259</v>
      </c>
      <c r="C1159">
        <v>580.20227050999995</v>
      </c>
      <c r="D1159">
        <v>101.32499695</v>
      </c>
      <c r="E1159">
        <v>7756.1396483999997</v>
      </c>
      <c r="F1159">
        <v>5845.1782227000003</v>
      </c>
      <c r="G1159">
        <v>80</v>
      </c>
      <c r="H1159">
        <v>76.534080505000006</v>
      </c>
      <c r="I1159">
        <v>50</v>
      </c>
      <c r="J1159">
        <v>49.974807738999999</v>
      </c>
      <c r="K1159">
        <v>0</v>
      </c>
      <c r="L1159">
        <v>1070.7327881000001</v>
      </c>
      <c r="M1159">
        <v>2400</v>
      </c>
      <c r="N1159">
        <v>0</v>
      </c>
    </row>
    <row r="1160" spans="1:14" x14ac:dyDescent="0.25">
      <c r="A1160">
        <v>1329.7919460000001</v>
      </c>
      <c r="B1160" s="1">
        <f>DATE(2013,12,20) + TIME(19,0,24)</f>
        <v>41628.791944444441</v>
      </c>
      <c r="C1160">
        <v>579.80645751999998</v>
      </c>
      <c r="D1160">
        <v>101.32499695</v>
      </c>
      <c r="E1160">
        <v>7754.1435547000001</v>
      </c>
      <c r="F1160">
        <v>5842.8559569999998</v>
      </c>
      <c r="G1160">
        <v>80</v>
      </c>
      <c r="H1160">
        <v>76.281646729000002</v>
      </c>
      <c r="I1160">
        <v>50</v>
      </c>
      <c r="J1160">
        <v>49.974887848000002</v>
      </c>
      <c r="K1160">
        <v>0</v>
      </c>
      <c r="L1160">
        <v>1069.2685547000001</v>
      </c>
      <c r="M1160">
        <v>2400</v>
      </c>
      <c r="N1160">
        <v>0</v>
      </c>
    </row>
    <row r="1161" spans="1:14" x14ac:dyDescent="0.25">
      <c r="A1161">
        <v>1333.9370799999999</v>
      </c>
      <c r="B1161" s="1">
        <f>DATE(2013,12,24) + TIME(22,29,23)</f>
        <v>41632.937071759261</v>
      </c>
      <c r="C1161">
        <v>579.41058350000003</v>
      </c>
      <c r="D1161">
        <v>101.32499695</v>
      </c>
      <c r="E1161">
        <v>7752.2294922000001</v>
      </c>
      <c r="F1161">
        <v>5840.6625977000003</v>
      </c>
      <c r="G1161">
        <v>80</v>
      </c>
      <c r="H1161">
        <v>76.029022217000005</v>
      </c>
      <c r="I1161">
        <v>50</v>
      </c>
      <c r="J1161">
        <v>49.974964141999997</v>
      </c>
      <c r="K1161">
        <v>0</v>
      </c>
      <c r="L1161">
        <v>1067.7800293</v>
      </c>
      <c r="M1161">
        <v>2400</v>
      </c>
      <c r="N1161">
        <v>0</v>
      </c>
    </row>
    <row r="1162" spans="1:14" x14ac:dyDescent="0.25">
      <c r="A1162">
        <v>1338.1622219999999</v>
      </c>
      <c r="B1162" s="1">
        <f>DATE(2013,12,29) + TIME(3,53,36)</f>
        <v>41637.162222222221</v>
      </c>
      <c r="C1162">
        <v>579.01116943</v>
      </c>
      <c r="D1162">
        <v>101.32499695</v>
      </c>
      <c r="E1162">
        <v>7750.3798827999999</v>
      </c>
      <c r="F1162">
        <v>5838.5703125</v>
      </c>
      <c r="G1162">
        <v>80</v>
      </c>
      <c r="H1162">
        <v>75.775749207000004</v>
      </c>
      <c r="I1162">
        <v>50</v>
      </c>
      <c r="J1162">
        <v>49.975040436</v>
      </c>
      <c r="K1162">
        <v>0</v>
      </c>
      <c r="L1162">
        <v>1066.2598877</v>
      </c>
      <c r="M1162">
        <v>2400</v>
      </c>
      <c r="N1162">
        <v>0</v>
      </c>
    </row>
    <row r="1163" spans="1:14" x14ac:dyDescent="0.25">
      <c r="A1163">
        <v>1341</v>
      </c>
      <c r="B1163" s="1">
        <f>DATE(2014,1,1) + TIME(0,0,0)</f>
        <v>41640</v>
      </c>
      <c r="C1163">
        <v>578.48834228999999</v>
      </c>
      <c r="D1163">
        <v>101.32499695</v>
      </c>
      <c r="E1163">
        <v>7748.6782227000003</v>
      </c>
      <c r="F1163">
        <v>5836.6557616999999</v>
      </c>
      <c r="G1163">
        <v>80</v>
      </c>
      <c r="H1163">
        <v>75.559692382999998</v>
      </c>
      <c r="I1163">
        <v>50</v>
      </c>
      <c r="J1163">
        <v>49.975074767999999</v>
      </c>
      <c r="K1163">
        <v>0</v>
      </c>
      <c r="L1163">
        <v>1064.7443848</v>
      </c>
      <c r="M1163">
        <v>2400</v>
      </c>
      <c r="N1163">
        <v>0</v>
      </c>
    </row>
    <row r="1164" spans="1:14" x14ac:dyDescent="0.25">
      <c r="A1164">
        <v>1345.3243829999999</v>
      </c>
      <c r="B1164" s="1">
        <f>DATE(2014,1,5) + TIME(7,47,6)</f>
        <v>41644.324374999997</v>
      </c>
      <c r="C1164">
        <v>578.37866211000005</v>
      </c>
      <c r="D1164">
        <v>101.32499695</v>
      </c>
      <c r="E1164">
        <v>7747.3642577999999</v>
      </c>
      <c r="F1164">
        <v>5835.2163086</v>
      </c>
      <c r="G1164">
        <v>80</v>
      </c>
      <c r="H1164">
        <v>75.336174010999997</v>
      </c>
      <c r="I1164">
        <v>50</v>
      </c>
      <c r="J1164">
        <v>49.975177764999998</v>
      </c>
      <c r="K1164">
        <v>0</v>
      </c>
      <c r="L1164">
        <v>1063.6191406</v>
      </c>
      <c r="M1164">
        <v>2400</v>
      </c>
      <c r="N1164">
        <v>0</v>
      </c>
    </row>
    <row r="1165" spans="1:14" x14ac:dyDescent="0.25">
      <c r="A1165">
        <v>1349.742047</v>
      </c>
      <c r="B1165" s="1">
        <f>DATE(2014,1,9) + TIME(17,48,32)</f>
        <v>41648.742037037038</v>
      </c>
      <c r="C1165">
        <v>577.93981933999999</v>
      </c>
      <c r="D1165">
        <v>101.32499695</v>
      </c>
      <c r="E1165">
        <v>7745.6801758000001</v>
      </c>
      <c r="F1165">
        <v>5833.3588866999999</v>
      </c>
      <c r="G1165">
        <v>80</v>
      </c>
      <c r="H1165">
        <v>75.091339110999996</v>
      </c>
      <c r="I1165">
        <v>50</v>
      </c>
      <c r="J1165">
        <v>49.975246429000002</v>
      </c>
      <c r="K1165">
        <v>0</v>
      </c>
      <c r="L1165">
        <v>1062.0172118999999</v>
      </c>
      <c r="M1165">
        <v>2400</v>
      </c>
      <c r="N1165">
        <v>0</v>
      </c>
    </row>
    <row r="1166" spans="1:14" x14ac:dyDescent="0.25">
      <c r="A1166">
        <v>1354.2163889999999</v>
      </c>
      <c r="B1166" s="1">
        <f>DATE(2014,1,14) + TIME(5,11,35)</f>
        <v>41653.216377314813</v>
      </c>
      <c r="C1166">
        <v>577.51141356999995</v>
      </c>
      <c r="D1166">
        <v>101.32499695</v>
      </c>
      <c r="E1166">
        <v>7743.9970702999999</v>
      </c>
      <c r="F1166">
        <v>5831.5205077999999</v>
      </c>
      <c r="G1166">
        <v>80</v>
      </c>
      <c r="H1166">
        <v>74.838050842000001</v>
      </c>
      <c r="I1166">
        <v>50</v>
      </c>
      <c r="J1166">
        <v>49.975318909000002</v>
      </c>
      <c r="K1166">
        <v>0</v>
      </c>
      <c r="L1166">
        <v>1060.3485106999999</v>
      </c>
      <c r="M1166">
        <v>2400</v>
      </c>
      <c r="N1166">
        <v>0</v>
      </c>
    </row>
    <row r="1167" spans="1:14" x14ac:dyDescent="0.25">
      <c r="A1167">
        <v>1358.768037</v>
      </c>
      <c r="B1167" s="1">
        <f>DATE(2014,1,18) + TIME(18,25,58)</f>
        <v>41657.76803240741</v>
      </c>
      <c r="C1167">
        <v>577.09332274999997</v>
      </c>
      <c r="D1167">
        <v>101.32499695</v>
      </c>
      <c r="E1167">
        <v>7742.3442383000001</v>
      </c>
      <c r="F1167">
        <v>5829.7294922000001</v>
      </c>
      <c r="G1167">
        <v>80</v>
      </c>
      <c r="H1167">
        <v>74.580940247000001</v>
      </c>
      <c r="I1167">
        <v>50</v>
      </c>
      <c r="J1167">
        <v>49.975395202999998</v>
      </c>
      <c r="K1167">
        <v>0</v>
      </c>
      <c r="L1167">
        <v>1058.6323242000001</v>
      </c>
      <c r="M1167">
        <v>2400</v>
      </c>
      <c r="N1167">
        <v>0</v>
      </c>
    </row>
    <row r="1168" spans="1:14" x14ac:dyDescent="0.25">
      <c r="A1168">
        <v>1363.4178810000001</v>
      </c>
      <c r="B1168" s="1">
        <f>DATE(2014,1,23) + TIME(10,1,44)</f>
        <v>41662.417870370373</v>
      </c>
      <c r="C1168">
        <v>576.67895508000004</v>
      </c>
      <c r="D1168">
        <v>101.32499695</v>
      </c>
      <c r="E1168">
        <v>7740.7207030999998</v>
      </c>
      <c r="F1168">
        <v>5827.9819336</v>
      </c>
      <c r="G1168">
        <v>80</v>
      </c>
      <c r="H1168">
        <v>74.320755004999995</v>
      </c>
      <c r="I1168">
        <v>50</v>
      </c>
      <c r="J1168">
        <v>49.975471497000001</v>
      </c>
      <c r="K1168">
        <v>0</v>
      </c>
      <c r="L1168">
        <v>1056.8590088000001</v>
      </c>
      <c r="M1168">
        <v>2400</v>
      </c>
      <c r="N1168">
        <v>0</v>
      </c>
    </row>
    <row r="1169" spans="1:14" x14ac:dyDescent="0.25">
      <c r="A1169">
        <v>1368.1576339999999</v>
      </c>
      <c r="B1169" s="1">
        <f>DATE(2014,1,28) + TIME(3,46,59)</f>
        <v>41667.157627314817</v>
      </c>
      <c r="C1169">
        <v>576.26470946999996</v>
      </c>
      <c r="D1169">
        <v>101.32499695</v>
      </c>
      <c r="E1169">
        <v>7739.1186522999997</v>
      </c>
      <c r="F1169">
        <v>5826.2675780999998</v>
      </c>
      <c r="G1169">
        <v>80</v>
      </c>
      <c r="H1169">
        <v>74.057319641000007</v>
      </c>
      <c r="I1169">
        <v>50</v>
      </c>
      <c r="J1169">
        <v>49.975547790999997</v>
      </c>
      <c r="K1169">
        <v>0</v>
      </c>
      <c r="L1169">
        <v>1055.0164795000001</v>
      </c>
      <c r="M1169">
        <v>2400</v>
      </c>
      <c r="N1169">
        <v>0</v>
      </c>
    </row>
    <row r="1170" spans="1:14" x14ac:dyDescent="0.25">
      <c r="A1170">
        <v>1372</v>
      </c>
      <c r="B1170" s="1">
        <f>DATE(2014,2,1) + TIME(0,0,0)</f>
        <v>41671</v>
      </c>
      <c r="C1170">
        <v>575.78472899999997</v>
      </c>
      <c r="D1170">
        <v>101.32499695</v>
      </c>
      <c r="E1170">
        <v>7737.5888672000001</v>
      </c>
      <c r="F1170">
        <v>5824.6362305000002</v>
      </c>
      <c r="G1170">
        <v>80</v>
      </c>
      <c r="H1170">
        <v>73.811050414999997</v>
      </c>
      <c r="I1170">
        <v>50</v>
      </c>
      <c r="J1170">
        <v>49.975601196</v>
      </c>
      <c r="K1170">
        <v>0</v>
      </c>
      <c r="L1170">
        <v>1053.1218262</v>
      </c>
      <c r="M1170">
        <v>2400</v>
      </c>
      <c r="N1170">
        <v>0</v>
      </c>
    </row>
    <row r="1171" spans="1:14" x14ac:dyDescent="0.25">
      <c r="A1171">
        <v>1376.7830650000001</v>
      </c>
      <c r="B1171" s="1">
        <f>DATE(2014,2,5) + TIME(18,47,36)</f>
        <v>41675.783055555556</v>
      </c>
      <c r="C1171">
        <v>575.56378173999997</v>
      </c>
      <c r="D1171">
        <v>101.32499695</v>
      </c>
      <c r="E1171">
        <v>7736.2758789</v>
      </c>
      <c r="F1171">
        <v>5823.2495116999999</v>
      </c>
      <c r="G1171">
        <v>80</v>
      </c>
      <c r="H1171">
        <v>73.565689086999996</v>
      </c>
      <c r="I1171">
        <v>50</v>
      </c>
      <c r="J1171">
        <v>49.975685120000001</v>
      </c>
      <c r="K1171">
        <v>0</v>
      </c>
      <c r="L1171">
        <v>1051.5010986</v>
      </c>
      <c r="M1171">
        <v>2400</v>
      </c>
      <c r="N1171">
        <v>0</v>
      </c>
    </row>
    <row r="1172" spans="1:14" x14ac:dyDescent="0.25">
      <c r="A1172">
        <v>1381.7027780000001</v>
      </c>
      <c r="B1172" s="1">
        <f>DATE(2014,2,10) + TIME(16,52,0)</f>
        <v>41680.702777777777</v>
      </c>
      <c r="C1172">
        <v>575.16461182</v>
      </c>
      <c r="D1172">
        <v>101.32499695</v>
      </c>
      <c r="E1172">
        <v>7734.7988280999998</v>
      </c>
      <c r="F1172">
        <v>5821.6889647999997</v>
      </c>
      <c r="G1172">
        <v>80</v>
      </c>
      <c r="H1172">
        <v>73.303329468000001</v>
      </c>
      <c r="I1172">
        <v>50</v>
      </c>
      <c r="J1172">
        <v>49.975757598999998</v>
      </c>
      <c r="K1172">
        <v>0</v>
      </c>
      <c r="L1172">
        <v>1049.496582</v>
      </c>
      <c r="M1172">
        <v>2400</v>
      </c>
      <c r="N1172">
        <v>0</v>
      </c>
    </row>
    <row r="1173" spans="1:14" x14ac:dyDescent="0.25">
      <c r="A1173">
        <v>1386.729331</v>
      </c>
      <c r="B1173" s="1">
        <f>DATE(2014,2,15) + TIME(17,30,14)</f>
        <v>41685.729328703703</v>
      </c>
      <c r="C1173">
        <v>574.78393555000002</v>
      </c>
      <c r="D1173">
        <v>101.32499695</v>
      </c>
      <c r="E1173">
        <v>7733.3168944999998</v>
      </c>
      <c r="F1173">
        <v>5820.1293944999998</v>
      </c>
      <c r="G1173">
        <v>80</v>
      </c>
      <c r="H1173">
        <v>73.030952454000001</v>
      </c>
      <c r="I1173">
        <v>50</v>
      </c>
      <c r="J1173">
        <v>49.975833893000001</v>
      </c>
      <c r="K1173">
        <v>0</v>
      </c>
      <c r="L1173">
        <v>1047.3756103999999</v>
      </c>
      <c r="M1173">
        <v>2400</v>
      </c>
      <c r="N1173">
        <v>0</v>
      </c>
    </row>
    <row r="1174" spans="1:14" x14ac:dyDescent="0.25">
      <c r="A1174">
        <v>1391.8349020000001</v>
      </c>
      <c r="B1174" s="1">
        <f>DATE(2014,2,20) + TIME(20,2,15)</f>
        <v>41690.83489583333</v>
      </c>
      <c r="C1174">
        <v>574.42327881000006</v>
      </c>
      <c r="D1174">
        <v>101.32499695</v>
      </c>
      <c r="E1174">
        <v>7731.8520508000001</v>
      </c>
      <c r="F1174">
        <v>5818.5932616999999</v>
      </c>
      <c r="G1174">
        <v>80</v>
      </c>
      <c r="H1174">
        <v>72.751586914000001</v>
      </c>
      <c r="I1174">
        <v>50</v>
      </c>
      <c r="J1174">
        <v>49.975910186999997</v>
      </c>
      <c r="K1174">
        <v>0</v>
      </c>
      <c r="L1174">
        <v>1045.1478271000001</v>
      </c>
      <c r="M1174">
        <v>2400</v>
      </c>
      <c r="N1174">
        <v>0</v>
      </c>
    </row>
    <row r="1175" spans="1:14" x14ac:dyDescent="0.25">
      <c r="A1175">
        <v>1396.9947649999999</v>
      </c>
      <c r="B1175" s="1">
        <f>DATE(2014,2,25) + TIME(23,52,27)</f>
        <v>41695.994756944441</v>
      </c>
      <c r="C1175">
        <v>574.08703613</v>
      </c>
      <c r="D1175">
        <v>101.32499695</v>
      </c>
      <c r="E1175">
        <v>7730.4165039</v>
      </c>
      <c r="F1175">
        <v>5817.0927733999997</v>
      </c>
      <c r="G1175">
        <v>80</v>
      </c>
      <c r="H1175">
        <v>72.466850281000006</v>
      </c>
      <c r="I1175">
        <v>50</v>
      </c>
      <c r="J1175">
        <v>49.975986481</v>
      </c>
      <c r="K1175">
        <v>0</v>
      </c>
      <c r="L1175">
        <v>1042.8186035000001</v>
      </c>
      <c r="M1175">
        <v>2400</v>
      </c>
      <c r="N1175">
        <v>0</v>
      </c>
    </row>
    <row r="1176" spans="1:14" x14ac:dyDescent="0.25">
      <c r="A1176">
        <v>1400</v>
      </c>
      <c r="B1176" s="1">
        <f>DATE(2014,3,1) + TIME(0,0,0)</f>
        <v>41699</v>
      </c>
      <c r="C1176">
        <v>573.56652831999997</v>
      </c>
      <c r="D1176">
        <v>101.32499695</v>
      </c>
      <c r="E1176">
        <v>7729.1176758000001</v>
      </c>
      <c r="F1176">
        <v>5815.7338866999999</v>
      </c>
      <c r="G1176">
        <v>80</v>
      </c>
      <c r="H1176">
        <v>72.231697083</v>
      </c>
      <c r="I1176">
        <v>50</v>
      </c>
      <c r="J1176">
        <v>49.976013184000003</v>
      </c>
      <c r="K1176">
        <v>0</v>
      </c>
      <c r="L1176">
        <v>1040.4444579999999</v>
      </c>
      <c r="M1176">
        <v>2400</v>
      </c>
      <c r="N1176">
        <v>0</v>
      </c>
    </row>
    <row r="1177" spans="1:14" x14ac:dyDescent="0.25">
      <c r="A1177">
        <v>1405.2397229999999</v>
      </c>
      <c r="B1177" s="1">
        <f>DATE(2014,3,6) + TIME(5,45,12)</f>
        <v>41704.239722222221</v>
      </c>
      <c r="C1177">
        <v>573.70715331999997</v>
      </c>
      <c r="D1177">
        <v>101.32499695</v>
      </c>
      <c r="E1177">
        <v>7728.1777344000002</v>
      </c>
      <c r="F1177">
        <v>5814.7636719000002</v>
      </c>
      <c r="G1177">
        <v>80</v>
      </c>
      <c r="H1177">
        <v>71.985702515</v>
      </c>
      <c r="I1177">
        <v>50</v>
      </c>
      <c r="J1177">
        <v>49.976112366000002</v>
      </c>
      <c r="K1177">
        <v>0</v>
      </c>
      <c r="L1177">
        <v>1038.9075928</v>
      </c>
      <c r="M1177">
        <v>2400</v>
      </c>
      <c r="N1177">
        <v>0</v>
      </c>
    </row>
    <row r="1178" spans="1:14" x14ac:dyDescent="0.25">
      <c r="A1178">
        <v>1410.652695</v>
      </c>
      <c r="B1178" s="1">
        <f>DATE(2014,3,11) + TIME(15,39,52)</f>
        <v>41709.652685185189</v>
      </c>
      <c r="C1178">
        <v>573.41101074000005</v>
      </c>
      <c r="D1178">
        <v>101.32499695</v>
      </c>
      <c r="E1178">
        <v>7726.8818358999997</v>
      </c>
      <c r="F1178">
        <v>5813.4150391000003</v>
      </c>
      <c r="G1178">
        <v>80</v>
      </c>
      <c r="H1178">
        <v>71.701049804999997</v>
      </c>
      <c r="I1178">
        <v>50</v>
      </c>
      <c r="J1178">
        <v>49.976184844999999</v>
      </c>
      <c r="K1178">
        <v>0</v>
      </c>
      <c r="L1178">
        <v>1036.3425293</v>
      </c>
      <c r="M1178">
        <v>2400</v>
      </c>
      <c r="N1178">
        <v>0</v>
      </c>
    </row>
    <row r="1179" spans="1:14" x14ac:dyDescent="0.25">
      <c r="A1179">
        <v>1416.1320969999999</v>
      </c>
      <c r="B1179" s="1">
        <f>DATE(2014,3,17) + TIME(3,10,13)</f>
        <v>41715.132094907407</v>
      </c>
      <c r="C1179">
        <v>573.17382812000005</v>
      </c>
      <c r="D1179">
        <v>101.32499695</v>
      </c>
      <c r="E1179">
        <v>7725.5625</v>
      </c>
      <c r="F1179">
        <v>5812.0478516000003</v>
      </c>
      <c r="G1179">
        <v>80</v>
      </c>
      <c r="H1179">
        <v>71.397476196</v>
      </c>
      <c r="I1179">
        <v>50</v>
      </c>
      <c r="J1179">
        <v>49.976261139000002</v>
      </c>
      <c r="K1179">
        <v>0</v>
      </c>
      <c r="L1179">
        <v>1033.5944824000001</v>
      </c>
      <c r="M1179">
        <v>2400</v>
      </c>
      <c r="N1179">
        <v>0</v>
      </c>
    </row>
    <row r="1180" spans="1:14" x14ac:dyDescent="0.25">
      <c r="A1180">
        <v>1421.6821689999999</v>
      </c>
      <c r="B1180" s="1">
        <f>DATE(2014,3,22) + TIME(16,22,19)</f>
        <v>41720.682164351849</v>
      </c>
      <c r="C1180">
        <v>572.99627685999997</v>
      </c>
      <c r="D1180">
        <v>101.32499695</v>
      </c>
      <c r="E1180">
        <v>7724.2705077999999</v>
      </c>
      <c r="F1180">
        <v>5810.7104491999999</v>
      </c>
      <c r="G1180">
        <v>80</v>
      </c>
      <c r="H1180">
        <v>71.083251953000001</v>
      </c>
      <c r="I1180">
        <v>50</v>
      </c>
      <c r="J1180">
        <v>49.976333617999998</v>
      </c>
      <c r="K1180">
        <v>0</v>
      </c>
      <c r="L1180">
        <v>1030.7207031</v>
      </c>
      <c r="M1180">
        <v>2400</v>
      </c>
      <c r="N1180">
        <v>0</v>
      </c>
    </row>
    <row r="1181" spans="1:14" x14ac:dyDescent="0.25">
      <c r="A1181">
        <v>1427.3309549999999</v>
      </c>
      <c r="B1181" s="1">
        <f>DATE(2014,3,28) + TIME(7,56,34)</f>
        <v>41726.330949074072</v>
      </c>
      <c r="C1181">
        <v>572.87335204999999</v>
      </c>
      <c r="D1181">
        <v>101.32499695</v>
      </c>
      <c r="E1181">
        <v>7723.0151366999999</v>
      </c>
      <c r="F1181">
        <v>5809.4140625</v>
      </c>
      <c r="G1181">
        <v>80</v>
      </c>
      <c r="H1181">
        <v>70.759910583000007</v>
      </c>
      <c r="I1181">
        <v>50</v>
      </c>
      <c r="J1181">
        <v>49.976413727000001</v>
      </c>
      <c r="K1181">
        <v>0</v>
      </c>
      <c r="L1181">
        <v>1027.7194824000001</v>
      </c>
      <c r="M1181">
        <v>2400</v>
      </c>
      <c r="N1181">
        <v>0</v>
      </c>
    </row>
    <row r="1182" spans="1:14" x14ac:dyDescent="0.25">
      <c r="A1182">
        <v>1431</v>
      </c>
      <c r="B1182" s="1">
        <f>DATE(2014,4,1) + TIME(0,0,0)</f>
        <v>41730</v>
      </c>
      <c r="C1182">
        <v>572.57525635000002</v>
      </c>
      <c r="D1182">
        <v>101.32499695</v>
      </c>
      <c r="E1182">
        <v>7721.8300780999998</v>
      </c>
      <c r="F1182">
        <v>5808.1899414</v>
      </c>
      <c r="G1182">
        <v>80</v>
      </c>
      <c r="H1182">
        <v>70.475349425999994</v>
      </c>
      <c r="I1182">
        <v>50</v>
      </c>
      <c r="J1182">
        <v>49.976451873999999</v>
      </c>
      <c r="K1182">
        <v>0</v>
      </c>
      <c r="L1182">
        <v>1024.6165771000001</v>
      </c>
      <c r="M1182">
        <v>2400</v>
      </c>
      <c r="N1182">
        <v>0</v>
      </c>
    </row>
    <row r="1183" spans="1:14" x14ac:dyDescent="0.25">
      <c r="A1183">
        <v>1436.7680049999999</v>
      </c>
      <c r="B1183" s="1">
        <f>DATE(2014,4,6) + TIME(18,25,55)</f>
        <v>41735.767997685187</v>
      </c>
      <c r="C1183">
        <v>572.88555908000001</v>
      </c>
      <c r="D1183">
        <v>101.32499695</v>
      </c>
      <c r="E1183">
        <v>7720.9892577999999</v>
      </c>
      <c r="F1183">
        <v>5807.3271483999997</v>
      </c>
      <c r="G1183">
        <v>80</v>
      </c>
      <c r="H1183">
        <v>70.186607361</v>
      </c>
      <c r="I1183">
        <v>50</v>
      </c>
      <c r="J1183">
        <v>49.976547240999999</v>
      </c>
      <c r="K1183">
        <v>0</v>
      </c>
      <c r="L1183">
        <v>1022.4476318</v>
      </c>
      <c r="M1183">
        <v>2400</v>
      </c>
      <c r="N1183">
        <v>0</v>
      </c>
    </row>
    <row r="1184" spans="1:14" x14ac:dyDescent="0.25">
      <c r="A1184">
        <v>1442.6570139999999</v>
      </c>
      <c r="B1184" s="1">
        <f>DATE(2014,4,12) + TIME(15,46,6)</f>
        <v>41741.657013888886</v>
      </c>
      <c r="C1184">
        <v>572.84094238</v>
      </c>
      <c r="D1184">
        <v>101.32499695</v>
      </c>
      <c r="E1184">
        <v>7719.8486327999999</v>
      </c>
      <c r="F1184">
        <v>5806.1508789</v>
      </c>
      <c r="G1184">
        <v>80</v>
      </c>
      <c r="H1184">
        <v>69.853553771999998</v>
      </c>
      <c r="I1184">
        <v>50</v>
      </c>
      <c r="J1184">
        <v>49.976615905999999</v>
      </c>
      <c r="K1184">
        <v>0</v>
      </c>
      <c r="L1184">
        <v>1019.1100464</v>
      </c>
      <c r="M1184">
        <v>2400</v>
      </c>
      <c r="N1184">
        <v>0</v>
      </c>
    </row>
    <row r="1185" spans="1:14" x14ac:dyDescent="0.25">
      <c r="A1185">
        <v>1448.648578</v>
      </c>
      <c r="B1185" s="1">
        <f>DATE(2014,4,18) + TIME(15,33,57)</f>
        <v>41747.648576388892</v>
      </c>
      <c r="C1185">
        <v>572.90002441000001</v>
      </c>
      <c r="D1185">
        <v>101.32499695</v>
      </c>
      <c r="E1185">
        <v>7718.7050780999998</v>
      </c>
      <c r="F1185">
        <v>5804.9765625</v>
      </c>
      <c r="G1185">
        <v>80</v>
      </c>
      <c r="H1185">
        <v>69.499061584000003</v>
      </c>
      <c r="I1185">
        <v>50</v>
      </c>
      <c r="J1185">
        <v>49.976696013999998</v>
      </c>
      <c r="K1185">
        <v>0</v>
      </c>
      <c r="L1185">
        <v>1015.5979614</v>
      </c>
      <c r="M1185">
        <v>2400</v>
      </c>
      <c r="N1185">
        <v>0</v>
      </c>
    </row>
    <row r="1186" spans="1:14" x14ac:dyDescent="0.25">
      <c r="A1186">
        <v>1454.767971</v>
      </c>
      <c r="B1186" s="1">
        <f>DATE(2014,4,24) + TIME(18,25,52)</f>
        <v>41753.767962962964</v>
      </c>
      <c r="C1186">
        <v>573.03796387</v>
      </c>
      <c r="D1186">
        <v>101.32499695</v>
      </c>
      <c r="E1186">
        <v>7717.5786133000001</v>
      </c>
      <c r="F1186">
        <v>5803.8183594000002</v>
      </c>
      <c r="G1186">
        <v>80</v>
      </c>
      <c r="H1186">
        <v>69.130081176999994</v>
      </c>
      <c r="I1186">
        <v>50</v>
      </c>
      <c r="J1186">
        <v>49.976768493999998</v>
      </c>
      <c r="K1186">
        <v>0</v>
      </c>
      <c r="L1186">
        <v>1011.9370117</v>
      </c>
      <c r="M1186">
        <v>2400</v>
      </c>
      <c r="N1186">
        <v>0</v>
      </c>
    </row>
    <row r="1187" spans="1:14" x14ac:dyDescent="0.25">
      <c r="A1187">
        <v>1461</v>
      </c>
      <c r="B1187" s="1">
        <f>DATE(2014,5,1) + TIME(0,0,0)</f>
        <v>41760</v>
      </c>
      <c r="C1187">
        <v>573.24194336000005</v>
      </c>
      <c r="D1187">
        <v>101.32499695</v>
      </c>
      <c r="E1187">
        <v>7716.4799805000002</v>
      </c>
      <c r="F1187">
        <v>5802.6933594000002</v>
      </c>
      <c r="G1187">
        <v>80</v>
      </c>
      <c r="H1187">
        <v>68.748199463000006</v>
      </c>
      <c r="I1187">
        <v>50</v>
      </c>
      <c r="J1187">
        <v>49.976856232000003</v>
      </c>
      <c r="K1187">
        <v>0</v>
      </c>
      <c r="L1187">
        <v>1008.1177979</v>
      </c>
      <c r="M1187">
        <v>2400</v>
      </c>
      <c r="N1187">
        <v>0</v>
      </c>
    </row>
    <row r="1188" spans="1:14" x14ac:dyDescent="0.25">
      <c r="A1188">
        <v>1461.0000010000001</v>
      </c>
      <c r="B1188" s="1">
        <f>DATE(2014,5,1) + TIME(0,0,0)</f>
        <v>41760</v>
      </c>
      <c r="C1188">
        <v>1792.9334716999999</v>
      </c>
      <c r="D1188">
        <v>573.77770996000004</v>
      </c>
      <c r="E1188">
        <v>5801.7832030999998</v>
      </c>
      <c r="F1188">
        <v>3882.4875487999998</v>
      </c>
      <c r="G1188">
        <v>80</v>
      </c>
      <c r="H1188">
        <v>68.748283385999997</v>
      </c>
      <c r="I1188">
        <v>50</v>
      </c>
      <c r="J1188">
        <v>49.976737976000003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1461.000004</v>
      </c>
      <c r="B1189" s="1">
        <f>DATE(2014,5,1) + TIME(0,0,0)</f>
        <v>41760</v>
      </c>
      <c r="C1189">
        <v>1794.9008789</v>
      </c>
      <c r="D1189">
        <v>575.38262939000003</v>
      </c>
      <c r="E1189">
        <v>5799.0556641000003</v>
      </c>
      <c r="F1189">
        <v>3879.7478027000002</v>
      </c>
      <c r="G1189">
        <v>80</v>
      </c>
      <c r="H1189">
        <v>68.748535156000003</v>
      </c>
      <c r="I1189">
        <v>50</v>
      </c>
      <c r="J1189">
        <v>49.976379395000002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1461.0000130000001</v>
      </c>
      <c r="B1190" s="1">
        <f>DATE(2014,5,1) + TIME(0,0,1)</f>
        <v>41760.000011574077</v>
      </c>
      <c r="C1190">
        <v>1800.7698975000001</v>
      </c>
      <c r="D1190">
        <v>580.17578125</v>
      </c>
      <c r="E1190">
        <v>5790.9052733999997</v>
      </c>
      <c r="F1190">
        <v>3871.5607909999999</v>
      </c>
      <c r="G1190">
        <v>80</v>
      </c>
      <c r="H1190">
        <v>68.749290466000005</v>
      </c>
      <c r="I1190">
        <v>50</v>
      </c>
      <c r="J1190">
        <v>49.975311279000003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1461.0000399999999</v>
      </c>
      <c r="B1191" s="1">
        <f>DATE(2014,5,1) + TIME(0,0,3)</f>
        <v>41760.000034722223</v>
      </c>
      <c r="C1191">
        <v>1818.0819091999999</v>
      </c>
      <c r="D1191">
        <v>594.36370850000003</v>
      </c>
      <c r="E1191">
        <v>5766.7382811999996</v>
      </c>
      <c r="F1191">
        <v>3847.2858887000002</v>
      </c>
      <c r="G1191">
        <v>80</v>
      </c>
      <c r="H1191">
        <v>68.751518250000004</v>
      </c>
      <c r="I1191">
        <v>50</v>
      </c>
      <c r="J1191">
        <v>49.972137451000002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1461.000121</v>
      </c>
      <c r="B1192" s="1">
        <f>DATE(2014,5,1) + TIME(0,0,10)</f>
        <v>41760.000115740739</v>
      </c>
      <c r="C1192">
        <v>1867.5324707</v>
      </c>
      <c r="D1192">
        <v>635.28637694999998</v>
      </c>
      <c r="E1192">
        <v>5696.6860352000003</v>
      </c>
      <c r="F1192">
        <v>3776.9216308999999</v>
      </c>
      <c r="G1192">
        <v>80</v>
      </c>
      <c r="H1192">
        <v>68.757987975999995</v>
      </c>
      <c r="I1192">
        <v>50</v>
      </c>
      <c r="J1192">
        <v>49.962944030999999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1461.000364</v>
      </c>
      <c r="B1193" s="1">
        <f>DATE(2014,5,1) + TIME(0,0,31)</f>
        <v>41760.000358796293</v>
      </c>
      <c r="C1193">
        <v>1997.2196045000001</v>
      </c>
      <c r="D1193">
        <v>745.19354248000002</v>
      </c>
      <c r="E1193">
        <v>5505.8740233999997</v>
      </c>
      <c r="F1193">
        <v>3585.2663573999998</v>
      </c>
      <c r="G1193">
        <v>80</v>
      </c>
      <c r="H1193">
        <v>68.775733947999996</v>
      </c>
      <c r="I1193">
        <v>50</v>
      </c>
      <c r="J1193">
        <v>49.937931061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1461.0010930000001</v>
      </c>
      <c r="B1194" s="1">
        <f>DATE(2014,5,1) + TIME(0,1,34)</f>
        <v>41760.001087962963</v>
      </c>
      <c r="C1194">
        <v>2278.4355469000002</v>
      </c>
      <c r="D1194">
        <v>994.35797118999994</v>
      </c>
      <c r="E1194">
        <v>5058.0356444999998</v>
      </c>
      <c r="F1194">
        <v>3135.4960937999999</v>
      </c>
      <c r="G1194">
        <v>80</v>
      </c>
      <c r="H1194">
        <v>68.818389893000003</v>
      </c>
      <c r="I1194">
        <v>50</v>
      </c>
      <c r="J1194">
        <v>49.879444122000002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1461.00272</v>
      </c>
      <c r="B1195" s="1">
        <f>DATE(2014,5,1) + TIME(0,3,55)</f>
        <v>41760.00271990741</v>
      </c>
      <c r="C1195">
        <v>2650.7861327999999</v>
      </c>
      <c r="D1195">
        <v>1340.5732422000001</v>
      </c>
      <c r="E1195">
        <v>4401.8818358999997</v>
      </c>
      <c r="F1195">
        <v>2476.6298827999999</v>
      </c>
      <c r="G1195">
        <v>80</v>
      </c>
      <c r="H1195">
        <v>68.885482788000004</v>
      </c>
      <c r="I1195">
        <v>50</v>
      </c>
      <c r="J1195">
        <v>49.794258118000002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1461.0052000000001</v>
      </c>
      <c r="B1196" s="1">
        <f>DATE(2014,5,1) + TIME(0,7,29)</f>
        <v>41760.005196759259</v>
      </c>
      <c r="C1196">
        <v>2974.0712890999998</v>
      </c>
      <c r="D1196">
        <v>1651.2528076000001</v>
      </c>
      <c r="E1196">
        <v>3785.9946289</v>
      </c>
      <c r="F1196">
        <v>1858.3864745999999</v>
      </c>
      <c r="G1196">
        <v>80</v>
      </c>
      <c r="H1196">
        <v>68.958381653000004</v>
      </c>
      <c r="I1196">
        <v>50</v>
      </c>
      <c r="J1196">
        <v>49.714962006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1461.0092259999999</v>
      </c>
      <c r="B1197" s="1">
        <f>DATE(2014,5,1) + TIME(0,13,17)</f>
        <v>41760.00922453704</v>
      </c>
      <c r="C1197">
        <v>3267.6318359000002</v>
      </c>
      <c r="D1197">
        <v>1938.6672363</v>
      </c>
      <c r="E1197">
        <v>3201.4274902000002</v>
      </c>
      <c r="F1197">
        <v>1271.6984863</v>
      </c>
      <c r="G1197">
        <v>80</v>
      </c>
      <c r="H1197">
        <v>69.047035217000001</v>
      </c>
      <c r="I1197">
        <v>50</v>
      </c>
      <c r="J1197">
        <v>49.640552520999996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1461.016112</v>
      </c>
      <c r="B1198" s="1">
        <f>DATE(2014,5,1) + TIME(0,23,12)</f>
        <v>41760.016111111108</v>
      </c>
      <c r="C1198">
        <v>3548.7226562000001</v>
      </c>
      <c r="D1198">
        <v>2216.6748047000001</v>
      </c>
      <c r="E1198">
        <v>2633.2463379000001</v>
      </c>
      <c r="F1198">
        <v>701.59484863</v>
      </c>
      <c r="G1198">
        <v>80</v>
      </c>
      <c r="H1198">
        <v>69.168807982999994</v>
      </c>
      <c r="I1198">
        <v>50</v>
      </c>
      <c r="J1198">
        <v>49.569465637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1461.028229</v>
      </c>
      <c r="B1199" s="1">
        <f>DATE(2014,5,1) + TIME(0,40,38)</f>
        <v>41760.028217592589</v>
      </c>
      <c r="C1199">
        <v>3827.5673827999999</v>
      </c>
      <c r="D1199">
        <v>2494.5925293</v>
      </c>
      <c r="E1199">
        <v>2068.7312012000002</v>
      </c>
      <c r="F1199">
        <v>135.35452271</v>
      </c>
      <c r="G1199">
        <v>80</v>
      </c>
      <c r="H1199">
        <v>69.351989746000001</v>
      </c>
      <c r="I1199">
        <v>50</v>
      </c>
      <c r="J1199">
        <v>49.500740051000001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1461.0496889999999</v>
      </c>
      <c r="B1200" s="1">
        <f>DATE(2014,5,1) + TIME(1,11,33)</f>
        <v>41760.049687500003</v>
      </c>
      <c r="C1200">
        <v>4107.3999022999997</v>
      </c>
      <c r="D1200">
        <v>2775.7145995999999</v>
      </c>
      <c r="E1200">
        <v>1502.9345702999999</v>
      </c>
      <c r="F1200">
        <v>-431.92474364999998</v>
      </c>
      <c r="G1200">
        <v>80</v>
      </c>
      <c r="H1200">
        <v>69.640983582000004</v>
      </c>
      <c r="I1200">
        <v>50</v>
      </c>
      <c r="J1200">
        <v>49.434844970999997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1461.0876109999999</v>
      </c>
      <c r="B1201" s="1">
        <f>DATE(2014,5,1) + TIME(2,6,9)</f>
        <v>41760.087604166663</v>
      </c>
      <c r="C1201">
        <v>4388.6376952999999</v>
      </c>
      <c r="D1201">
        <v>3060.8073730000001</v>
      </c>
      <c r="E1201">
        <v>1463.8908690999999</v>
      </c>
      <c r="F1201">
        <v>101.32499695</v>
      </c>
      <c r="G1201">
        <v>80</v>
      </c>
      <c r="H1201">
        <v>70.103683472</v>
      </c>
      <c r="I1201">
        <v>50</v>
      </c>
      <c r="J1201">
        <v>49.434768677000001</v>
      </c>
      <c r="K1201">
        <v>2400</v>
      </c>
      <c r="L1201">
        <v>0</v>
      </c>
      <c r="M1201">
        <v>0</v>
      </c>
      <c r="N1201">
        <v>1834.3712158000001</v>
      </c>
    </row>
    <row r="1202" spans="1:14" x14ac:dyDescent="0.25">
      <c r="A1202">
        <v>1461.166334</v>
      </c>
      <c r="B1202" s="1">
        <f>DATE(2014,5,1) + TIME(3,59,31)</f>
        <v>41760.166331018518</v>
      </c>
      <c r="C1202">
        <v>4703.4482422000001</v>
      </c>
      <c r="D1202">
        <v>3383.7568359000002</v>
      </c>
      <c r="E1202">
        <v>1258.6671143000001</v>
      </c>
      <c r="F1202">
        <v>101.32499695</v>
      </c>
      <c r="G1202">
        <v>80</v>
      </c>
      <c r="H1202">
        <v>70.954330443999993</v>
      </c>
      <c r="I1202">
        <v>50</v>
      </c>
      <c r="J1202">
        <v>49.416084290000001</v>
      </c>
      <c r="K1202">
        <v>2400</v>
      </c>
      <c r="L1202">
        <v>0</v>
      </c>
      <c r="M1202">
        <v>0</v>
      </c>
      <c r="N1202">
        <v>1560.6306152</v>
      </c>
    </row>
    <row r="1203" spans="1:14" x14ac:dyDescent="0.25">
      <c r="A1203">
        <v>1461.2555970000001</v>
      </c>
      <c r="B1203" s="1">
        <f>DATE(2014,5,1) + TIME(6,8,3)</f>
        <v>41760.255590277775</v>
      </c>
      <c r="C1203">
        <v>4926.6118164</v>
      </c>
      <c r="D1203">
        <v>3615.2275390999998</v>
      </c>
      <c r="E1203">
        <v>1119.3190918</v>
      </c>
      <c r="F1203">
        <v>101.32499695</v>
      </c>
      <c r="G1203">
        <v>80</v>
      </c>
      <c r="H1203">
        <v>71.816474915000001</v>
      </c>
      <c r="I1203">
        <v>50</v>
      </c>
      <c r="J1203">
        <v>49.403732300000001</v>
      </c>
      <c r="K1203">
        <v>2400</v>
      </c>
      <c r="L1203">
        <v>0</v>
      </c>
      <c r="M1203">
        <v>0</v>
      </c>
      <c r="N1203">
        <v>1382.9038086</v>
      </c>
    </row>
    <row r="1204" spans="1:14" x14ac:dyDescent="0.25">
      <c r="A1204">
        <v>1461.3556470000001</v>
      </c>
      <c r="B1204" s="1">
        <f>DATE(2014,5,1) + TIME(8,32,7)</f>
        <v>41760.355636574073</v>
      </c>
      <c r="C1204">
        <v>5097.234375</v>
      </c>
      <c r="D1204">
        <v>3793.9780273000001</v>
      </c>
      <c r="E1204">
        <v>1019.770752</v>
      </c>
      <c r="F1204">
        <v>101.32499695</v>
      </c>
      <c r="G1204">
        <v>80</v>
      </c>
      <c r="H1204">
        <v>72.677162170000003</v>
      </c>
      <c r="I1204">
        <v>50</v>
      </c>
      <c r="J1204">
        <v>49.395019531000003</v>
      </c>
      <c r="K1204">
        <v>2400</v>
      </c>
      <c r="L1204">
        <v>0</v>
      </c>
      <c r="M1204">
        <v>0</v>
      </c>
      <c r="N1204">
        <v>1257.4603271000001</v>
      </c>
    </row>
    <row r="1205" spans="1:14" x14ac:dyDescent="0.25">
      <c r="A1205">
        <v>1461.468024</v>
      </c>
      <c r="B1205" s="1">
        <f>DATE(2014,5,1) + TIME(11,13,57)</f>
        <v>41760.46802083333</v>
      </c>
      <c r="C1205">
        <v>5234.5957030999998</v>
      </c>
      <c r="D1205">
        <v>3939.1757812000001</v>
      </c>
      <c r="E1205">
        <v>943.94384765999996</v>
      </c>
      <c r="F1205">
        <v>101.32499695</v>
      </c>
      <c r="G1205">
        <v>80</v>
      </c>
      <c r="H1205">
        <v>73.530105590999995</v>
      </c>
      <c r="I1205">
        <v>50</v>
      </c>
      <c r="J1205">
        <v>49.388256073000001</v>
      </c>
      <c r="K1205">
        <v>2400</v>
      </c>
      <c r="L1205">
        <v>0</v>
      </c>
      <c r="M1205">
        <v>0</v>
      </c>
      <c r="N1205">
        <v>1162.4815673999999</v>
      </c>
    </row>
    <row r="1206" spans="1:14" x14ac:dyDescent="0.25">
      <c r="A1206">
        <v>1461.5953549999999</v>
      </c>
      <c r="B1206" s="1">
        <f>DATE(2014,5,1) + TIME(14,17,18)</f>
        <v>41760.595347222225</v>
      </c>
      <c r="C1206">
        <v>5349.5297852000003</v>
      </c>
      <c r="D1206">
        <v>4061.6040039</v>
      </c>
      <c r="E1206">
        <v>883.41619873000002</v>
      </c>
      <c r="F1206">
        <v>101.32499695</v>
      </c>
      <c r="G1206">
        <v>80</v>
      </c>
      <c r="H1206">
        <v>74.371131896999998</v>
      </c>
      <c r="I1206">
        <v>50</v>
      </c>
      <c r="J1206">
        <v>49.382549286</v>
      </c>
      <c r="K1206">
        <v>2400</v>
      </c>
      <c r="L1206">
        <v>0</v>
      </c>
      <c r="M1206">
        <v>0</v>
      </c>
      <c r="N1206">
        <v>1086.9440918</v>
      </c>
    </row>
    <row r="1207" spans="1:14" x14ac:dyDescent="0.25">
      <c r="A1207">
        <v>1461.741577</v>
      </c>
      <c r="B1207" s="1">
        <f>DATE(2014,5,1) + TIME(17,47,52)</f>
        <v>41760.741574074076</v>
      </c>
      <c r="C1207">
        <v>5448.9365233999997</v>
      </c>
      <c r="D1207">
        <v>4168.1269530999998</v>
      </c>
      <c r="E1207">
        <v>833.39941406000003</v>
      </c>
      <c r="F1207">
        <v>101.32499695</v>
      </c>
      <c r="G1207">
        <v>80</v>
      </c>
      <c r="H1207">
        <v>75.196083068999997</v>
      </c>
      <c r="I1207">
        <v>50</v>
      </c>
      <c r="J1207">
        <v>49.377365112</v>
      </c>
      <c r="K1207">
        <v>2400</v>
      </c>
      <c r="L1207">
        <v>0</v>
      </c>
      <c r="M1207">
        <v>0</v>
      </c>
      <c r="N1207">
        <v>1024.6721190999999</v>
      </c>
    </row>
    <row r="1208" spans="1:14" x14ac:dyDescent="0.25">
      <c r="A1208">
        <v>1461.912572</v>
      </c>
      <c r="B1208" s="1">
        <f>DATE(2014,5,1) + TIME(21,54,6)</f>
        <v>41760.912569444445</v>
      </c>
      <c r="C1208">
        <v>5537.7104491999999</v>
      </c>
      <c r="D1208">
        <v>4263.5981444999998</v>
      </c>
      <c r="E1208">
        <v>790.93939208999996</v>
      </c>
      <c r="F1208">
        <v>101.32499695</v>
      </c>
      <c r="G1208">
        <v>80</v>
      </c>
      <c r="H1208">
        <v>75.999786377000007</v>
      </c>
      <c r="I1208">
        <v>50</v>
      </c>
      <c r="J1208">
        <v>49.372303008999999</v>
      </c>
      <c r="K1208">
        <v>2400</v>
      </c>
      <c r="L1208">
        <v>0</v>
      </c>
      <c r="M1208">
        <v>0</v>
      </c>
      <c r="N1208">
        <v>971.89031981999995</v>
      </c>
    </row>
    <row r="1209" spans="1:14" x14ac:dyDescent="0.25">
      <c r="A1209">
        <v>1462.117616</v>
      </c>
      <c r="B1209" s="1">
        <f>DATE(2014,5,2) + TIME(2,49,22)</f>
        <v>41761.117615740739</v>
      </c>
      <c r="C1209">
        <v>5619.6811522999997</v>
      </c>
      <c r="D1209">
        <v>4351.8027344000002</v>
      </c>
      <c r="E1209">
        <v>754.09948729999996</v>
      </c>
      <c r="F1209">
        <v>101.32499695</v>
      </c>
      <c r="G1209">
        <v>80</v>
      </c>
      <c r="H1209">
        <v>76.776847838999998</v>
      </c>
      <c r="I1209">
        <v>50</v>
      </c>
      <c r="J1209">
        <v>49.367008208999998</v>
      </c>
      <c r="K1209">
        <v>2400</v>
      </c>
      <c r="L1209">
        <v>0</v>
      </c>
      <c r="M1209">
        <v>0</v>
      </c>
      <c r="N1209">
        <v>926.14123534999999</v>
      </c>
    </row>
    <row r="1210" spans="1:14" x14ac:dyDescent="0.25">
      <c r="A1210">
        <v>1462.3715769999999</v>
      </c>
      <c r="B1210" s="1">
        <f>DATE(2014,5,2) + TIME(8,55,4)</f>
        <v>41761.371574074074</v>
      </c>
      <c r="C1210">
        <v>5697.9301758000001</v>
      </c>
      <c r="D1210">
        <v>4435.7353516000003</v>
      </c>
      <c r="E1210">
        <v>721.67913818</v>
      </c>
      <c r="F1210">
        <v>101.32499695</v>
      </c>
      <c r="G1210">
        <v>80</v>
      </c>
      <c r="H1210">
        <v>77.517723083000007</v>
      </c>
      <c r="I1210">
        <v>50</v>
      </c>
      <c r="J1210">
        <v>49.361068725999999</v>
      </c>
      <c r="K1210">
        <v>2400</v>
      </c>
      <c r="L1210">
        <v>0</v>
      </c>
      <c r="M1210">
        <v>0</v>
      </c>
      <c r="N1210">
        <v>885.90783691000001</v>
      </c>
    </row>
    <row r="1211" spans="1:14" x14ac:dyDescent="0.25">
      <c r="A1211">
        <v>1462.6637290000001</v>
      </c>
      <c r="B1211" s="1">
        <f>DATE(2014,5,2) + TIME(15,55,46)</f>
        <v>41761.663726851853</v>
      </c>
      <c r="C1211">
        <v>5767.9956055000002</v>
      </c>
      <c r="D1211">
        <v>4510.3310547000001</v>
      </c>
      <c r="E1211">
        <v>695.35778808999999</v>
      </c>
      <c r="F1211">
        <v>101.32499695</v>
      </c>
      <c r="G1211">
        <v>80</v>
      </c>
      <c r="H1211">
        <v>78.150917053000001</v>
      </c>
      <c r="I1211">
        <v>50</v>
      </c>
      <c r="J1211">
        <v>49.354549407999997</v>
      </c>
      <c r="K1211">
        <v>2400</v>
      </c>
      <c r="L1211">
        <v>0</v>
      </c>
      <c r="M1211">
        <v>0</v>
      </c>
      <c r="N1211">
        <v>853.26165771000001</v>
      </c>
    </row>
    <row r="1212" spans="1:14" x14ac:dyDescent="0.25">
      <c r="A1212">
        <v>1462.9607249999999</v>
      </c>
      <c r="B1212" s="1">
        <f>DATE(2014,5,2) + TIME(23,3,26)</f>
        <v>41761.960717592592</v>
      </c>
      <c r="C1212">
        <v>5824.8378905999998</v>
      </c>
      <c r="D1212">
        <v>4570.2314452999999</v>
      </c>
      <c r="E1212">
        <v>676.14984131000006</v>
      </c>
      <c r="F1212">
        <v>101.32499695</v>
      </c>
      <c r="G1212">
        <v>80</v>
      </c>
      <c r="H1212">
        <v>78.626434325999995</v>
      </c>
      <c r="I1212">
        <v>50</v>
      </c>
      <c r="J1212">
        <v>49.347923279</v>
      </c>
      <c r="K1212">
        <v>2400</v>
      </c>
      <c r="L1212">
        <v>0</v>
      </c>
      <c r="M1212">
        <v>0</v>
      </c>
      <c r="N1212">
        <v>829.45202637</v>
      </c>
    </row>
    <row r="1213" spans="1:14" x14ac:dyDescent="0.25">
      <c r="A1213">
        <v>1463.2725029999999</v>
      </c>
      <c r="B1213" s="1">
        <f>DATE(2014,5,3) + TIME(6,32,24)</f>
        <v>41762.272499999999</v>
      </c>
      <c r="C1213">
        <v>5873.2368164</v>
      </c>
      <c r="D1213">
        <v>4620.7436522999997</v>
      </c>
      <c r="E1213">
        <v>661.71893310999997</v>
      </c>
      <c r="F1213">
        <v>101.32499695</v>
      </c>
      <c r="G1213">
        <v>80</v>
      </c>
      <c r="H1213">
        <v>78.990043639999996</v>
      </c>
      <c r="I1213">
        <v>50</v>
      </c>
      <c r="J1213">
        <v>49.340938567999999</v>
      </c>
      <c r="K1213">
        <v>2400</v>
      </c>
      <c r="L1213">
        <v>0</v>
      </c>
      <c r="M1213">
        <v>0</v>
      </c>
      <c r="N1213">
        <v>811.57110595999995</v>
      </c>
    </row>
    <row r="1214" spans="1:14" x14ac:dyDescent="0.25">
      <c r="A1214">
        <v>1463.604394</v>
      </c>
      <c r="B1214" s="1">
        <f>DATE(2014,5,3) + TIME(14,30,19)</f>
        <v>41762.604386574072</v>
      </c>
      <c r="C1214">
        <v>5915.1630858999997</v>
      </c>
      <c r="D1214">
        <v>4664.0507811999996</v>
      </c>
      <c r="E1214">
        <v>650.89758300999995</v>
      </c>
      <c r="F1214">
        <v>101.32499695</v>
      </c>
      <c r="G1214">
        <v>80</v>
      </c>
      <c r="H1214">
        <v>79.266822814999998</v>
      </c>
      <c r="I1214">
        <v>50</v>
      </c>
      <c r="J1214">
        <v>49.333450317</v>
      </c>
      <c r="K1214">
        <v>2400</v>
      </c>
      <c r="L1214">
        <v>0</v>
      </c>
      <c r="M1214">
        <v>0</v>
      </c>
      <c r="N1214">
        <v>798.17004395000004</v>
      </c>
    </row>
    <row r="1215" spans="1:14" x14ac:dyDescent="0.25">
      <c r="A1215">
        <v>1463.963211</v>
      </c>
      <c r="B1215" s="1">
        <f>DATE(2014,5,3) + TIME(23,7,1)</f>
        <v>41762.963206018518</v>
      </c>
      <c r="C1215">
        <v>5951.9301758000001</v>
      </c>
      <c r="D1215">
        <v>4701.6289061999996</v>
      </c>
      <c r="E1215">
        <v>642.91082763999998</v>
      </c>
      <c r="F1215">
        <v>101.32499695</v>
      </c>
      <c r="G1215">
        <v>80</v>
      </c>
      <c r="H1215">
        <v>79.475761414000004</v>
      </c>
      <c r="I1215">
        <v>50</v>
      </c>
      <c r="J1215">
        <v>49.325271606000001</v>
      </c>
      <c r="K1215">
        <v>2400</v>
      </c>
      <c r="L1215">
        <v>0</v>
      </c>
      <c r="M1215">
        <v>0</v>
      </c>
      <c r="N1215">
        <v>788.28704833999996</v>
      </c>
    </row>
    <row r="1216" spans="1:14" x14ac:dyDescent="0.25">
      <c r="A1216">
        <v>1464.3574759999999</v>
      </c>
      <c r="B1216" s="1">
        <f>DATE(2014,5,4) + TIME(8,34,45)</f>
        <v>41763.357465277775</v>
      </c>
      <c r="C1216">
        <v>5984.3901366999999</v>
      </c>
      <c r="D1216">
        <v>4734.4516602000003</v>
      </c>
      <c r="E1216">
        <v>637.22680663999995</v>
      </c>
      <c r="F1216">
        <v>101.32499695</v>
      </c>
      <c r="G1216">
        <v>80</v>
      </c>
      <c r="H1216">
        <v>79.631301879999995</v>
      </c>
      <c r="I1216">
        <v>50</v>
      </c>
      <c r="J1216">
        <v>49.316177367999998</v>
      </c>
      <c r="K1216">
        <v>2400</v>
      </c>
      <c r="L1216">
        <v>0</v>
      </c>
      <c r="M1216">
        <v>0</v>
      </c>
      <c r="N1216">
        <v>781.26184081999997</v>
      </c>
    </row>
    <row r="1217" spans="1:14" x14ac:dyDescent="0.25">
      <c r="A1217">
        <v>1464.7985249999999</v>
      </c>
      <c r="B1217" s="1">
        <f>DATE(2014,5,4) + TIME(19,9,52)</f>
        <v>41763.798518518517</v>
      </c>
      <c r="C1217">
        <v>6013.1127930000002</v>
      </c>
      <c r="D1217">
        <v>4763.1782227000003</v>
      </c>
      <c r="E1217">
        <v>633.45709228999999</v>
      </c>
      <c r="F1217">
        <v>101.32499695</v>
      </c>
      <c r="G1217">
        <v>80</v>
      </c>
      <c r="H1217">
        <v>79.744766235</v>
      </c>
      <c r="I1217">
        <v>50</v>
      </c>
      <c r="J1217">
        <v>49.305881499999998</v>
      </c>
      <c r="K1217">
        <v>2400</v>
      </c>
      <c r="L1217">
        <v>0</v>
      </c>
      <c r="M1217">
        <v>0</v>
      </c>
      <c r="N1217">
        <v>776.61230468999997</v>
      </c>
    </row>
    <row r="1218" spans="1:14" x14ac:dyDescent="0.25">
      <c r="A1218">
        <v>1465.3023700000001</v>
      </c>
      <c r="B1218" s="1">
        <f>DATE(2014,5,5) + TIME(7,15,24)</f>
        <v>41764.302361111113</v>
      </c>
      <c r="C1218">
        <v>6038.4794922000001</v>
      </c>
      <c r="D1218">
        <v>4788.2583008000001</v>
      </c>
      <c r="E1218">
        <v>631.29846191000001</v>
      </c>
      <c r="F1218">
        <v>101.32499695</v>
      </c>
      <c r="G1218">
        <v>80</v>
      </c>
      <c r="H1218">
        <v>79.825279236</v>
      </c>
      <c r="I1218">
        <v>50</v>
      </c>
      <c r="J1218">
        <v>49.293972015000001</v>
      </c>
      <c r="K1218">
        <v>2400</v>
      </c>
      <c r="L1218">
        <v>0</v>
      </c>
      <c r="M1218">
        <v>0</v>
      </c>
      <c r="N1218">
        <v>773.96136475000003</v>
      </c>
    </row>
    <row r="1219" spans="1:14" x14ac:dyDescent="0.25">
      <c r="A1219">
        <v>1465.893075</v>
      </c>
      <c r="B1219" s="1">
        <f>DATE(2014,5,5) + TIME(21,26,1)</f>
        <v>41764.893067129633</v>
      </c>
      <c r="C1219">
        <v>6060.7304688000004</v>
      </c>
      <c r="D1219">
        <v>4809.9848633000001</v>
      </c>
      <c r="E1219">
        <v>630.49420166000004</v>
      </c>
      <c r="F1219">
        <v>101.32499695</v>
      </c>
      <c r="G1219">
        <v>80</v>
      </c>
      <c r="H1219">
        <v>79.880294800000001</v>
      </c>
      <c r="I1219">
        <v>50</v>
      </c>
      <c r="J1219">
        <v>49.279861449999999</v>
      </c>
      <c r="K1219">
        <v>2400</v>
      </c>
      <c r="L1219">
        <v>0</v>
      </c>
      <c r="M1219">
        <v>0</v>
      </c>
      <c r="N1219">
        <v>772.98980713000003</v>
      </c>
    </row>
    <row r="1220" spans="1:14" x14ac:dyDescent="0.25">
      <c r="A1220">
        <v>1466.496425</v>
      </c>
      <c r="B1220" s="1">
        <f>DATE(2014,5,6) + TIME(11,54,51)</f>
        <v>41765.496423611112</v>
      </c>
      <c r="C1220">
        <v>6077.3173827999999</v>
      </c>
      <c r="D1220">
        <v>4825.8232422000001</v>
      </c>
      <c r="E1220">
        <v>630.66845703000001</v>
      </c>
      <c r="F1220">
        <v>101.32499695</v>
      </c>
      <c r="G1220">
        <v>80</v>
      </c>
      <c r="H1220">
        <v>79.912727356000005</v>
      </c>
      <c r="I1220">
        <v>50</v>
      </c>
      <c r="J1220">
        <v>49.264896393000001</v>
      </c>
      <c r="K1220">
        <v>2400</v>
      </c>
      <c r="L1220">
        <v>0</v>
      </c>
      <c r="M1220">
        <v>0</v>
      </c>
      <c r="N1220">
        <v>773.23797606999995</v>
      </c>
    </row>
    <row r="1221" spans="1:14" x14ac:dyDescent="0.25">
      <c r="A1221">
        <v>1467.110715</v>
      </c>
      <c r="B1221" s="1">
        <f>DATE(2014,5,7) + TIME(2,39,25)</f>
        <v>41766.110706018517</v>
      </c>
      <c r="C1221">
        <v>6089.7626952999999</v>
      </c>
      <c r="D1221">
        <v>4837.5131836</v>
      </c>
      <c r="E1221">
        <v>631.38299560999997</v>
      </c>
      <c r="F1221">
        <v>101.32499695</v>
      </c>
      <c r="G1221">
        <v>80</v>
      </c>
      <c r="H1221">
        <v>79.931663513000004</v>
      </c>
      <c r="I1221">
        <v>50</v>
      </c>
      <c r="J1221">
        <v>49.249149322999997</v>
      </c>
      <c r="K1221">
        <v>2400</v>
      </c>
      <c r="L1221">
        <v>0</v>
      </c>
      <c r="M1221">
        <v>0</v>
      </c>
      <c r="N1221">
        <v>774.15142821999996</v>
      </c>
    </row>
    <row r="1222" spans="1:14" x14ac:dyDescent="0.25">
      <c r="A1222">
        <v>1467.750939</v>
      </c>
      <c r="B1222" s="1">
        <f>DATE(2014,5,7) + TIME(18,1,21)</f>
        <v>41766.750937500001</v>
      </c>
      <c r="C1222">
        <v>6099.2348633000001</v>
      </c>
      <c r="D1222">
        <v>4846.2587891000003</v>
      </c>
      <c r="E1222">
        <v>632.37811279000005</v>
      </c>
      <c r="F1222">
        <v>101.32499695</v>
      </c>
      <c r="G1222">
        <v>80</v>
      </c>
      <c r="H1222">
        <v>79.942794800000001</v>
      </c>
      <c r="I1222">
        <v>50</v>
      </c>
      <c r="J1222">
        <v>49.232341765999998</v>
      </c>
      <c r="K1222">
        <v>2400</v>
      </c>
      <c r="L1222">
        <v>0</v>
      </c>
      <c r="M1222">
        <v>0</v>
      </c>
      <c r="N1222">
        <v>775.40618896000001</v>
      </c>
    </row>
    <row r="1223" spans="1:14" x14ac:dyDescent="0.25">
      <c r="A1223">
        <v>1468.4303480000001</v>
      </c>
      <c r="B1223" s="1">
        <f>DATE(2014,5,8) + TIME(10,19,42)</f>
        <v>41767.430347222224</v>
      </c>
      <c r="C1223">
        <v>6106.3837891000003</v>
      </c>
      <c r="D1223">
        <v>4852.7075194999998</v>
      </c>
      <c r="E1223">
        <v>633.49401854999996</v>
      </c>
      <c r="F1223">
        <v>101.32499695</v>
      </c>
      <c r="G1223">
        <v>80</v>
      </c>
      <c r="H1223">
        <v>79.949287415000001</v>
      </c>
      <c r="I1223">
        <v>50</v>
      </c>
      <c r="J1223">
        <v>49.214195251</v>
      </c>
      <c r="K1223">
        <v>2400</v>
      </c>
      <c r="L1223">
        <v>0</v>
      </c>
      <c r="M1223">
        <v>0</v>
      </c>
      <c r="N1223">
        <v>776.80480956999997</v>
      </c>
    </row>
    <row r="1224" spans="1:14" x14ac:dyDescent="0.25">
      <c r="A1224">
        <v>1469.163986</v>
      </c>
      <c r="B1224" s="1">
        <f>DATE(2014,5,9) + TIME(3,56,8)</f>
        <v>41768.163981481484</v>
      </c>
      <c r="C1224">
        <v>6111.6440430000002</v>
      </c>
      <c r="D1224">
        <v>4857.2900391000003</v>
      </c>
      <c r="E1224">
        <v>634.62982178000004</v>
      </c>
      <c r="F1224">
        <v>101.32499695</v>
      </c>
      <c r="G1224">
        <v>80</v>
      </c>
      <c r="H1224">
        <v>79.953025818</v>
      </c>
      <c r="I1224">
        <v>50</v>
      </c>
      <c r="J1224">
        <v>49.194362640000001</v>
      </c>
      <c r="K1224">
        <v>2400</v>
      </c>
      <c r="L1224">
        <v>0</v>
      </c>
      <c r="M1224">
        <v>0</v>
      </c>
      <c r="N1224">
        <v>778.22204590000001</v>
      </c>
    </row>
    <row r="1225" spans="1:14" x14ac:dyDescent="0.25">
      <c r="A1225">
        <v>1469.9705550000001</v>
      </c>
      <c r="B1225" s="1">
        <f>DATE(2014,5,9) + TIME(23,17,35)</f>
        <v>41768.970543981479</v>
      </c>
      <c r="C1225">
        <v>6115.3110352000003</v>
      </c>
      <c r="D1225">
        <v>4860.296875</v>
      </c>
      <c r="E1225">
        <v>635.71978760000002</v>
      </c>
      <c r="F1225">
        <v>101.32499695</v>
      </c>
      <c r="G1225">
        <v>80</v>
      </c>
      <c r="H1225">
        <v>79.955131531000006</v>
      </c>
      <c r="I1225">
        <v>50</v>
      </c>
      <c r="J1225">
        <v>49.172416687000002</v>
      </c>
      <c r="K1225">
        <v>2400</v>
      </c>
      <c r="L1225">
        <v>0</v>
      </c>
      <c r="M1225">
        <v>0</v>
      </c>
      <c r="N1225">
        <v>779.57592772999999</v>
      </c>
    </row>
    <row r="1226" spans="1:14" x14ac:dyDescent="0.25">
      <c r="A1226">
        <v>1470.8645429999999</v>
      </c>
      <c r="B1226" s="1">
        <f>DATE(2014,5,10) + TIME(20,44,56)</f>
        <v>41769.864537037036</v>
      </c>
      <c r="C1226">
        <v>6117.5429688000004</v>
      </c>
      <c r="D1226">
        <v>4861.8803711</v>
      </c>
      <c r="E1226">
        <v>636.71075439000003</v>
      </c>
      <c r="F1226">
        <v>101.32499695</v>
      </c>
      <c r="G1226">
        <v>80</v>
      </c>
      <c r="H1226">
        <v>79.956275939999998</v>
      </c>
      <c r="I1226">
        <v>50</v>
      </c>
      <c r="J1226">
        <v>49.147991179999998</v>
      </c>
      <c r="K1226">
        <v>2400</v>
      </c>
      <c r="L1226">
        <v>0</v>
      </c>
      <c r="M1226">
        <v>0</v>
      </c>
      <c r="N1226">
        <v>780.80090331999997</v>
      </c>
    </row>
    <row r="1227" spans="1:14" x14ac:dyDescent="0.25">
      <c r="A1227">
        <v>1471.7735990000001</v>
      </c>
      <c r="B1227" s="1">
        <f>DATE(2014,5,11) + TIME(18,33,58)</f>
        <v>41770.773587962962</v>
      </c>
      <c r="C1227">
        <v>6118.2768555000002</v>
      </c>
      <c r="D1227">
        <v>4861.9775391000003</v>
      </c>
      <c r="E1227">
        <v>637.50396728999999</v>
      </c>
      <c r="F1227">
        <v>101.32499695</v>
      </c>
      <c r="G1227">
        <v>80</v>
      </c>
      <c r="H1227">
        <v>79.956825256000002</v>
      </c>
      <c r="I1227">
        <v>50</v>
      </c>
      <c r="J1227">
        <v>49.122543335000003</v>
      </c>
      <c r="K1227">
        <v>2400</v>
      </c>
      <c r="L1227">
        <v>0</v>
      </c>
      <c r="M1227">
        <v>0</v>
      </c>
      <c r="N1227">
        <v>781.78344727000001</v>
      </c>
    </row>
    <row r="1228" spans="1:14" x14ac:dyDescent="0.25">
      <c r="A1228">
        <v>1472.719366</v>
      </c>
      <c r="B1228" s="1">
        <f>DATE(2014,5,12) + TIME(17,15,53)</f>
        <v>41771.719363425924</v>
      </c>
      <c r="C1228">
        <v>6118.1000977000003</v>
      </c>
      <c r="D1228">
        <v>4861.2314452999999</v>
      </c>
      <c r="E1228">
        <v>638.14306640999996</v>
      </c>
      <c r="F1228">
        <v>101.32499695</v>
      </c>
      <c r="G1228">
        <v>80</v>
      </c>
      <c r="H1228">
        <v>79.957115173000005</v>
      </c>
      <c r="I1228">
        <v>50</v>
      </c>
      <c r="J1228">
        <v>49.095718384000001</v>
      </c>
      <c r="K1228">
        <v>2400</v>
      </c>
      <c r="L1228">
        <v>0</v>
      </c>
      <c r="M1228">
        <v>0</v>
      </c>
      <c r="N1228">
        <v>782.56561279000005</v>
      </c>
    </row>
    <row r="1229" spans="1:14" x14ac:dyDescent="0.25">
      <c r="A1229">
        <v>1473.7244410000001</v>
      </c>
      <c r="B1229" s="1">
        <f>DATE(2014,5,13) + TIME(17,23,11)</f>
        <v>41772.724432870367</v>
      </c>
      <c r="C1229">
        <v>6117.2109375</v>
      </c>
      <c r="D1229">
        <v>4859.8183594000002</v>
      </c>
      <c r="E1229">
        <v>638.65338135000002</v>
      </c>
      <c r="F1229">
        <v>101.32499695</v>
      </c>
      <c r="G1229">
        <v>80</v>
      </c>
      <c r="H1229">
        <v>79.957283020000006</v>
      </c>
      <c r="I1229">
        <v>50</v>
      </c>
      <c r="J1229">
        <v>49.067073821999998</v>
      </c>
      <c r="K1229">
        <v>2400</v>
      </c>
      <c r="L1229">
        <v>0</v>
      </c>
      <c r="M1229">
        <v>0</v>
      </c>
      <c r="N1229">
        <v>783.17938231999995</v>
      </c>
    </row>
    <row r="1230" spans="1:14" x14ac:dyDescent="0.25">
      <c r="A1230">
        <v>1474.7776409999999</v>
      </c>
      <c r="B1230" s="1">
        <f>DATE(2014,5,14) + TIME(18,39,48)</f>
        <v>41773.777638888889</v>
      </c>
      <c r="C1230">
        <v>6115.7001952999999</v>
      </c>
      <c r="D1230">
        <v>4857.8139647999997</v>
      </c>
      <c r="E1230">
        <v>639.04345703000001</v>
      </c>
      <c r="F1230">
        <v>101.32499695</v>
      </c>
      <c r="G1230">
        <v>80</v>
      </c>
      <c r="H1230">
        <v>79.957374572999996</v>
      </c>
      <c r="I1230">
        <v>50</v>
      </c>
      <c r="J1230">
        <v>49.036834716999998</v>
      </c>
      <c r="K1230">
        <v>2400</v>
      </c>
      <c r="L1230">
        <v>0</v>
      </c>
      <c r="M1230">
        <v>0</v>
      </c>
      <c r="N1230">
        <v>783.63995361000002</v>
      </c>
    </row>
    <row r="1231" spans="1:14" x14ac:dyDescent="0.25">
      <c r="A1231">
        <v>1475.897283</v>
      </c>
      <c r="B1231" s="1">
        <f>DATE(2014,5,15) + TIME(21,32,5)</f>
        <v>41774.897280092591</v>
      </c>
      <c r="C1231">
        <v>6113.7314452999999</v>
      </c>
      <c r="D1231">
        <v>4855.3862305000002</v>
      </c>
      <c r="E1231">
        <v>639.34118651999995</v>
      </c>
      <c r="F1231">
        <v>101.32499695</v>
      </c>
      <c r="G1231">
        <v>80</v>
      </c>
      <c r="H1231">
        <v>79.957435607999997</v>
      </c>
      <c r="I1231">
        <v>50</v>
      </c>
      <c r="J1231">
        <v>49.004646301000001</v>
      </c>
      <c r="K1231">
        <v>2400</v>
      </c>
      <c r="L1231">
        <v>0</v>
      </c>
      <c r="M1231">
        <v>0</v>
      </c>
      <c r="N1231">
        <v>783.97808838000003</v>
      </c>
    </row>
    <row r="1232" spans="1:14" x14ac:dyDescent="0.25">
      <c r="A1232">
        <v>1477.107853</v>
      </c>
      <c r="B1232" s="1">
        <f>DATE(2014,5,17) + TIME(2,35,18)</f>
        <v>41776.107847222222</v>
      </c>
      <c r="C1232">
        <v>6111.3652344000002</v>
      </c>
      <c r="D1232">
        <v>4852.5864258000001</v>
      </c>
      <c r="E1232">
        <v>639.56628418000003</v>
      </c>
      <c r="F1232">
        <v>101.32499695</v>
      </c>
      <c r="G1232">
        <v>80</v>
      </c>
      <c r="H1232">
        <v>79.957496642999999</v>
      </c>
      <c r="I1232">
        <v>50</v>
      </c>
      <c r="J1232">
        <v>48.969985962000003</v>
      </c>
      <c r="K1232">
        <v>2400</v>
      </c>
      <c r="L1232">
        <v>0</v>
      </c>
      <c r="M1232">
        <v>0</v>
      </c>
      <c r="N1232">
        <v>784.21783446999996</v>
      </c>
    </row>
    <row r="1233" spans="1:14" x14ac:dyDescent="0.25">
      <c r="A1233">
        <v>1478.356303</v>
      </c>
      <c r="B1233" s="1">
        <f>DATE(2014,5,18) + TIME(8,33,4)</f>
        <v>41777.356296296297</v>
      </c>
      <c r="C1233">
        <v>6108.6459961</v>
      </c>
      <c r="D1233">
        <v>4849.4506836</v>
      </c>
      <c r="E1233">
        <v>639.72204590000001</v>
      </c>
      <c r="F1233">
        <v>101.32499695</v>
      </c>
      <c r="G1233">
        <v>80</v>
      </c>
      <c r="H1233">
        <v>79.957542419000006</v>
      </c>
      <c r="I1233">
        <v>50</v>
      </c>
      <c r="J1233">
        <v>48.933860779</v>
      </c>
      <c r="K1233">
        <v>2400</v>
      </c>
      <c r="L1233">
        <v>0</v>
      </c>
      <c r="M1233">
        <v>0</v>
      </c>
      <c r="N1233">
        <v>784.37200928000004</v>
      </c>
    </row>
    <row r="1234" spans="1:14" x14ac:dyDescent="0.25">
      <c r="A1234">
        <v>1479.645123</v>
      </c>
      <c r="B1234" s="1">
        <f>DATE(2014,5,19) + TIME(15,28,58)</f>
        <v>41778.645115740743</v>
      </c>
      <c r="C1234">
        <v>6105.7490233999997</v>
      </c>
      <c r="D1234">
        <v>4846.1723633000001</v>
      </c>
      <c r="E1234">
        <v>639.83300781000003</v>
      </c>
      <c r="F1234">
        <v>101.32499695</v>
      </c>
      <c r="G1234">
        <v>80</v>
      </c>
      <c r="H1234">
        <v>79.957595824999999</v>
      </c>
      <c r="I1234">
        <v>50</v>
      </c>
      <c r="J1234">
        <v>48.896320342999999</v>
      </c>
      <c r="K1234">
        <v>2400</v>
      </c>
      <c r="L1234">
        <v>0</v>
      </c>
      <c r="M1234">
        <v>0</v>
      </c>
      <c r="N1234">
        <v>784.46392821999996</v>
      </c>
    </row>
    <row r="1235" spans="1:14" x14ac:dyDescent="0.25">
      <c r="A1235">
        <v>1481.001565</v>
      </c>
      <c r="B1235" s="1">
        <f>DATE(2014,5,21) + TIME(0,2,15)</f>
        <v>41780.001562500001</v>
      </c>
      <c r="C1235">
        <v>6102.7177733999997</v>
      </c>
      <c r="D1235">
        <v>4842.7900391000003</v>
      </c>
      <c r="E1235">
        <v>639.91436768000005</v>
      </c>
      <c r="F1235">
        <v>101.32499695</v>
      </c>
      <c r="G1235">
        <v>80</v>
      </c>
      <c r="H1235">
        <v>79.957649231000005</v>
      </c>
      <c r="I1235">
        <v>50</v>
      </c>
      <c r="J1235">
        <v>48.856887817</v>
      </c>
      <c r="K1235">
        <v>2400</v>
      </c>
      <c r="L1235">
        <v>0</v>
      </c>
      <c r="M1235">
        <v>0</v>
      </c>
      <c r="N1235">
        <v>784.50994873000002</v>
      </c>
    </row>
    <row r="1236" spans="1:14" x14ac:dyDescent="0.25">
      <c r="A1236">
        <v>1482.4392760000001</v>
      </c>
      <c r="B1236" s="1">
        <f>DATE(2014,5,22) + TIME(10,32,33)</f>
        <v>41781.439270833333</v>
      </c>
      <c r="C1236">
        <v>6099.5385741999999</v>
      </c>
      <c r="D1236">
        <v>4839.2817383000001</v>
      </c>
      <c r="E1236">
        <v>639.97320557</v>
      </c>
      <c r="F1236">
        <v>101.32499695</v>
      </c>
      <c r="G1236">
        <v>80</v>
      </c>
      <c r="H1236">
        <v>79.957710266000007</v>
      </c>
      <c r="I1236">
        <v>50</v>
      </c>
      <c r="J1236">
        <v>48.815284728999998</v>
      </c>
      <c r="K1236">
        <v>2400</v>
      </c>
      <c r="L1236">
        <v>0</v>
      </c>
      <c r="M1236">
        <v>0</v>
      </c>
      <c r="N1236">
        <v>784.52069091999999</v>
      </c>
    </row>
    <row r="1237" spans="1:14" x14ac:dyDescent="0.25">
      <c r="A1237">
        <v>1483.937743</v>
      </c>
      <c r="B1237" s="1">
        <f>DATE(2014,5,23) + TIME(22,30,21)</f>
        <v>41782.937743055554</v>
      </c>
      <c r="C1237">
        <v>6096.2275391000003</v>
      </c>
      <c r="D1237">
        <v>4835.6586914</v>
      </c>
      <c r="E1237">
        <v>640.01354979999996</v>
      </c>
      <c r="F1237">
        <v>101.32499695</v>
      </c>
      <c r="G1237">
        <v>80</v>
      </c>
      <c r="H1237">
        <v>79.957763671999999</v>
      </c>
      <c r="I1237">
        <v>50</v>
      </c>
      <c r="J1237">
        <v>48.771865845000001</v>
      </c>
      <c r="K1237">
        <v>2400</v>
      </c>
      <c r="L1237">
        <v>0</v>
      </c>
      <c r="M1237">
        <v>0</v>
      </c>
      <c r="N1237">
        <v>784.50494385000002</v>
      </c>
    </row>
    <row r="1238" spans="1:14" x14ac:dyDescent="0.25">
      <c r="A1238">
        <v>1485.525793</v>
      </c>
      <c r="B1238" s="1">
        <f>DATE(2014,5,25) + TIME(12,37,8)</f>
        <v>41784.525787037041</v>
      </c>
      <c r="C1238">
        <v>6092.8237305000002</v>
      </c>
      <c r="D1238">
        <v>4831.9643555000002</v>
      </c>
      <c r="E1238">
        <v>640.04547118999994</v>
      </c>
      <c r="F1238">
        <v>101.32499695</v>
      </c>
      <c r="G1238">
        <v>80</v>
      </c>
      <c r="H1238">
        <v>79.957832335999996</v>
      </c>
      <c r="I1238">
        <v>50</v>
      </c>
      <c r="J1238">
        <v>48.726123809999997</v>
      </c>
      <c r="K1238">
        <v>2400</v>
      </c>
      <c r="L1238">
        <v>0</v>
      </c>
      <c r="M1238">
        <v>0</v>
      </c>
      <c r="N1238">
        <v>784.46911621000004</v>
      </c>
    </row>
    <row r="1239" spans="1:14" x14ac:dyDescent="0.25">
      <c r="A1239">
        <v>1487.1596050000001</v>
      </c>
      <c r="B1239" s="1">
        <f>DATE(2014,5,27) + TIME(3,49,49)</f>
        <v>41786.159594907411</v>
      </c>
      <c r="C1239">
        <v>6089.3266602000003</v>
      </c>
      <c r="D1239">
        <v>4828.1918944999998</v>
      </c>
      <c r="E1239">
        <v>640.06665038999995</v>
      </c>
      <c r="F1239">
        <v>101.32499695</v>
      </c>
      <c r="G1239">
        <v>80</v>
      </c>
      <c r="H1239">
        <v>79.957893372000001</v>
      </c>
      <c r="I1239">
        <v>50</v>
      </c>
      <c r="J1239">
        <v>48.678825377999999</v>
      </c>
      <c r="K1239">
        <v>2400</v>
      </c>
      <c r="L1239">
        <v>0</v>
      </c>
      <c r="M1239">
        <v>0</v>
      </c>
      <c r="N1239">
        <v>784.41839600000003</v>
      </c>
    </row>
    <row r="1240" spans="1:14" x14ac:dyDescent="0.25">
      <c r="A1240">
        <v>1488.8438759999999</v>
      </c>
      <c r="B1240" s="1">
        <f>DATE(2014,5,28) + TIME(20,15,10)</f>
        <v>41787.843865740739</v>
      </c>
      <c r="C1240">
        <v>6085.8051758000001</v>
      </c>
      <c r="D1240">
        <v>4824.4174805000002</v>
      </c>
      <c r="E1240">
        <v>640.08477783000001</v>
      </c>
      <c r="F1240">
        <v>101.32499695</v>
      </c>
      <c r="G1240">
        <v>80</v>
      </c>
      <c r="H1240">
        <v>79.957954407000003</v>
      </c>
      <c r="I1240">
        <v>50</v>
      </c>
      <c r="J1240">
        <v>48.630016327</v>
      </c>
      <c r="K1240">
        <v>2400</v>
      </c>
      <c r="L1240">
        <v>0</v>
      </c>
      <c r="M1240">
        <v>0</v>
      </c>
      <c r="N1240">
        <v>784.35675048999997</v>
      </c>
    </row>
    <row r="1241" spans="1:14" x14ac:dyDescent="0.25">
      <c r="A1241">
        <v>1490.611157</v>
      </c>
      <c r="B1241" s="1">
        <f>DATE(2014,5,30) + TIME(14,40,3)</f>
        <v>41789.611145833333</v>
      </c>
      <c r="C1241">
        <v>6082.2480469000002</v>
      </c>
      <c r="D1241">
        <v>4820.6264647999997</v>
      </c>
      <c r="E1241">
        <v>640.10253906000003</v>
      </c>
      <c r="F1241">
        <v>101.32499695</v>
      </c>
      <c r="G1241">
        <v>80</v>
      </c>
      <c r="H1241">
        <v>79.958023071</v>
      </c>
      <c r="I1241">
        <v>50</v>
      </c>
      <c r="J1241">
        <v>48.579185486</v>
      </c>
      <c r="K1241">
        <v>2400</v>
      </c>
      <c r="L1241">
        <v>0</v>
      </c>
      <c r="M1241">
        <v>0</v>
      </c>
      <c r="N1241">
        <v>784.28479003999996</v>
      </c>
    </row>
    <row r="1242" spans="1:14" x14ac:dyDescent="0.25">
      <c r="A1242">
        <v>1492</v>
      </c>
      <c r="B1242" s="1">
        <f>DATE(2014,6,1) + TIME(0,0,0)</f>
        <v>41791</v>
      </c>
      <c r="C1242">
        <v>6078.8784180000002</v>
      </c>
      <c r="D1242">
        <v>4817.0375977000003</v>
      </c>
      <c r="E1242">
        <v>640.08709716999999</v>
      </c>
      <c r="F1242">
        <v>101.32499695</v>
      </c>
      <c r="G1242">
        <v>80</v>
      </c>
      <c r="H1242">
        <v>79.958030700999998</v>
      </c>
      <c r="I1242">
        <v>50</v>
      </c>
      <c r="J1242">
        <v>48.535297393999997</v>
      </c>
      <c r="K1242">
        <v>2400</v>
      </c>
      <c r="L1242">
        <v>0</v>
      </c>
      <c r="M1242">
        <v>0</v>
      </c>
      <c r="N1242">
        <v>784.22149658000001</v>
      </c>
    </row>
    <row r="1243" spans="1:14" x14ac:dyDescent="0.25">
      <c r="A1243">
        <v>1493.8590730000001</v>
      </c>
      <c r="B1243" s="1">
        <f>DATE(2014,6,2) + TIME(20,37,3)</f>
        <v>41792.8590625</v>
      </c>
      <c r="C1243">
        <v>6075.7602539</v>
      </c>
      <c r="D1243">
        <v>4813.7631836</v>
      </c>
      <c r="E1243">
        <v>640.13885498000002</v>
      </c>
      <c r="F1243">
        <v>101.32499695</v>
      </c>
      <c r="G1243">
        <v>80</v>
      </c>
      <c r="H1243">
        <v>79.958145142000006</v>
      </c>
      <c r="I1243">
        <v>50</v>
      </c>
      <c r="J1243">
        <v>48.483348845999998</v>
      </c>
      <c r="K1243">
        <v>2400</v>
      </c>
      <c r="L1243">
        <v>0</v>
      </c>
      <c r="M1243">
        <v>0</v>
      </c>
      <c r="N1243">
        <v>784.13977050999995</v>
      </c>
    </row>
    <row r="1244" spans="1:14" x14ac:dyDescent="0.25">
      <c r="A1244">
        <v>1495.846918</v>
      </c>
      <c r="B1244" s="1">
        <f>DATE(2014,6,4) + TIME(20,19,33)</f>
        <v>41794.846909722219</v>
      </c>
      <c r="C1244">
        <v>6072.1455077999999</v>
      </c>
      <c r="D1244">
        <v>4809.9570311999996</v>
      </c>
      <c r="E1244">
        <v>640.14849853999999</v>
      </c>
      <c r="F1244">
        <v>101.32499695</v>
      </c>
      <c r="G1244">
        <v>80</v>
      </c>
      <c r="H1244">
        <v>79.958213806000003</v>
      </c>
      <c r="I1244">
        <v>50</v>
      </c>
      <c r="J1244">
        <v>48.428180695000002</v>
      </c>
      <c r="K1244">
        <v>2400</v>
      </c>
      <c r="L1244">
        <v>0</v>
      </c>
      <c r="M1244">
        <v>0</v>
      </c>
      <c r="N1244">
        <v>784.04174805000002</v>
      </c>
    </row>
    <row r="1245" spans="1:14" x14ac:dyDescent="0.25">
      <c r="A1245">
        <v>1497.891347</v>
      </c>
      <c r="B1245" s="1">
        <f>DATE(2014,6,6) + TIME(21,23,32)</f>
        <v>41796.891342592593</v>
      </c>
      <c r="C1245">
        <v>6068.3857422000001</v>
      </c>
      <c r="D1245">
        <v>4806.0131836</v>
      </c>
      <c r="E1245">
        <v>640.15759276999995</v>
      </c>
      <c r="F1245">
        <v>101.32499695</v>
      </c>
      <c r="G1245">
        <v>80</v>
      </c>
      <c r="H1245">
        <v>79.958274841000005</v>
      </c>
      <c r="I1245">
        <v>50</v>
      </c>
      <c r="J1245">
        <v>48.370937347000002</v>
      </c>
      <c r="K1245">
        <v>2400</v>
      </c>
      <c r="L1245">
        <v>0</v>
      </c>
      <c r="M1245">
        <v>0</v>
      </c>
      <c r="N1245">
        <v>783.94189453000001</v>
      </c>
    </row>
    <row r="1246" spans="1:14" x14ac:dyDescent="0.25">
      <c r="A1246">
        <v>1499.9953969999999</v>
      </c>
      <c r="B1246" s="1">
        <f>DATE(2014,6,8) + TIME(23,53,22)</f>
        <v>41798.995393518519</v>
      </c>
      <c r="C1246">
        <v>6064.5913086</v>
      </c>
      <c r="D1246">
        <v>4802.0483397999997</v>
      </c>
      <c r="E1246">
        <v>640.17034911999997</v>
      </c>
      <c r="F1246">
        <v>101.32499695</v>
      </c>
      <c r="G1246">
        <v>80</v>
      </c>
      <c r="H1246">
        <v>79.958335876000007</v>
      </c>
      <c r="I1246">
        <v>50</v>
      </c>
      <c r="J1246">
        <v>48.311889647999998</v>
      </c>
      <c r="K1246">
        <v>2400</v>
      </c>
      <c r="L1246">
        <v>0</v>
      </c>
      <c r="M1246">
        <v>0</v>
      </c>
      <c r="N1246">
        <v>783.83770751999998</v>
      </c>
    </row>
    <row r="1247" spans="1:14" x14ac:dyDescent="0.25">
      <c r="A1247">
        <v>1502.1937820000001</v>
      </c>
      <c r="B1247" s="1">
        <f>DATE(2014,6,11) + TIME(4,39,2)</f>
        <v>41801.193773148145</v>
      </c>
      <c r="C1247">
        <v>6060.7568358999997</v>
      </c>
      <c r="D1247">
        <v>4798.0566405999998</v>
      </c>
      <c r="E1247">
        <v>640.18615723000005</v>
      </c>
      <c r="F1247">
        <v>101.32499695</v>
      </c>
      <c r="G1247">
        <v>80</v>
      </c>
      <c r="H1247">
        <v>79.958412170000003</v>
      </c>
      <c r="I1247">
        <v>50</v>
      </c>
      <c r="J1247">
        <v>48.250679015999999</v>
      </c>
      <c r="K1247">
        <v>2400</v>
      </c>
      <c r="L1247">
        <v>0</v>
      </c>
      <c r="M1247">
        <v>0</v>
      </c>
      <c r="N1247">
        <v>783.72625731999995</v>
      </c>
    </row>
    <row r="1248" spans="1:14" x14ac:dyDescent="0.25">
      <c r="A1248">
        <v>1504.4823719999999</v>
      </c>
      <c r="B1248" s="1">
        <f>DATE(2014,6,13) + TIME(11,34,36)</f>
        <v>41803.482361111113</v>
      </c>
      <c r="C1248">
        <v>6056.8520508000001</v>
      </c>
      <c r="D1248">
        <v>4794.0039061999996</v>
      </c>
      <c r="E1248">
        <v>640.20141602000001</v>
      </c>
      <c r="F1248">
        <v>101.32499695</v>
      </c>
      <c r="G1248">
        <v>80</v>
      </c>
      <c r="H1248">
        <v>79.958480835000003</v>
      </c>
      <c r="I1248">
        <v>50</v>
      </c>
      <c r="J1248">
        <v>48.187358856000003</v>
      </c>
      <c r="K1248">
        <v>2400</v>
      </c>
      <c r="L1248">
        <v>0</v>
      </c>
      <c r="M1248">
        <v>0</v>
      </c>
      <c r="N1248">
        <v>783.60742187999995</v>
      </c>
    </row>
    <row r="1249" spans="1:14" x14ac:dyDescent="0.25">
      <c r="A1249">
        <v>1506.8350109999999</v>
      </c>
      <c r="B1249" s="1">
        <f>DATE(2014,6,15) + TIME(20,2,24)</f>
        <v>41805.834999999999</v>
      </c>
      <c r="C1249">
        <v>6052.8925780999998</v>
      </c>
      <c r="D1249">
        <v>4789.9057616999999</v>
      </c>
      <c r="E1249">
        <v>640.21594238</v>
      </c>
      <c r="F1249">
        <v>101.32499695</v>
      </c>
      <c r="G1249">
        <v>80</v>
      </c>
      <c r="H1249">
        <v>79.958549500000004</v>
      </c>
      <c r="I1249">
        <v>50</v>
      </c>
      <c r="J1249">
        <v>48.122364044000001</v>
      </c>
      <c r="K1249">
        <v>2400</v>
      </c>
      <c r="L1249">
        <v>0</v>
      </c>
      <c r="M1249">
        <v>0</v>
      </c>
      <c r="N1249">
        <v>783.48291015999996</v>
      </c>
    </row>
    <row r="1250" spans="1:14" x14ac:dyDescent="0.25">
      <c r="A1250">
        <v>1509.272185</v>
      </c>
      <c r="B1250" s="1">
        <f>DATE(2014,6,18) + TIME(6,31,56)</f>
        <v>41808.272175925929</v>
      </c>
      <c r="C1250">
        <v>6048.8994141000003</v>
      </c>
      <c r="D1250">
        <v>4785.7846680000002</v>
      </c>
      <c r="E1250">
        <v>640.23260498000002</v>
      </c>
      <c r="F1250">
        <v>101.32499695</v>
      </c>
      <c r="G1250">
        <v>80</v>
      </c>
      <c r="H1250">
        <v>79.958625792999996</v>
      </c>
      <c r="I1250">
        <v>50</v>
      </c>
      <c r="J1250">
        <v>48.055561066000003</v>
      </c>
      <c r="K1250">
        <v>2400</v>
      </c>
      <c r="L1250">
        <v>0</v>
      </c>
      <c r="M1250">
        <v>0</v>
      </c>
      <c r="N1250">
        <v>783.35186768000005</v>
      </c>
    </row>
    <row r="1251" spans="1:14" x14ac:dyDescent="0.25">
      <c r="A1251">
        <v>1511.763365</v>
      </c>
      <c r="B1251" s="1">
        <f>DATE(2014,6,20) + TIME(18,19,14)</f>
        <v>41810.763356481482</v>
      </c>
      <c r="C1251">
        <v>6044.8691405999998</v>
      </c>
      <c r="D1251">
        <v>4781.6347655999998</v>
      </c>
      <c r="E1251">
        <v>640.24804687999995</v>
      </c>
      <c r="F1251">
        <v>101.32499695</v>
      </c>
      <c r="G1251">
        <v>80</v>
      </c>
      <c r="H1251">
        <v>79.958694457999997</v>
      </c>
      <c r="I1251">
        <v>50</v>
      </c>
      <c r="J1251">
        <v>47.987430572999997</v>
      </c>
      <c r="K1251">
        <v>2400</v>
      </c>
      <c r="L1251">
        <v>0</v>
      </c>
      <c r="M1251">
        <v>0</v>
      </c>
      <c r="N1251">
        <v>783.21551513999998</v>
      </c>
    </row>
    <row r="1252" spans="1:14" x14ac:dyDescent="0.25">
      <c r="A1252">
        <v>1514.340297</v>
      </c>
      <c r="B1252" s="1">
        <f>DATE(2014,6,23) + TIME(8,10,1)</f>
        <v>41813.340289351851</v>
      </c>
      <c r="C1252">
        <v>6040.8183594000002</v>
      </c>
      <c r="D1252">
        <v>4777.4736327999999</v>
      </c>
      <c r="E1252">
        <v>640.26599121000004</v>
      </c>
      <c r="F1252">
        <v>101.32499695</v>
      </c>
      <c r="G1252">
        <v>80</v>
      </c>
      <c r="H1252">
        <v>79.958770752000007</v>
      </c>
      <c r="I1252">
        <v>50</v>
      </c>
      <c r="J1252">
        <v>47.917697906000001</v>
      </c>
      <c r="K1252">
        <v>2400</v>
      </c>
      <c r="L1252">
        <v>0</v>
      </c>
      <c r="M1252">
        <v>0</v>
      </c>
      <c r="N1252">
        <v>783.07275390999996</v>
      </c>
    </row>
    <row r="1253" spans="1:14" x14ac:dyDescent="0.25">
      <c r="A1253">
        <v>1517.0375389999999</v>
      </c>
      <c r="B1253" s="1">
        <f>DATE(2014,6,26) + TIME(0,54,3)</f>
        <v>41816.037534722222</v>
      </c>
      <c r="C1253">
        <v>6036.7080077999999</v>
      </c>
      <c r="D1253">
        <v>4773.2612305000002</v>
      </c>
      <c r="E1253">
        <v>640.28521728999999</v>
      </c>
      <c r="F1253">
        <v>101.32499695</v>
      </c>
      <c r="G1253">
        <v>80</v>
      </c>
      <c r="H1253">
        <v>79.958847046000002</v>
      </c>
      <c r="I1253">
        <v>50</v>
      </c>
      <c r="J1253">
        <v>47.845836638999998</v>
      </c>
      <c r="K1253">
        <v>2400</v>
      </c>
      <c r="L1253">
        <v>0</v>
      </c>
      <c r="M1253">
        <v>0</v>
      </c>
      <c r="N1253">
        <v>782.92211913999995</v>
      </c>
    </row>
    <row r="1254" spans="1:14" x14ac:dyDescent="0.25">
      <c r="A1254">
        <v>1519.7845010000001</v>
      </c>
      <c r="B1254" s="1">
        <f>DATE(2014,6,28) + TIME(18,49,40)</f>
        <v>41818.784490740742</v>
      </c>
      <c r="C1254">
        <v>6032.5317383000001</v>
      </c>
      <c r="D1254">
        <v>4768.9877930000002</v>
      </c>
      <c r="E1254">
        <v>640.30120850000003</v>
      </c>
      <c r="F1254">
        <v>101.32499695</v>
      </c>
      <c r="G1254">
        <v>80</v>
      </c>
      <c r="H1254">
        <v>79.958923339999998</v>
      </c>
      <c r="I1254">
        <v>50</v>
      </c>
      <c r="J1254">
        <v>47.772640228</v>
      </c>
      <c r="K1254">
        <v>2400</v>
      </c>
      <c r="L1254">
        <v>0</v>
      </c>
      <c r="M1254">
        <v>0</v>
      </c>
      <c r="N1254">
        <v>782.76672363</v>
      </c>
    </row>
    <row r="1255" spans="1:14" x14ac:dyDescent="0.25">
      <c r="A1255">
        <v>1522</v>
      </c>
      <c r="B1255" s="1">
        <f>DATE(2014,7,1) + TIME(0,0,0)</f>
        <v>41821</v>
      </c>
      <c r="C1255">
        <v>6028.5996094000002</v>
      </c>
      <c r="D1255">
        <v>4764.9667969000002</v>
      </c>
      <c r="E1255">
        <v>640.29290771000001</v>
      </c>
      <c r="F1255">
        <v>101.32499695</v>
      </c>
      <c r="G1255">
        <v>80</v>
      </c>
      <c r="H1255">
        <v>79.958953856999997</v>
      </c>
      <c r="I1255">
        <v>50</v>
      </c>
      <c r="J1255">
        <v>47.707374573000003</v>
      </c>
      <c r="K1255">
        <v>2400</v>
      </c>
      <c r="L1255">
        <v>0</v>
      </c>
      <c r="M1255">
        <v>0</v>
      </c>
      <c r="N1255">
        <v>782.63330078000001</v>
      </c>
    </row>
    <row r="1256" spans="1:14" x14ac:dyDescent="0.25">
      <c r="A1256">
        <v>1524.830854</v>
      </c>
      <c r="B1256" s="1">
        <f>DATE(2014,7,3) + TIME(19,56,25)</f>
        <v>41823.83084490741</v>
      </c>
      <c r="C1256">
        <v>6024.9228516000003</v>
      </c>
      <c r="D1256">
        <v>4761.2255858999997</v>
      </c>
      <c r="E1256">
        <v>640.34704590000001</v>
      </c>
      <c r="F1256">
        <v>101.32499695</v>
      </c>
      <c r="G1256">
        <v>80</v>
      </c>
      <c r="H1256">
        <v>79.959068298000005</v>
      </c>
      <c r="I1256">
        <v>50</v>
      </c>
      <c r="J1256">
        <v>47.635681151999997</v>
      </c>
      <c r="K1256">
        <v>2400</v>
      </c>
      <c r="L1256">
        <v>0</v>
      </c>
      <c r="M1256">
        <v>0</v>
      </c>
      <c r="N1256">
        <v>782.47094727000001</v>
      </c>
    </row>
    <row r="1257" spans="1:14" x14ac:dyDescent="0.25">
      <c r="A1257">
        <v>1527.7910179999999</v>
      </c>
      <c r="B1257" s="1">
        <f>DATE(2014,7,6) + TIME(18,59,3)</f>
        <v>41826.791006944448</v>
      </c>
      <c r="C1257">
        <v>6020.8061522999997</v>
      </c>
      <c r="D1257">
        <v>4757.0327147999997</v>
      </c>
      <c r="E1257">
        <v>640.35968018000005</v>
      </c>
      <c r="F1257">
        <v>101.32499695</v>
      </c>
      <c r="G1257">
        <v>80</v>
      </c>
      <c r="H1257">
        <v>79.959144592000001</v>
      </c>
      <c r="I1257">
        <v>50</v>
      </c>
      <c r="J1257">
        <v>47.560787200999997</v>
      </c>
      <c r="K1257">
        <v>2400</v>
      </c>
      <c r="L1257">
        <v>0</v>
      </c>
      <c r="M1257">
        <v>0</v>
      </c>
      <c r="N1257">
        <v>782.29840088000003</v>
      </c>
    </row>
    <row r="1258" spans="1:14" x14ac:dyDescent="0.25">
      <c r="A1258">
        <v>1530.860717</v>
      </c>
      <c r="B1258" s="1">
        <f>DATE(2014,7,9) + TIME(20,39,25)</f>
        <v>41829.860706018517</v>
      </c>
      <c r="C1258">
        <v>6016.5537108999997</v>
      </c>
      <c r="D1258">
        <v>4752.7075194999998</v>
      </c>
      <c r="E1258">
        <v>640.37774658000001</v>
      </c>
      <c r="F1258">
        <v>101.32499695</v>
      </c>
      <c r="G1258">
        <v>80</v>
      </c>
      <c r="H1258">
        <v>79.959220885999997</v>
      </c>
      <c r="I1258">
        <v>50</v>
      </c>
      <c r="J1258">
        <v>47.483234406000001</v>
      </c>
      <c r="K1258">
        <v>2400</v>
      </c>
      <c r="L1258">
        <v>0</v>
      </c>
      <c r="M1258">
        <v>0</v>
      </c>
      <c r="N1258">
        <v>782.12280272999999</v>
      </c>
    </row>
    <row r="1259" spans="1:14" x14ac:dyDescent="0.25">
      <c r="A1259">
        <v>1534.0044559999999</v>
      </c>
      <c r="B1259" s="1">
        <f>DATE(2014,7,13) + TIME(0,6,25)</f>
        <v>41833.00445601852</v>
      </c>
      <c r="C1259">
        <v>6012.2246094000002</v>
      </c>
      <c r="D1259">
        <v>4748.3110352000003</v>
      </c>
      <c r="E1259">
        <v>640.39709473000005</v>
      </c>
      <c r="F1259">
        <v>101.32499695</v>
      </c>
      <c r="G1259">
        <v>80</v>
      </c>
      <c r="H1259">
        <v>79.959304810000006</v>
      </c>
      <c r="I1259">
        <v>50</v>
      </c>
      <c r="J1259">
        <v>47.403793335000003</v>
      </c>
      <c r="K1259">
        <v>2400</v>
      </c>
      <c r="L1259">
        <v>0</v>
      </c>
      <c r="M1259">
        <v>0</v>
      </c>
      <c r="N1259">
        <v>781.94116211000005</v>
      </c>
    </row>
    <row r="1260" spans="1:14" x14ac:dyDescent="0.25">
      <c r="A1260">
        <v>1537.2281869999999</v>
      </c>
      <c r="B1260" s="1">
        <f>DATE(2014,7,16) + TIME(5,28,35)</f>
        <v>41836.228182870371</v>
      </c>
      <c r="C1260">
        <v>6007.8588866999999</v>
      </c>
      <c r="D1260">
        <v>4743.8828125</v>
      </c>
      <c r="E1260">
        <v>640.41857909999999</v>
      </c>
      <c r="F1260">
        <v>101.32499695</v>
      </c>
      <c r="G1260">
        <v>80</v>
      </c>
      <c r="H1260">
        <v>79.959381104000002</v>
      </c>
      <c r="I1260">
        <v>50</v>
      </c>
      <c r="J1260">
        <v>47.322807312000002</v>
      </c>
      <c r="K1260">
        <v>2400</v>
      </c>
      <c r="L1260">
        <v>0</v>
      </c>
      <c r="M1260">
        <v>0</v>
      </c>
      <c r="N1260">
        <v>781.75286864999998</v>
      </c>
    </row>
    <row r="1261" spans="1:14" x14ac:dyDescent="0.25">
      <c r="A1261">
        <v>1540.538401</v>
      </c>
      <c r="B1261" s="1">
        <f>DATE(2014,7,19) + TIME(12,55,17)</f>
        <v>41839.538391203707</v>
      </c>
      <c r="C1261">
        <v>6003.4575194999998</v>
      </c>
      <c r="D1261">
        <v>4739.4238280999998</v>
      </c>
      <c r="E1261">
        <v>640.44122314000003</v>
      </c>
      <c r="F1261">
        <v>101.32499695</v>
      </c>
      <c r="G1261">
        <v>80</v>
      </c>
      <c r="H1261">
        <v>79.959465026999993</v>
      </c>
      <c r="I1261">
        <v>50</v>
      </c>
      <c r="J1261">
        <v>47.240402222</v>
      </c>
      <c r="K1261">
        <v>2400</v>
      </c>
      <c r="L1261">
        <v>0</v>
      </c>
      <c r="M1261">
        <v>0</v>
      </c>
      <c r="N1261">
        <v>781.55786133000004</v>
      </c>
    </row>
    <row r="1262" spans="1:14" x14ac:dyDescent="0.25">
      <c r="A1262">
        <v>1543.9220029999999</v>
      </c>
      <c r="B1262" s="1">
        <f>DATE(2014,7,22) + TIME(22,7,41)</f>
        <v>41842.922002314815</v>
      </c>
      <c r="C1262">
        <v>5999.0229491999999</v>
      </c>
      <c r="D1262">
        <v>4734.9355469000002</v>
      </c>
      <c r="E1262">
        <v>640.46435546999999</v>
      </c>
      <c r="F1262">
        <v>101.32499695</v>
      </c>
      <c r="G1262">
        <v>80</v>
      </c>
      <c r="H1262">
        <v>79.959548949999999</v>
      </c>
      <c r="I1262">
        <v>50</v>
      </c>
      <c r="J1262">
        <v>47.156814574999999</v>
      </c>
      <c r="K1262">
        <v>2400</v>
      </c>
      <c r="L1262">
        <v>0</v>
      </c>
      <c r="M1262">
        <v>0</v>
      </c>
      <c r="N1262">
        <v>781.35717772999999</v>
      </c>
    </row>
    <row r="1263" spans="1:14" x14ac:dyDescent="0.25">
      <c r="A1263">
        <v>1547.4170790000001</v>
      </c>
      <c r="B1263" s="1">
        <f>DATE(2014,7,26) + TIME(10,0,35)</f>
        <v>41846.417071759257</v>
      </c>
      <c r="C1263">
        <v>5994.5551758000001</v>
      </c>
      <c r="D1263">
        <v>4730.4184569999998</v>
      </c>
      <c r="E1263">
        <v>640.48986816000001</v>
      </c>
      <c r="F1263">
        <v>101.32499695</v>
      </c>
      <c r="G1263">
        <v>80</v>
      </c>
      <c r="H1263">
        <v>79.959640503000003</v>
      </c>
      <c r="I1263">
        <v>50</v>
      </c>
      <c r="J1263">
        <v>47.071754456000001</v>
      </c>
      <c r="K1263">
        <v>2400</v>
      </c>
      <c r="L1263">
        <v>0</v>
      </c>
      <c r="M1263">
        <v>0</v>
      </c>
      <c r="N1263">
        <v>781.14953613</v>
      </c>
    </row>
    <row r="1264" spans="1:14" x14ac:dyDescent="0.25">
      <c r="A1264">
        <v>1550.988664</v>
      </c>
      <c r="B1264" s="1">
        <f>DATE(2014,7,29) + TIME(23,43,40)</f>
        <v>41849.988657407404</v>
      </c>
      <c r="C1264">
        <v>5990.0380858999997</v>
      </c>
      <c r="D1264">
        <v>4725.8554688000004</v>
      </c>
      <c r="E1264">
        <v>640.51495361000002</v>
      </c>
      <c r="F1264">
        <v>101.32499695</v>
      </c>
      <c r="G1264">
        <v>80</v>
      </c>
      <c r="H1264">
        <v>79.959724425999994</v>
      </c>
      <c r="I1264">
        <v>50</v>
      </c>
      <c r="J1264">
        <v>46.985458373999997</v>
      </c>
      <c r="K1264">
        <v>2400</v>
      </c>
      <c r="L1264">
        <v>0</v>
      </c>
      <c r="M1264">
        <v>0</v>
      </c>
      <c r="N1264">
        <v>780.93652343999997</v>
      </c>
    </row>
    <row r="1265" spans="1:14" x14ac:dyDescent="0.25">
      <c r="A1265">
        <v>1553</v>
      </c>
      <c r="B1265" s="1">
        <f>DATE(2014,8,1) + TIME(0,0,0)</f>
        <v>41852</v>
      </c>
      <c r="C1265">
        <v>5986.1967772999997</v>
      </c>
      <c r="D1265">
        <v>4721.9707030999998</v>
      </c>
      <c r="E1265">
        <v>640.47454833999996</v>
      </c>
      <c r="F1265">
        <v>101.32499695</v>
      </c>
      <c r="G1265">
        <v>80</v>
      </c>
      <c r="H1265">
        <v>79.959716796999999</v>
      </c>
      <c r="I1265">
        <v>50</v>
      </c>
      <c r="J1265">
        <v>46.921848296999997</v>
      </c>
      <c r="K1265">
        <v>2400</v>
      </c>
      <c r="L1265">
        <v>0</v>
      </c>
      <c r="M1265">
        <v>0</v>
      </c>
      <c r="N1265">
        <v>780.79931640999996</v>
      </c>
    </row>
    <row r="1266" spans="1:14" x14ac:dyDescent="0.25">
      <c r="A1266">
        <v>1556.6655820000001</v>
      </c>
      <c r="B1266" s="1">
        <f>DATE(2014,8,4) + TIME(15,58,26)</f>
        <v>41855.665578703702</v>
      </c>
      <c r="C1266">
        <v>5982.7265625</v>
      </c>
      <c r="D1266">
        <v>4718.4804688000004</v>
      </c>
      <c r="E1266">
        <v>640.58282470999995</v>
      </c>
      <c r="F1266">
        <v>101.32499695</v>
      </c>
      <c r="G1266">
        <v>80</v>
      </c>
      <c r="H1266">
        <v>79.959877014</v>
      </c>
      <c r="I1266">
        <v>50</v>
      </c>
      <c r="J1266">
        <v>46.842491150000001</v>
      </c>
      <c r="K1266">
        <v>2400</v>
      </c>
      <c r="L1266">
        <v>0</v>
      </c>
      <c r="M1266">
        <v>0</v>
      </c>
      <c r="N1266">
        <v>780.57946776999995</v>
      </c>
    </row>
    <row r="1267" spans="1:14" x14ac:dyDescent="0.25">
      <c r="A1267">
        <v>1560.46588</v>
      </c>
      <c r="B1267" s="1">
        <f>DATE(2014,8,8) + TIME(11,10,52)</f>
        <v>41859.465879629628</v>
      </c>
      <c r="C1267">
        <v>5978.3398438000004</v>
      </c>
      <c r="D1267">
        <v>4714.0561522999997</v>
      </c>
      <c r="E1267">
        <v>640.59393310999997</v>
      </c>
      <c r="F1267">
        <v>101.32499695</v>
      </c>
      <c r="G1267">
        <v>80</v>
      </c>
      <c r="H1267">
        <v>79.959953307999996</v>
      </c>
      <c r="I1267">
        <v>50</v>
      </c>
      <c r="J1267">
        <v>46.757312775000003</v>
      </c>
      <c r="K1267">
        <v>2400</v>
      </c>
      <c r="L1267">
        <v>0</v>
      </c>
      <c r="M1267">
        <v>0</v>
      </c>
      <c r="N1267">
        <v>780.35363770000004</v>
      </c>
    </row>
    <row r="1268" spans="1:14" x14ac:dyDescent="0.25">
      <c r="A1268">
        <v>1564.364274</v>
      </c>
      <c r="B1268" s="1">
        <f>DATE(2014,8,12) + TIME(8,44,33)</f>
        <v>41863.364270833335</v>
      </c>
      <c r="C1268">
        <v>5973.7631836</v>
      </c>
      <c r="D1268">
        <v>4709.4443358999997</v>
      </c>
      <c r="E1268">
        <v>640.62127685999997</v>
      </c>
      <c r="F1268">
        <v>101.32499695</v>
      </c>
      <c r="G1268">
        <v>80</v>
      </c>
      <c r="H1268">
        <v>79.960044861</v>
      </c>
      <c r="I1268">
        <v>50</v>
      </c>
      <c r="J1268">
        <v>46.668624878000003</v>
      </c>
      <c r="K1268">
        <v>2400</v>
      </c>
      <c r="L1268">
        <v>0</v>
      </c>
      <c r="M1268">
        <v>0</v>
      </c>
      <c r="N1268">
        <v>780.12774658000001</v>
      </c>
    </row>
    <row r="1269" spans="1:14" x14ac:dyDescent="0.25">
      <c r="A1269">
        <v>1568.362081</v>
      </c>
      <c r="B1269" s="1">
        <f>DATE(2014,8,16) + TIME(8,41,23)</f>
        <v>41867.362071759257</v>
      </c>
      <c r="C1269">
        <v>5969.1074219000002</v>
      </c>
      <c r="D1269">
        <v>4704.7563477000003</v>
      </c>
      <c r="E1269">
        <v>640.65393066000001</v>
      </c>
      <c r="F1269">
        <v>101.32499695</v>
      </c>
      <c r="G1269">
        <v>80</v>
      </c>
      <c r="H1269">
        <v>79.960128784000005</v>
      </c>
      <c r="I1269">
        <v>50</v>
      </c>
      <c r="J1269">
        <v>46.577629088999998</v>
      </c>
      <c r="K1269">
        <v>2400</v>
      </c>
      <c r="L1269">
        <v>0</v>
      </c>
      <c r="M1269">
        <v>0</v>
      </c>
      <c r="N1269">
        <v>779.89270020000004</v>
      </c>
    </row>
    <row r="1270" spans="1:14" x14ac:dyDescent="0.25">
      <c r="A1270">
        <v>1572.450045</v>
      </c>
      <c r="B1270" s="1">
        <f>DATE(2014,8,20) + TIME(10,48,3)</f>
        <v>41871.45003472222</v>
      </c>
      <c r="C1270">
        <v>5964.4023438000004</v>
      </c>
      <c r="D1270">
        <v>4700.0214844000002</v>
      </c>
      <c r="E1270">
        <v>640.68933104999996</v>
      </c>
      <c r="F1270">
        <v>101.32499695</v>
      </c>
      <c r="G1270">
        <v>80</v>
      </c>
      <c r="H1270">
        <v>79.960220336999996</v>
      </c>
      <c r="I1270">
        <v>50</v>
      </c>
      <c r="J1270">
        <v>46.484981537000003</v>
      </c>
      <c r="K1270">
        <v>2400</v>
      </c>
      <c r="L1270">
        <v>0</v>
      </c>
      <c r="M1270">
        <v>0</v>
      </c>
      <c r="N1270">
        <v>779.64971923999997</v>
      </c>
    </row>
    <row r="1271" spans="1:14" x14ac:dyDescent="0.25">
      <c r="A1271">
        <v>1576.6219189999999</v>
      </c>
      <c r="B1271" s="1">
        <f>DATE(2014,8,24) + TIME(14,55,33)</f>
        <v>41875.62190972222</v>
      </c>
      <c r="C1271">
        <v>5959.6645508000001</v>
      </c>
      <c r="D1271">
        <v>4695.2558594000002</v>
      </c>
      <c r="E1271">
        <v>640.72760010000002</v>
      </c>
      <c r="F1271">
        <v>101.32499695</v>
      </c>
      <c r="G1271">
        <v>80</v>
      </c>
      <c r="H1271">
        <v>79.96031189</v>
      </c>
      <c r="I1271">
        <v>50</v>
      </c>
      <c r="J1271">
        <v>46.391075133999998</v>
      </c>
      <c r="K1271">
        <v>2400</v>
      </c>
      <c r="L1271">
        <v>0</v>
      </c>
      <c r="M1271">
        <v>0</v>
      </c>
      <c r="N1271">
        <v>779.40026854999996</v>
      </c>
    </row>
    <row r="1272" spans="1:14" x14ac:dyDescent="0.25">
      <c r="A1272">
        <v>1580.878604</v>
      </c>
      <c r="B1272" s="1">
        <f>DATE(2014,8,28) + TIME(21,5,11)</f>
        <v>41879.878599537034</v>
      </c>
      <c r="C1272">
        <v>5954.9028319999998</v>
      </c>
      <c r="D1272">
        <v>4690.4692383000001</v>
      </c>
      <c r="E1272">
        <v>640.76892090000001</v>
      </c>
      <c r="F1272">
        <v>101.32499695</v>
      </c>
      <c r="G1272">
        <v>80</v>
      </c>
      <c r="H1272">
        <v>79.960411071999999</v>
      </c>
      <c r="I1272">
        <v>50</v>
      </c>
      <c r="J1272">
        <v>46.296100615999997</v>
      </c>
      <c r="K1272">
        <v>2400</v>
      </c>
      <c r="L1272">
        <v>0</v>
      </c>
      <c r="M1272">
        <v>0</v>
      </c>
      <c r="N1272">
        <v>779.14532470999995</v>
      </c>
    </row>
    <row r="1273" spans="1:14" x14ac:dyDescent="0.25">
      <c r="A1273">
        <v>1584</v>
      </c>
      <c r="B1273" s="1">
        <f>DATE(2014,9,1) + TIME(0,0,0)</f>
        <v>41883</v>
      </c>
      <c r="C1273">
        <v>5950.5063477000003</v>
      </c>
      <c r="D1273">
        <v>4686.0488280999998</v>
      </c>
      <c r="E1273">
        <v>640.77966308999999</v>
      </c>
      <c r="F1273">
        <v>101.32499695</v>
      </c>
      <c r="G1273">
        <v>80</v>
      </c>
      <c r="H1273">
        <v>79.960449218999997</v>
      </c>
      <c r="I1273">
        <v>50</v>
      </c>
      <c r="J1273">
        <v>46.213672637999998</v>
      </c>
      <c r="K1273">
        <v>2400</v>
      </c>
      <c r="L1273">
        <v>0</v>
      </c>
      <c r="M1273">
        <v>0</v>
      </c>
      <c r="N1273">
        <v>778.94079590000001</v>
      </c>
    </row>
    <row r="1274" spans="1:14" x14ac:dyDescent="0.25">
      <c r="A1274">
        <v>1588.2881279999999</v>
      </c>
      <c r="B1274" s="1">
        <f>DATE(2014,9,5) + TIME(6,54,54)</f>
        <v>41887.288124999999</v>
      </c>
      <c r="C1274">
        <v>5946.4975586</v>
      </c>
      <c r="D1274">
        <v>4682.0253905999998</v>
      </c>
      <c r="E1274">
        <v>640.86303711000005</v>
      </c>
      <c r="F1274">
        <v>101.32499695</v>
      </c>
      <c r="G1274">
        <v>80</v>
      </c>
      <c r="H1274">
        <v>79.960578917999996</v>
      </c>
      <c r="I1274">
        <v>50</v>
      </c>
      <c r="J1274">
        <v>46.125736236999998</v>
      </c>
      <c r="K1274">
        <v>2400</v>
      </c>
      <c r="L1274">
        <v>0</v>
      </c>
      <c r="M1274">
        <v>0</v>
      </c>
      <c r="N1274">
        <v>778.68023682</v>
      </c>
    </row>
    <row r="1275" spans="1:14" x14ac:dyDescent="0.25">
      <c r="A1275">
        <v>1592.702151</v>
      </c>
      <c r="B1275" s="1">
        <f>DATE(2014,9,9) + TIME(16,51,5)</f>
        <v>41891.702141203707</v>
      </c>
      <c r="C1275">
        <v>5941.9130858999997</v>
      </c>
      <c r="D1275">
        <v>4677.4208983999997</v>
      </c>
      <c r="E1275">
        <v>640.90203856999995</v>
      </c>
      <c r="F1275">
        <v>101.32499695</v>
      </c>
      <c r="G1275">
        <v>80</v>
      </c>
      <c r="H1275">
        <v>79.960670471</v>
      </c>
      <c r="I1275">
        <v>50</v>
      </c>
      <c r="J1275">
        <v>46.032909392999997</v>
      </c>
      <c r="K1275">
        <v>2400</v>
      </c>
      <c r="L1275">
        <v>0</v>
      </c>
      <c r="M1275">
        <v>0</v>
      </c>
      <c r="N1275">
        <v>778.42242432</v>
      </c>
    </row>
    <row r="1276" spans="1:14" x14ac:dyDescent="0.25">
      <c r="A1276">
        <v>1597.193006</v>
      </c>
      <c r="B1276" s="1">
        <f>DATE(2014,9,14) + TIME(4,37,55)</f>
        <v>41896.192997685182</v>
      </c>
      <c r="C1276">
        <v>5937.1992188000004</v>
      </c>
      <c r="D1276">
        <v>4672.6889647999997</v>
      </c>
      <c r="E1276">
        <v>640.95416260000002</v>
      </c>
      <c r="F1276">
        <v>101.32499695</v>
      </c>
      <c r="G1276">
        <v>80</v>
      </c>
      <c r="H1276">
        <v>79.960762024000005</v>
      </c>
      <c r="I1276">
        <v>50</v>
      </c>
      <c r="J1276">
        <v>45.937389373999999</v>
      </c>
      <c r="K1276">
        <v>2400</v>
      </c>
      <c r="L1276">
        <v>0</v>
      </c>
      <c r="M1276">
        <v>0</v>
      </c>
      <c r="N1276">
        <v>778.16198729999996</v>
      </c>
    </row>
    <row r="1277" spans="1:14" x14ac:dyDescent="0.25">
      <c r="A1277">
        <v>1601.7690210000001</v>
      </c>
      <c r="B1277" s="1">
        <f>DATE(2014,9,18) + TIME(18,27,23)</f>
        <v>41900.769016203703</v>
      </c>
      <c r="C1277">
        <v>5932.4433594000002</v>
      </c>
      <c r="D1277">
        <v>4667.9160155999998</v>
      </c>
      <c r="E1277">
        <v>641.01287841999999</v>
      </c>
      <c r="F1277">
        <v>101.32499695</v>
      </c>
      <c r="G1277">
        <v>80</v>
      </c>
      <c r="H1277">
        <v>79.960853576999995</v>
      </c>
      <c r="I1277">
        <v>50</v>
      </c>
      <c r="J1277">
        <v>45.840221405000001</v>
      </c>
      <c r="K1277">
        <v>2400</v>
      </c>
      <c r="L1277">
        <v>0</v>
      </c>
      <c r="M1277">
        <v>0</v>
      </c>
      <c r="N1277">
        <v>777.89428711000005</v>
      </c>
    </row>
    <row r="1278" spans="1:14" x14ac:dyDescent="0.25">
      <c r="A1278">
        <v>1606.3990659999999</v>
      </c>
      <c r="B1278" s="1">
        <f>DATE(2014,9,23) + TIME(9,34,39)</f>
        <v>41905.399062500001</v>
      </c>
      <c r="C1278">
        <v>5927.6699219000002</v>
      </c>
      <c r="D1278">
        <v>4663.1274414</v>
      </c>
      <c r="E1278">
        <v>641.07629395000004</v>
      </c>
      <c r="F1278">
        <v>101.32499695</v>
      </c>
      <c r="G1278">
        <v>80</v>
      </c>
      <c r="H1278">
        <v>79.960952758999994</v>
      </c>
      <c r="I1278">
        <v>50</v>
      </c>
      <c r="J1278">
        <v>45.742084503000001</v>
      </c>
      <c r="K1278">
        <v>2400</v>
      </c>
      <c r="L1278">
        <v>0</v>
      </c>
      <c r="M1278">
        <v>0</v>
      </c>
      <c r="N1278">
        <v>777.62249756000006</v>
      </c>
    </row>
    <row r="1279" spans="1:14" x14ac:dyDescent="0.25">
      <c r="A1279">
        <v>1611.092314</v>
      </c>
      <c r="B1279" s="1">
        <f>DATE(2014,9,28) + TIME(2,12,55)</f>
        <v>41910.092303240737</v>
      </c>
      <c r="C1279">
        <v>5922.9003905999998</v>
      </c>
      <c r="D1279">
        <v>4658.34375</v>
      </c>
      <c r="E1279">
        <v>641.14550781000003</v>
      </c>
      <c r="F1279">
        <v>101.32499695</v>
      </c>
      <c r="G1279">
        <v>80</v>
      </c>
      <c r="H1279">
        <v>79.961044311999999</v>
      </c>
      <c r="I1279">
        <v>50</v>
      </c>
      <c r="J1279">
        <v>45.643291472999998</v>
      </c>
      <c r="K1279">
        <v>2400</v>
      </c>
      <c r="L1279">
        <v>0</v>
      </c>
      <c r="M1279">
        <v>0</v>
      </c>
      <c r="N1279">
        <v>777.34777831999997</v>
      </c>
    </row>
    <row r="1280" spans="1:14" x14ac:dyDescent="0.25">
      <c r="A1280">
        <v>1614</v>
      </c>
      <c r="B1280" s="1">
        <f>DATE(2014,10,1) + TIME(0,0,0)</f>
        <v>41913</v>
      </c>
      <c r="C1280">
        <v>5918.7255858999997</v>
      </c>
      <c r="D1280">
        <v>4654.1552733999997</v>
      </c>
      <c r="E1280">
        <v>641.16992187999995</v>
      </c>
      <c r="F1280">
        <v>101.32499695</v>
      </c>
      <c r="G1280">
        <v>80</v>
      </c>
      <c r="H1280">
        <v>79.961059570000003</v>
      </c>
      <c r="I1280">
        <v>50</v>
      </c>
      <c r="J1280">
        <v>45.564094543000003</v>
      </c>
      <c r="K1280">
        <v>2400</v>
      </c>
      <c r="L1280">
        <v>0</v>
      </c>
      <c r="M1280">
        <v>0</v>
      </c>
      <c r="N1280">
        <v>777.16082763999998</v>
      </c>
    </row>
    <row r="1281" spans="1:14" x14ac:dyDescent="0.25">
      <c r="A1281">
        <v>1618.7681709999999</v>
      </c>
      <c r="B1281" s="1">
        <f>DATE(2014,10,5) + TIME(18,26,9)</f>
        <v>41917.768159722225</v>
      </c>
      <c r="C1281">
        <v>5914.9692383000001</v>
      </c>
      <c r="D1281">
        <v>4650.3930664</v>
      </c>
      <c r="E1281">
        <v>641.29113770000004</v>
      </c>
      <c r="F1281">
        <v>101.32499695</v>
      </c>
      <c r="G1281">
        <v>80</v>
      </c>
      <c r="H1281">
        <v>79.961212157999995</v>
      </c>
      <c r="I1281">
        <v>50</v>
      </c>
      <c r="J1281">
        <v>45.475532532000003</v>
      </c>
      <c r="K1281">
        <v>2400</v>
      </c>
      <c r="L1281">
        <v>0</v>
      </c>
      <c r="M1281">
        <v>0</v>
      </c>
      <c r="N1281">
        <v>776.87469481999995</v>
      </c>
    </row>
    <row r="1282" spans="1:14" x14ac:dyDescent="0.25">
      <c r="A1282">
        <v>1623.6768420000001</v>
      </c>
      <c r="B1282" s="1">
        <f>DATE(2014,10,10) + TIME(16,14,39)</f>
        <v>41922.676840277774</v>
      </c>
      <c r="C1282">
        <v>5910.4028319999998</v>
      </c>
      <c r="D1282">
        <v>4645.8149414</v>
      </c>
      <c r="E1282">
        <v>641.35980225000003</v>
      </c>
      <c r="F1282">
        <v>101.32499695</v>
      </c>
      <c r="G1282">
        <v>80</v>
      </c>
      <c r="H1282">
        <v>79.961303710999999</v>
      </c>
      <c r="I1282">
        <v>50</v>
      </c>
      <c r="J1282">
        <v>45.379459380999997</v>
      </c>
      <c r="K1282">
        <v>2400</v>
      </c>
      <c r="L1282">
        <v>0</v>
      </c>
      <c r="M1282">
        <v>0</v>
      </c>
      <c r="N1282">
        <v>776.60760498000002</v>
      </c>
    </row>
    <row r="1283" spans="1:14" x14ac:dyDescent="0.25">
      <c r="A1283">
        <v>1628.664992</v>
      </c>
      <c r="B1283" s="1">
        <f>DATE(2014,10,15) + TIME(15,57,35)</f>
        <v>41927.664988425924</v>
      </c>
      <c r="C1283">
        <v>5905.6582030999998</v>
      </c>
      <c r="D1283">
        <v>4641.0600586</v>
      </c>
      <c r="E1283">
        <v>641.44915771000001</v>
      </c>
      <c r="F1283">
        <v>101.32499695</v>
      </c>
      <c r="G1283">
        <v>80</v>
      </c>
      <c r="H1283">
        <v>79.961395264000004</v>
      </c>
      <c r="I1283">
        <v>50</v>
      </c>
      <c r="J1283">
        <v>45.279586792000003</v>
      </c>
      <c r="K1283">
        <v>2400</v>
      </c>
      <c r="L1283">
        <v>0</v>
      </c>
      <c r="M1283">
        <v>0</v>
      </c>
      <c r="N1283">
        <v>776.33892821999996</v>
      </c>
    </row>
    <row r="1284" spans="1:14" x14ac:dyDescent="0.25">
      <c r="A1284">
        <v>1633.7126510000001</v>
      </c>
      <c r="B1284" s="1">
        <f>DATE(2014,10,20) + TIME(17,6,13)</f>
        <v>41932.712650462963</v>
      </c>
      <c r="C1284">
        <v>5900.8666991999999</v>
      </c>
      <c r="D1284">
        <v>4636.2587891000003</v>
      </c>
      <c r="E1284">
        <v>641.54785156000003</v>
      </c>
      <c r="F1284">
        <v>101.32499695</v>
      </c>
      <c r="G1284">
        <v>80</v>
      </c>
      <c r="H1284">
        <v>79.961486816000004</v>
      </c>
      <c r="I1284">
        <v>50</v>
      </c>
      <c r="J1284">
        <v>45.177867888999998</v>
      </c>
      <c r="K1284">
        <v>2400</v>
      </c>
      <c r="L1284">
        <v>0</v>
      </c>
      <c r="M1284">
        <v>0</v>
      </c>
      <c r="N1284">
        <v>776.06567383000004</v>
      </c>
    </row>
    <row r="1285" spans="1:14" x14ac:dyDescent="0.25">
      <c r="A1285">
        <v>1638.8370990000001</v>
      </c>
      <c r="B1285" s="1">
        <f>DATE(2014,10,25) + TIME(20,5,25)</f>
        <v>41937.837094907409</v>
      </c>
      <c r="C1285">
        <v>5896.0688477000003</v>
      </c>
      <c r="D1285">
        <v>4631.4521483999997</v>
      </c>
      <c r="E1285">
        <v>641.65496826000003</v>
      </c>
      <c r="F1285">
        <v>101.32499695</v>
      </c>
      <c r="G1285">
        <v>80</v>
      </c>
      <c r="H1285">
        <v>79.961585998999993</v>
      </c>
      <c r="I1285">
        <v>50</v>
      </c>
      <c r="J1285">
        <v>45.075038910000004</v>
      </c>
      <c r="K1285">
        <v>2400</v>
      </c>
      <c r="L1285">
        <v>0</v>
      </c>
      <c r="M1285">
        <v>0</v>
      </c>
      <c r="N1285">
        <v>775.79144286999997</v>
      </c>
    </row>
    <row r="1286" spans="1:14" x14ac:dyDescent="0.25">
      <c r="A1286">
        <v>1644.0523920000001</v>
      </c>
      <c r="B1286" s="1">
        <f>DATE(2014,10,31) + TIME(1,15,26)</f>
        <v>41943.052384259259</v>
      </c>
      <c r="C1286">
        <v>5891.2583008000001</v>
      </c>
      <c r="D1286">
        <v>4626.6333008000001</v>
      </c>
      <c r="E1286">
        <v>641.77032470999995</v>
      </c>
      <c r="F1286">
        <v>101.32499695</v>
      </c>
      <c r="G1286">
        <v>80</v>
      </c>
      <c r="H1286">
        <v>79.961685181000007</v>
      </c>
      <c r="I1286">
        <v>50</v>
      </c>
      <c r="J1286">
        <v>44.971210480000003</v>
      </c>
      <c r="K1286">
        <v>2400</v>
      </c>
      <c r="L1286">
        <v>0</v>
      </c>
      <c r="M1286">
        <v>0</v>
      </c>
      <c r="N1286">
        <v>775.51922606999995</v>
      </c>
    </row>
    <row r="1287" spans="1:14" x14ac:dyDescent="0.25">
      <c r="A1287">
        <v>1645</v>
      </c>
      <c r="B1287" s="1">
        <f>DATE(2014,11,1) + TIME(0,0,0)</f>
        <v>41944</v>
      </c>
      <c r="C1287">
        <v>5888.7373047000001</v>
      </c>
      <c r="D1287">
        <v>4624.1025391000003</v>
      </c>
      <c r="E1287">
        <v>641.67950439000003</v>
      </c>
      <c r="F1287">
        <v>101.32499695</v>
      </c>
      <c r="G1287">
        <v>80</v>
      </c>
      <c r="H1287">
        <v>79.961593628000003</v>
      </c>
      <c r="I1287">
        <v>50</v>
      </c>
      <c r="J1287">
        <v>44.932807922000002</v>
      </c>
      <c r="K1287">
        <v>2400</v>
      </c>
      <c r="L1287">
        <v>0</v>
      </c>
      <c r="M1287">
        <v>0</v>
      </c>
      <c r="N1287">
        <v>775.50891113</v>
      </c>
    </row>
    <row r="1288" spans="1:14" x14ac:dyDescent="0.25">
      <c r="A1288">
        <v>1645.0000010000001</v>
      </c>
      <c r="B1288" s="1">
        <f>DATE(2014,11,1) + TIME(0,0,0)</f>
        <v>41944</v>
      </c>
      <c r="C1288">
        <v>4623.1743164</v>
      </c>
      <c r="D1288">
        <v>3354.7080077999999</v>
      </c>
      <c r="E1288">
        <v>2482.7841797000001</v>
      </c>
      <c r="F1288">
        <v>642.19860840000001</v>
      </c>
      <c r="G1288">
        <v>80</v>
      </c>
      <c r="H1288">
        <v>79.961456299000005</v>
      </c>
      <c r="I1288">
        <v>50</v>
      </c>
      <c r="J1288">
        <v>44.932876587000003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1645.000004</v>
      </c>
      <c r="B1289" s="1">
        <f>DATE(2014,11,1) + TIME(0,0,0)</f>
        <v>41944</v>
      </c>
      <c r="C1289">
        <v>4620.3955077999999</v>
      </c>
      <c r="D1289">
        <v>3351.9230957</v>
      </c>
      <c r="E1289">
        <v>2484.5847168</v>
      </c>
      <c r="F1289">
        <v>643.75415038999995</v>
      </c>
      <c r="G1289">
        <v>80</v>
      </c>
      <c r="H1289">
        <v>79.961051940999994</v>
      </c>
      <c r="I1289">
        <v>50</v>
      </c>
      <c r="J1289">
        <v>44.933082581000001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1645.0000130000001</v>
      </c>
      <c r="B1290" s="1">
        <f>DATE(2014,11,1) + TIME(0,0,1)</f>
        <v>41944.000011574077</v>
      </c>
      <c r="C1290">
        <v>4612.109375</v>
      </c>
      <c r="D1290">
        <v>3343.6184082</v>
      </c>
      <c r="E1290">
        <v>2489.9658202999999</v>
      </c>
      <c r="F1290">
        <v>648.40582274999997</v>
      </c>
      <c r="G1290">
        <v>80</v>
      </c>
      <c r="H1290">
        <v>79.959838867000002</v>
      </c>
      <c r="I1290">
        <v>50</v>
      </c>
      <c r="J1290">
        <v>44.933696746999999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1645.0000399999999</v>
      </c>
      <c r="B1291" s="1">
        <f>DATE(2014,11,1) + TIME(0,0,3)</f>
        <v>41944.000034722223</v>
      </c>
      <c r="C1291">
        <v>4587.6923827999999</v>
      </c>
      <c r="D1291">
        <v>3319.1479491999999</v>
      </c>
      <c r="E1291">
        <v>2505.9257812000001</v>
      </c>
      <c r="F1291">
        <v>662.22576904000005</v>
      </c>
      <c r="G1291">
        <v>80</v>
      </c>
      <c r="H1291">
        <v>79.956275939999998</v>
      </c>
      <c r="I1291">
        <v>50</v>
      </c>
      <c r="J1291">
        <v>44.935527802000003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1645.000121</v>
      </c>
      <c r="B1292" s="1">
        <f>DATE(2014,11,1) + TIME(0,0,10)</f>
        <v>41944.000115740739</v>
      </c>
      <c r="C1292">
        <v>4518.1533202999999</v>
      </c>
      <c r="D1292">
        <v>3249.4565429999998</v>
      </c>
      <c r="E1292">
        <v>2552.2253418</v>
      </c>
      <c r="F1292">
        <v>702.51556396000001</v>
      </c>
      <c r="G1292">
        <v>80</v>
      </c>
      <c r="H1292">
        <v>79.946121215999995</v>
      </c>
      <c r="I1292">
        <v>50</v>
      </c>
      <c r="J1292">
        <v>44.940879821999999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1645.000364</v>
      </c>
      <c r="B1293" s="1">
        <f>DATE(2014,11,1) + TIME(0,0,31)</f>
        <v>41944.000358796293</v>
      </c>
      <c r="C1293">
        <v>4337.1303711</v>
      </c>
      <c r="D1293">
        <v>3068.0490722999998</v>
      </c>
      <c r="E1293">
        <v>2678.5988769999999</v>
      </c>
      <c r="F1293">
        <v>813.90344238</v>
      </c>
      <c r="G1293">
        <v>80</v>
      </c>
      <c r="H1293">
        <v>79.919723511000001</v>
      </c>
      <c r="I1293">
        <v>50</v>
      </c>
      <c r="J1293">
        <v>44.955799102999997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1645.0010930000001</v>
      </c>
      <c r="B1294" s="1">
        <f>DATE(2014,11,1) + TIME(0,1,34)</f>
        <v>41944.001087962963</v>
      </c>
      <c r="C1294">
        <v>3950.1489258000001</v>
      </c>
      <c r="D1294">
        <v>2680.2861327999999</v>
      </c>
      <c r="E1294">
        <v>2976.4082030999998</v>
      </c>
      <c r="F1294">
        <v>1083.5739745999999</v>
      </c>
      <c r="G1294">
        <v>80</v>
      </c>
      <c r="H1294">
        <v>79.863449097</v>
      </c>
      <c r="I1294">
        <v>50</v>
      </c>
      <c r="J1294">
        <v>44.992801665999998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1645.002976</v>
      </c>
      <c r="B1295" s="1">
        <f>DATE(2014,11,1) + TIME(0,4,17)</f>
        <v>41944.002974537034</v>
      </c>
      <c r="C1295">
        <v>3396.1611327999999</v>
      </c>
      <c r="D1295">
        <v>2125.3820801000002</v>
      </c>
      <c r="E1295">
        <v>3460.9926758000001</v>
      </c>
      <c r="F1295">
        <v>1538.5456543</v>
      </c>
      <c r="G1295">
        <v>80</v>
      </c>
      <c r="H1295">
        <v>79.783241271999998</v>
      </c>
      <c r="I1295">
        <v>50</v>
      </c>
      <c r="J1295">
        <v>45.059005737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1645.006376</v>
      </c>
      <c r="B1296" s="1">
        <f>DATE(2014,11,1) + TIME(0,9,10)</f>
        <v>41944.006365740737</v>
      </c>
      <c r="C1296">
        <v>2888.359375</v>
      </c>
      <c r="D1296">
        <v>1616.9040527</v>
      </c>
      <c r="E1296">
        <v>3950.1401366999999</v>
      </c>
      <c r="F1296">
        <v>2011.4595947</v>
      </c>
      <c r="G1296">
        <v>80</v>
      </c>
      <c r="H1296">
        <v>79.710212708</v>
      </c>
      <c r="I1296">
        <v>50</v>
      </c>
      <c r="J1296">
        <v>45.135791779000002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1645.013003</v>
      </c>
      <c r="B1297" s="1">
        <f>DATE(2014,11,1) + TIME(0,18,43)</f>
        <v>41944.012997685182</v>
      </c>
      <c r="C1297">
        <v>2407.4128418</v>
      </c>
      <c r="D1297">
        <v>1135.4681396000001</v>
      </c>
      <c r="E1297">
        <v>4434.6933594000002</v>
      </c>
      <c r="F1297">
        <v>2488.5644530999998</v>
      </c>
      <c r="G1297">
        <v>80</v>
      </c>
      <c r="H1297">
        <v>79.641761779999996</v>
      </c>
      <c r="I1297">
        <v>50</v>
      </c>
      <c r="J1297">
        <v>45.230228424000003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1645.026104</v>
      </c>
      <c r="B1298" s="1">
        <f>DATE(2014,11,1) + TIME(0,37,35)</f>
        <v>41944.026099537034</v>
      </c>
      <c r="C1298">
        <v>1942.6708983999999</v>
      </c>
      <c r="D1298">
        <v>670.43945312000005</v>
      </c>
      <c r="E1298">
        <v>4906.2993164</v>
      </c>
      <c r="F1298">
        <v>2957.4428711</v>
      </c>
      <c r="G1298">
        <v>80</v>
      </c>
      <c r="H1298">
        <v>79.576751709000007</v>
      </c>
      <c r="I1298">
        <v>50</v>
      </c>
      <c r="J1298">
        <v>45.356594086000001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1645.0528690000001</v>
      </c>
      <c r="B1299" s="1">
        <f>DATE(2014,11,1) + TIME(1,16,7)</f>
        <v>41944.052858796298</v>
      </c>
      <c r="C1299">
        <v>1476.1823730000001</v>
      </c>
      <c r="D1299">
        <v>203.88507079999999</v>
      </c>
      <c r="E1299">
        <v>5377.8247069999998</v>
      </c>
      <c r="F1299">
        <v>3429.5720215000001</v>
      </c>
      <c r="G1299">
        <v>80</v>
      </c>
      <c r="H1299">
        <v>79.513481139999996</v>
      </c>
      <c r="I1299">
        <v>50</v>
      </c>
      <c r="J1299">
        <v>45.548870086999997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1645.1077499999999</v>
      </c>
      <c r="B1300" s="1">
        <f>DATE(2014,11,1) + TIME(2,35,9)</f>
        <v>41944.107743055552</v>
      </c>
      <c r="C1300">
        <v>1005.4887695</v>
      </c>
      <c r="D1300">
        <v>-266.64758301000001</v>
      </c>
      <c r="E1300">
        <v>5850.2617188000004</v>
      </c>
      <c r="F1300">
        <v>3906.1040039</v>
      </c>
      <c r="G1300">
        <v>80</v>
      </c>
      <c r="H1300">
        <v>79.452987671000002</v>
      </c>
      <c r="I1300">
        <v>50</v>
      </c>
      <c r="J1300">
        <v>45.862968445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1645.2202090000001</v>
      </c>
      <c r="B1301" s="1">
        <f>DATE(2014,11,1) + TIME(5,17,6)</f>
        <v>41944.220208333332</v>
      </c>
      <c r="C1301">
        <v>1003.7969971</v>
      </c>
      <c r="D1301">
        <v>101.32499695</v>
      </c>
      <c r="E1301">
        <v>6316.7900391000003</v>
      </c>
      <c r="F1301">
        <v>4380.7133789</v>
      </c>
      <c r="G1301">
        <v>80</v>
      </c>
      <c r="H1301">
        <v>79.453605651999993</v>
      </c>
      <c r="I1301">
        <v>50</v>
      </c>
      <c r="J1301">
        <v>46.379898071</v>
      </c>
      <c r="K1301">
        <v>0</v>
      </c>
      <c r="L1301">
        <v>1892.4715576000001</v>
      </c>
      <c r="M1301">
        <v>2400</v>
      </c>
      <c r="N1301">
        <v>0</v>
      </c>
    </row>
    <row r="1302" spans="1:14" x14ac:dyDescent="0.25">
      <c r="A1302">
        <v>1645.437758</v>
      </c>
      <c r="B1302" s="1">
        <f>DATE(2014,11,1) + TIME(10,30,22)</f>
        <v>41944.437754629631</v>
      </c>
      <c r="C1302">
        <v>868.08673095999995</v>
      </c>
      <c r="D1302">
        <v>101.32499695</v>
      </c>
      <c r="E1302">
        <v>6740.3515625</v>
      </c>
      <c r="F1302">
        <v>4815.8569336</v>
      </c>
      <c r="G1302">
        <v>80</v>
      </c>
      <c r="H1302">
        <v>79.432136536000002</v>
      </c>
      <c r="I1302">
        <v>50</v>
      </c>
      <c r="J1302">
        <v>47.137092590000002</v>
      </c>
      <c r="K1302">
        <v>0</v>
      </c>
      <c r="L1302">
        <v>1623.2403564000001</v>
      </c>
      <c r="M1302">
        <v>2400</v>
      </c>
      <c r="N1302">
        <v>0</v>
      </c>
    </row>
    <row r="1303" spans="1:14" x14ac:dyDescent="0.25">
      <c r="A1303">
        <v>1645.7250690000001</v>
      </c>
      <c r="B1303" s="1">
        <f>DATE(2014,11,1) + TIME(17,24,5)</f>
        <v>41944.725057870368</v>
      </c>
      <c r="C1303">
        <v>775.90209961000005</v>
      </c>
      <c r="D1303">
        <v>101.32499695</v>
      </c>
      <c r="E1303">
        <v>7027.9858397999997</v>
      </c>
      <c r="F1303">
        <v>5113.7802733999997</v>
      </c>
      <c r="G1303">
        <v>80</v>
      </c>
      <c r="H1303">
        <v>79.410392760999997</v>
      </c>
      <c r="I1303">
        <v>50</v>
      </c>
      <c r="J1303">
        <v>47.867649077999999</v>
      </c>
      <c r="K1303">
        <v>0</v>
      </c>
      <c r="L1303">
        <v>1447.2133789</v>
      </c>
      <c r="M1303">
        <v>2400</v>
      </c>
      <c r="N1303">
        <v>0</v>
      </c>
    </row>
    <row r="1304" spans="1:14" x14ac:dyDescent="0.25">
      <c r="A1304">
        <v>1646.118344</v>
      </c>
      <c r="B1304" s="1">
        <f>DATE(2014,11,2) + TIME(2,50,24)</f>
        <v>41945.118333333332</v>
      </c>
      <c r="C1304">
        <v>709.21405029000005</v>
      </c>
      <c r="D1304">
        <v>101.32499695</v>
      </c>
      <c r="E1304">
        <v>7237.5917969000002</v>
      </c>
      <c r="F1304">
        <v>5332.0263672000001</v>
      </c>
      <c r="G1304">
        <v>80</v>
      </c>
      <c r="H1304">
        <v>79.384979247999993</v>
      </c>
      <c r="I1304">
        <v>50</v>
      </c>
      <c r="J1304">
        <v>48.543395996000001</v>
      </c>
      <c r="K1304">
        <v>0</v>
      </c>
      <c r="L1304">
        <v>1320.8868408000001</v>
      </c>
      <c r="M1304">
        <v>2400</v>
      </c>
      <c r="N1304">
        <v>0</v>
      </c>
    </row>
    <row r="1305" spans="1:14" x14ac:dyDescent="0.25">
      <c r="A1305">
        <v>1646.7003299999999</v>
      </c>
      <c r="B1305" s="1">
        <f>DATE(2014,11,2) + TIME(16,48,28)</f>
        <v>41945.700324074074</v>
      </c>
      <c r="C1305">
        <v>658.03887939000003</v>
      </c>
      <c r="D1305">
        <v>101.32499695</v>
      </c>
      <c r="E1305">
        <v>7399.4594727000003</v>
      </c>
      <c r="F1305">
        <v>5500.5239258000001</v>
      </c>
      <c r="G1305">
        <v>80</v>
      </c>
      <c r="H1305">
        <v>79.351333617999998</v>
      </c>
      <c r="I1305">
        <v>50</v>
      </c>
      <c r="J1305">
        <v>49.132305144999997</v>
      </c>
      <c r="K1305">
        <v>0</v>
      </c>
      <c r="L1305">
        <v>1224.1539307</v>
      </c>
      <c r="M1305">
        <v>2400</v>
      </c>
      <c r="N1305">
        <v>0</v>
      </c>
    </row>
    <row r="1306" spans="1:14" x14ac:dyDescent="0.25">
      <c r="A1306">
        <v>1647.499433</v>
      </c>
      <c r="B1306" s="1">
        <f>DATE(2014,11,3) + TIME(11,59,11)</f>
        <v>41946.499432870369</v>
      </c>
      <c r="C1306">
        <v>622.84210204999999</v>
      </c>
      <c r="D1306">
        <v>101.32499695</v>
      </c>
      <c r="E1306">
        <v>7513.0986327999999</v>
      </c>
      <c r="F1306">
        <v>5617.6254883000001</v>
      </c>
      <c r="G1306">
        <v>80</v>
      </c>
      <c r="H1306">
        <v>79.307479857999994</v>
      </c>
      <c r="I1306">
        <v>50</v>
      </c>
      <c r="J1306">
        <v>49.545780182000001</v>
      </c>
      <c r="K1306">
        <v>0</v>
      </c>
      <c r="L1306">
        <v>1157.6396483999999</v>
      </c>
      <c r="M1306">
        <v>2400</v>
      </c>
      <c r="N1306">
        <v>0</v>
      </c>
    </row>
    <row r="1307" spans="1:14" x14ac:dyDescent="0.25">
      <c r="A1307">
        <v>1648.3953449999999</v>
      </c>
      <c r="B1307" s="1">
        <f>DATE(2014,11,4) + TIME(9,29,17)</f>
        <v>41947.395335648151</v>
      </c>
      <c r="C1307">
        <v>602.94433593999997</v>
      </c>
      <c r="D1307">
        <v>101.32499695</v>
      </c>
      <c r="E1307">
        <v>7579.8735352000003</v>
      </c>
      <c r="F1307">
        <v>5684.8017577999999</v>
      </c>
      <c r="G1307">
        <v>80</v>
      </c>
      <c r="H1307">
        <v>79.256881714000002</v>
      </c>
      <c r="I1307">
        <v>50</v>
      </c>
      <c r="J1307">
        <v>49.769359588999997</v>
      </c>
      <c r="K1307">
        <v>0</v>
      </c>
      <c r="L1307">
        <v>1120.0272216999999</v>
      </c>
      <c r="M1307">
        <v>2400</v>
      </c>
      <c r="N1307">
        <v>0</v>
      </c>
    </row>
    <row r="1308" spans="1:14" x14ac:dyDescent="0.25">
      <c r="A1308">
        <v>1649.5528770000001</v>
      </c>
      <c r="B1308" s="1">
        <f>DATE(2014,11,5) + TIME(13,16,8)</f>
        <v>41948.552870370368</v>
      </c>
      <c r="C1308">
        <v>591.32269286999997</v>
      </c>
      <c r="D1308">
        <v>101.32499695</v>
      </c>
      <c r="E1308">
        <v>7622.2646483999997</v>
      </c>
      <c r="F1308">
        <v>5726.3452147999997</v>
      </c>
      <c r="G1308">
        <v>80</v>
      </c>
      <c r="H1308">
        <v>79.193824767999999</v>
      </c>
      <c r="I1308">
        <v>50</v>
      </c>
      <c r="J1308">
        <v>49.890331267999997</v>
      </c>
      <c r="K1308">
        <v>0</v>
      </c>
      <c r="L1308">
        <v>1097.9852295000001</v>
      </c>
      <c r="M1308">
        <v>2400</v>
      </c>
      <c r="N1308">
        <v>0</v>
      </c>
    </row>
    <row r="1309" spans="1:14" x14ac:dyDescent="0.25">
      <c r="A1309">
        <v>1651.1069259999999</v>
      </c>
      <c r="B1309" s="1">
        <f>DATE(2014,11,7) + TIME(2,33,58)</f>
        <v>41950.106921296298</v>
      </c>
      <c r="C1309">
        <v>585.36285399999997</v>
      </c>
      <c r="D1309">
        <v>101.32499695</v>
      </c>
      <c r="E1309">
        <v>7646.6645508000001</v>
      </c>
      <c r="F1309">
        <v>5748.9321289</v>
      </c>
      <c r="G1309">
        <v>80</v>
      </c>
      <c r="H1309">
        <v>79.113067627000007</v>
      </c>
      <c r="I1309">
        <v>50</v>
      </c>
      <c r="J1309">
        <v>49.947006225999999</v>
      </c>
      <c r="K1309">
        <v>0</v>
      </c>
      <c r="L1309">
        <v>1086.5925293</v>
      </c>
      <c r="M1309">
        <v>2400</v>
      </c>
      <c r="N1309">
        <v>0</v>
      </c>
    </row>
    <row r="1310" spans="1:14" x14ac:dyDescent="0.25">
      <c r="A1310">
        <v>1652.713119</v>
      </c>
      <c r="B1310" s="1">
        <f>DATE(2014,11,8) + TIME(17,6,53)</f>
        <v>41951.713113425925</v>
      </c>
      <c r="C1310">
        <v>583.02844238</v>
      </c>
      <c r="D1310">
        <v>101.32499695</v>
      </c>
      <c r="E1310">
        <v>7656.7436522999997</v>
      </c>
      <c r="F1310">
        <v>5756.6616211</v>
      </c>
      <c r="G1310">
        <v>80</v>
      </c>
      <c r="H1310">
        <v>79.022308350000003</v>
      </c>
      <c r="I1310">
        <v>50</v>
      </c>
      <c r="J1310">
        <v>49.966899871999999</v>
      </c>
      <c r="K1310">
        <v>0</v>
      </c>
      <c r="L1310">
        <v>1082.0804443</v>
      </c>
      <c r="M1310">
        <v>2400</v>
      </c>
      <c r="N1310">
        <v>0</v>
      </c>
    </row>
    <row r="1311" spans="1:14" x14ac:dyDescent="0.25">
      <c r="A1311">
        <v>1654.690241</v>
      </c>
      <c r="B1311" s="1">
        <f>DATE(2014,11,10) + TIME(16,33,56)</f>
        <v>41953.69023148148</v>
      </c>
      <c r="C1311">
        <v>582.14367675999995</v>
      </c>
      <c r="D1311">
        <v>101.32499695</v>
      </c>
      <c r="E1311">
        <v>7661.2011719000002</v>
      </c>
      <c r="F1311">
        <v>5759.2822266000003</v>
      </c>
      <c r="G1311">
        <v>80</v>
      </c>
      <c r="H1311">
        <v>78.914871215999995</v>
      </c>
      <c r="I1311">
        <v>50</v>
      </c>
      <c r="J1311">
        <v>49.974170684999997</v>
      </c>
      <c r="K1311">
        <v>0</v>
      </c>
      <c r="L1311">
        <v>1080.2042236</v>
      </c>
      <c r="M1311">
        <v>2400</v>
      </c>
      <c r="N1311">
        <v>0</v>
      </c>
    </row>
    <row r="1312" spans="1:14" x14ac:dyDescent="0.25">
      <c r="A1312">
        <v>1657.033001</v>
      </c>
      <c r="B1312" s="1">
        <f>DATE(2014,11,13) + TIME(0,47,31)</f>
        <v>41956.032997685186</v>
      </c>
      <c r="C1312">
        <v>581.80487060999997</v>
      </c>
      <c r="D1312">
        <v>101.32499695</v>
      </c>
      <c r="E1312">
        <v>7662.2353516000003</v>
      </c>
      <c r="F1312">
        <v>5758.5703125</v>
      </c>
      <c r="G1312">
        <v>80</v>
      </c>
      <c r="H1312">
        <v>78.788459778000004</v>
      </c>
      <c r="I1312">
        <v>50</v>
      </c>
      <c r="J1312">
        <v>49.976417542</v>
      </c>
      <c r="K1312">
        <v>0</v>
      </c>
      <c r="L1312">
        <v>1079.3264160000001</v>
      </c>
      <c r="M1312">
        <v>2400</v>
      </c>
      <c r="N1312">
        <v>0</v>
      </c>
    </row>
    <row r="1313" spans="1:14" x14ac:dyDescent="0.25">
      <c r="A1313">
        <v>1659.552923</v>
      </c>
      <c r="B1313" s="1">
        <f>DATE(2014,11,15) + TIME(13,16,12)</f>
        <v>41958.552916666667</v>
      </c>
      <c r="C1313">
        <v>581.58343506000006</v>
      </c>
      <c r="D1313">
        <v>101.32499695</v>
      </c>
      <c r="E1313">
        <v>7661.6166991999999</v>
      </c>
      <c r="F1313">
        <v>5756.4130858999997</v>
      </c>
      <c r="G1313">
        <v>80</v>
      </c>
      <c r="H1313">
        <v>78.646255492999998</v>
      </c>
      <c r="I1313">
        <v>50</v>
      </c>
      <c r="J1313">
        <v>49.977027892999999</v>
      </c>
      <c r="K1313">
        <v>0</v>
      </c>
      <c r="L1313">
        <v>1078.6494141000001</v>
      </c>
      <c r="M1313">
        <v>2400</v>
      </c>
      <c r="N1313">
        <v>0</v>
      </c>
    </row>
    <row r="1314" spans="1:14" x14ac:dyDescent="0.25">
      <c r="A1314">
        <v>1662.7214140000001</v>
      </c>
      <c r="B1314" s="1">
        <f>DATE(2014,11,18) + TIME(17,18,50)</f>
        <v>41961.721412037034</v>
      </c>
      <c r="C1314">
        <v>581.40844727000001</v>
      </c>
      <c r="D1314">
        <v>101.32499695</v>
      </c>
      <c r="E1314">
        <v>7660.4941405999998</v>
      </c>
      <c r="F1314">
        <v>5754.0576172000001</v>
      </c>
      <c r="G1314">
        <v>80</v>
      </c>
      <c r="H1314">
        <v>78.480285644999995</v>
      </c>
      <c r="I1314">
        <v>50</v>
      </c>
      <c r="J1314">
        <v>49.977249145999998</v>
      </c>
      <c r="K1314">
        <v>0</v>
      </c>
      <c r="L1314">
        <v>1077.9361572</v>
      </c>
      <c r="M1314">
        <v>2400</v>
      </c>
      <c r="N1314">
        <v>0</v>
      </c>
    </row>
    <row r="1315" spans="1:14" x14ac:dyDescent="0.25">
      <c r="A1315">
        <v>1666.030309</v>
      </c>
      <c r="B1315" s="1">
        <f>DATE(2014,11,22) + TIME(0,43,38)</f>
        <v>41965.030300925922</v>
      </c>
      <c r="C1315">
        <v>581.11145020000004</v>
      </c>
      <c r="D1315">
        <v>101.32499695</v>
      </c>
      <c r="E1315">
        <v>7658.9389647999997</v>
      </c>
      <c r="F1315">
        <v>5751.3149414</v>
      </c>
      <c r="G1315">
        <v>80</v>
      </c>
      <c r="H1315">
        <v>78.293601989999999</v>
      </c>
      <c r="I1315">
        <v>50</v>
      </c>
      <c r="J1315">
        <v>49.977336884000003</v>
      </c>
      <c r="K1315">
        <v>0</v>
      </c>
      <c r="L1315">
        <v>1077.0018310999999</v>
      </c>
      <c r="M1315">
        <v>2400</v>
      </c>
      <c r="N1315">
        <v>0</v>
      </c>
    </row>
    <row r="1316" spans="1:14" x14ac:dyDescent="0.25">
      <c r="A1316">
        <v>1669.9694199999999</v>
      </c>
      <c r="B1316" s="1">
        <f>DATE(2014,11,25) + TIME(23,15,57)</f>
        <v>41968.969409722224</v>
      </c>
      <c r="C1316">
        <v>580.83325194999998</v>
      </c>
      <c r="D1316">
        <v>101.32499695</v>
      </c>
      <c r="E1316">
        <v>7657.4565430000002</v>
      </c>
      <c r="F1316">
        <v>5748.9052733999997</v>
      </c>
      <c r="G1316">
        <v>80</v>
      </c>
      <c r="H1316">
        <v>78.084686278999996</v>
      </c>
      <c r="I1316">
        <v>50</v>
      </c>
      <c r="J1316">
        <v>49.977428435999997</v>
      </c>
      <c r="K1316">
        <v>0</v>
      </c>
      <c r="L1316">
        <v>1075.9681396000001</v>
      </c>
      <c r="M1316">
        <v>2400</v>
      </c>
      <c r="N1316">
        <v>0</v>
      </c>
    </row>
    <row r="1317" spans="1:14" x14ac:dyDescent="0.25">
      <c r="A1317">
        <v>1674.131758</v>
      </c>
      <c r="B1317" s="1">
        <f>DATE(2014,11,30) + TIME(3,9,43)</f>
        <v>41973.131747685184</v>
      </c>
      <c r="C1317">
        <v>580.45635986000002</v>
      </c>
      <c r="D1317">
        <v>101.32499695</v>
      </c>
      <c r="E1317">
        <v>7655.9013672000001</v>
      </c>
      <c r="F1317">
        <v>5746.4970702999999</v>
      </c>
      <c r="G1317">
        <v>80</v>
      </c>
      <c r="H1317">
        <v>77.853645325000002</v>
      </c>
      <c r="I1317">
        <v>50</v>
      </c>
      <c r="J1317">
        <v>49.97750473</v>
      </c>
      <c r="K1317">
        <v>0</v>
      </c>
      <c r="L1317">
        <v>1074.7281493999999</v>
      </c>
      <c r="M1317">
        <v>2400</v>
      </c>
      <c r="N1317">
        <v>0</v>
      </c>
    </row>
    <row r="1318" spans="1:14" x14ac:dyDescent="0.25">
      <c r="A1318">
        <v>1675</v>
      </c>
      <c r="B1318" s="1">
        <f>DATE(2014,12,1) + TIME(0,0,0)</f>
        <v>41974</v>
      </c>
      <c r="C1318">
        <v>579.70385741999996</v>
      </c>
      <c r="D1318">
        <v>101.32499695</v>
      </c>
      <c r="E1318">
        <v>7654.671875</v>
      </c>
      <c r="F1318">
        <v>5744.5952147999997</v>
      </c>
      <c r="G1318">
        <v>80</v>
      </c>
      <c r="H1318">
        <v>77.749008179</v>
      </c>
      <c r="I1318">
        <v>50</v>
      </c>
      <c r="J1318">
        <v>49.977432251000003</v>
      </c>
      <c r="K1318">
        <v>0</v>
      </c>
      <c r="L1318">
        <v>1073.6203613</v>
      </c>
      <c r="M1318">
        <v>2400</v>
      </c>
      <c r="N1318">
        <v>0</v>
      </c>
    </row>
    <row r="1319" spans="1:14" x14ac:dyDescent="0.25">
      <c r="A1319">
        <v>1679.2451699999999</v>
      </c>
      <c r="B1319" s="1">
        <f>DATE(2014,12,5) + TIME(5,53,2)</f>
        <v>41978.245162037034</v>
      </c>
      <c r="C1319">
        <v>580.02416991999996</v>
      </c>
      <c r="D1319">
        <v>101.32499695</v>
      </c>
      <c r="E1319">
        <v>7654.1743164</v>
      </c>
      <c r="F1319">
        <v>5743.9658202999999</v>
      </c>
      <c r="G1319">
        <v>80</v>
      </c>
      <c r="H1319">
        <v>77.541900635000005</v>
      </c>
      <c r="I1319">
        <v>50</v>
      </c>
      <c r="J1319">
        <v>49.977611541999998</v>
      </c>
      <c r="K1319">
        <v>0</v>
      </c>
      <c r="L1319">
        <v>1073.0800781</v>
      </c>
      <c r="M1319">
        <v>2400</v>
      </c>
      <c r="N1319">
        <v>0</v>
      </c>
    </row>
    <row r="1320" spans="1:14" x14ac:dyDescent="0.25">
      <c r="A1320">
        <v>1683.5901229999999</v>
      </c>
      <c r="B1320" s="1">
        <f>DATE(2014,12,9) + TIME(14,9,46)</f>
        <v>41982.590115740742</v>
      </c>
      <c r="C1320">
        <v>579.60992432</v>
      </c>
      <c r="D1320">
        <v>101.32499695</v>
      </c>
      <c r="E1320">
        <v>7652.9404297000001</v>
      </c>
      <c r="F1320">
        <v>5742.2070311999996</v>
      </c>
      <c r="G1320">
        <v>80</v>
      </c>
      <c r="H1320">
        <v>77.307098389000004</v>
      </c>
      <c r="I1320">
        <v>50</v>
      </c>
      <c r="J1320">
        <v>49.977672577</v>
      </c>
      <c r="K1320">
        <v>0</v>
      </c>
      <c r="L1320">
        <v>1071.7418213000001</v>
      </c>
      <c r="M1320">
        <v>2400</v>
      </c>
      <c r="N1320">
        <v>0</v>
      </c>
    </row>
    <row r="1321" spans="1:14" x14ac:dyDescent="0.25">
      <c r="A1321">
        <v>1688.0329079999999</v>
      </c>
      <c r="B1321" s="1">
        <f>DATE(2014,12,14) + TIME(0,47,23)</f>
        <v>41987.032905092594</v>
      </c>
      <c r="C1321">
        <v>579.20434569999998</v>
      </c>
      <c r="D1321">
        <v>101.32499695</v>
      </c>
      <c r="E1321">
        <v>7651.7939452999999</v>
      </c>
      <c r="F1321">
        <v>5740.6269530999998</v>
      </c>
      <c r="G1321">
        <v>80</v>
      </c>
      <c r="H1321">
        <v>77.061668396000002</v>
      </c>
      <c r="I1321">
        <v>50</v>
      </c>
      <c r="J1321">
        <v>49.977741240999997</v>
      </c>
      <c r="K1321">
        <v>0</v>
      </c>
      <c r="L1321">
        <v>1070.3383789</v>
      </c>
      <c r="M1321">
        <v>2400</v>
      </c>
      <c r="N1321">
        <v>0</v>
      </c>
    </row>
    <row r="1322" spans="1:14" x14ac:dyDescent="0.25">
      <c r="A1322">
        <v>1692.560305</v>
      </c>
      <c r="B1322" s="1">
        <f>DATE(2014,12,18) + TIME(13,26,50)</f>
        <v>41991.560300925928</v>
      </c>
      <c r="C1322">
        <v>578.79925536999997</v>
      </c>
      <c r="D1322">
        <v>101.32499695</v>
      </c>
      <c r="E1322">
        <v>7650.7260741999999</v>
      </c>
      <c r="F1322">
        <v>5739.1958008000001</v>
      </c>
      <c r="G1322">
        <v>80</v>
      </c>
      <c r="H1322">
        <v>76.811828613000003</v>
      </c>
      <c r="I1322">
        <v>50</v>
      </c>
      <c r="J1322">
        <v>49.977809905999997</v>
      </c>
      <c r="K1322">
        <v>0</v>
      </c>
      <c r="L1322">
        <v>1068.8942870999999</v>
      </c>
      <c r="M1322">
        <v>2400</v>
      </c>
      <c r="N1322">
        <v>0</v>
      </c>
    </row>
    <row r="1323" spans="1:14" x14ac:dyDescent="0.25">
      <c r="A1323">
        <v>1697.130647</v>
      </c>
      <c r="B1323" s="1">
        <f>DATE(2014,12,23) + TIME(3,8,7)</f>
        <v>41996.130636574075</v>
      </c>
      <c r="C1323">
        <v>578.38946533000001</v>
      </c>
      <c r="D1323">
        <v>101.32499695</v>
      </c>
      <c r="E1323">
        <v>7649.7299805000002</v>
      </c>
      <c r="F1323">
        <v>5737.8935547000001</v>
      </c>
      <c r="G1323">
        <v>80</v>
      </c>
      <c r="H1323">
        <v>76.560707092000001</v>
      </c>
      <c r="I1323">
        <v>50</v>
      </c>
      <c r="J1323">
        <v>49.977874755999999</v>
      </c>
      <c r="K1323">
        <v>0</v>
      </c>
      <c r="L1323">
        <v>1067.4162598</v>
      </c>
      <c r="M1323">
        <v>2400</v>
      </c>
      <c r="N1323">
        <v>0</v>
      </c>
    </row>
    <row r="1324" spans="1:14" x14ac:dyDescent="0.25">
      <c r="A1324">
        <v>1701.766697</v>
      </c>
      <c r="B1324" s="1">
        <f>DATE(2014,12,27) + TIME(18,24,2)</f>
        <v>42000.766689814816</v>
      </c>
      <c r="C1324">
        <v>577.98132324000005</v>
      </c>
      <c r="D1324">
        <v>101.32499695</v>
      </c>
      <c r="E1324">
        <v>7648.7983397999997</v>
      </c>
      <c r="F1324">
        <v>5736.7016602000003</v>
      </c>
      <c r="G1324">
        <v>80</v>
      </c>
      <c r="H1324">
        <v>76.309661864999995</v>
      </c>
      <c r="I1324">
        <v>50</v>
      </c>
      <c r="J1324">
        <v>49.977943420000003</v>
      </c>
      <c r="K1324">
        <v>0</v>
      </c>
      <c r="L1324">
        <v>1065.9152832</v>
      </c>
      <c r="M1324">
        <v>2400</v>
      </c>
      <c r="N1324">
        <v>0</v>
      </c>
    </row>
    <row r="1325" spans="1:14" x14ac:dyDescent="0.25">
      <c r="A1325">
        <v>1706</v>
      </c>
      <c r="B1325" s="1">
        <f>DATE(2015,1,1) + TIME(0,0,0)</f>
        <v>42005</v>
      </c>
      <c r="C1325">
        <v>577.54309081999997</v>
      </c>
      <c r="D1325">
        <v>101.32499695</v>
      </c>
      <c r="E1325">
        <v>7647.9277344000002</v>
      </c>
      <c r="F1325">
        <v>5735.6074219000002</v>
      </c>
      <c r="G1325">
        <v>80</v>
      </c>
      <c r="H1325">
        <v>76.067337035999998</v>
      </c>
      <c r="I1325">
        <v>50</v>
      </c>
      <c r="J1325">
        <v>49.978000641000001</v>
      </c>
      <c r="K1325">
        <v>0</v>
      </c>
      <c r="L1325">
        <v>1064.3934326000001</v>
      </c>
      <c r="M1325">
        <v>2400</v>
      </c>
      <c r="N1325">
        <v>0</v>
      </c>
    </row>
    <row r="1326" spans="1:14" x14ac:dyDescent="0.25">
      <c r="A1326">
        <v>1710.7235840000001</v>
      </c>
      <c r="B1326" s="1">
        <f>DATE(2015,1,5) + TIME(17,21,57)</f>
        <v>42009.723576388889</v>
      </c>
      <c r="C1326">
        <v>577.20843506000006</v>
      </c>
      <c r="D1326">
        <v>101.32499695</v>
      </c>
      <c r="E1326">
        <v>7647.1586914</v>
      </c>
      <c r="F1326">
        <v>5734.6630858999997</v>
      </c>
      <c r="G1326">
        <v>80</v>
      </c>
      <c r="H1326">
        <v>75.827690125000004</v>
      </c>
      <c r="I1326">
        <v>50</v>
      </c>
      <c r="J1326">
        <v>49.978065491000002</v>
      </c>
      <c r="K1326">
        <v>0</v>
      </c>
      <c r="L1326">
        <v>1062.9686279</v>
      </c>
      <c r="M1326">
        <v>2400</v>
      </c>
      <c r="N1326">
        <v>0</v>
      </c>
    </row>
    <row r="1327" spans="1:14" x14ac:dyDescent="0.25">
      <c r="A1327">
        <v>1715.6337390000001</v>
      </c>
      <c r="B1327" s="1">
        <f>DATE(2015,1,10) + TIME(15,12,35)</f>
        <v>42014.633738425924</v>
      </c>
      <c r="C1327">
        <v>576.79217529000005</v>
      </c>
      <c r="D1327">
        <v>101.32499695</v>
      </c>
      <c r="E1327">
        <v>7646.3662108999997</v>
      </c>
      <c r="F1327">
        <v>5733.6992188000004</v>
      </c>
      <c r="G1327">
        <v>80</v>
      </c>
      <c r="H1327">
        <v>75.579452515</v>
      </c>
      <c r="I1327">
        <v>50</v>
      </c>
      <c r="J1327">
        <v>49.978130341000004</v>
      </c>
      <c r="K1327">
        <v>0</v>
      </c>
      <c r="L1327">
        <v>1061.3884277</v>
      </c>
      <c r="M1327">
        <v>2400</v>
      </c>
      <c r="N1327">
        <v>0</v>
      </c>
    </row>
    <row r="1328" spans="1:14" x14ac:dyDescent="0.25">
      <c r="A1328">
        <v>1720.5898340000001</v>
      </c>
      <c r="B1328" s="1">
        <f>DATE(2015,1,15) + TIME(14,9,21)</f>
        <v>42019.589826388888</v>
      </c>
      <c r="C1328">
        <v>576.35766602000001</v>
      </c>
      <c r="D1328">
        <v>101.32499695</v>
      </c>
      <c r="E1328">
        <v>7645.5874022999997</v>
      </c>
      <c r="F1328">
        <v>5732.7661133000001</v>
      </c>
      <c r="G1328">
        <v>80</v>
      </c>
      <c r="H1328">
        <v>75.326240540000001</v>
      </c>
      <c r="I1328">
        <v>50</v>
      </c>
      <c r="J1328">
        <v>49.978191375999998</v>
      </c>
      <c r="K1328">
        <v>0</v>
      </c>
      <c r="L1328">
        <v>1059.7285156</v>
      </c>
      <c r="M1328">
        <v>2400</v>
      </c>
      <c r="N1328">
        <v>0</v>
      </c>
    </row>
    <row r="1329" spans="1:14" x14ac:dyDescent="0.25">
      <c r="A1329">
        <v>1725.6176250000001</v>
      </c>
      <c r="B1329" s="1">
        <f>DATE(2015,1,20) + TIME(14,49,22)</f>
        <v>42024.617615740739</v>
      </c>
      <c r="C1329">
        <v>575.93096923999997</v>
      </c>
      <c r="D1329">
        <v>101.32499695</v>
      </c>
      <c r="E1329">
        <v>7644.8408202999999</v>
      </c>
      <c r="F1329">
        <v>5731.8847655999998</v>
      </c>
      <c r="G1329">
        <v>80</v>
      </c>
      <c r="H1329">
        <v>75.071350097999996</v>
      </c>
      <c r="I1329">
        <v>50</v>
      </c>
      <c r="J1329">
        <v>49.978256225999999</v>
      </c>
      <c r="K1329">
        <v>0</v>
      </c>
      <c r="L1329">
        <v>1058.0283202999999</v>
      </c>
      <c r="M1329">
        <v>2400</v>
      </c>
      <c r="N1329">
        <v>0</v>
      </c>
    </row>
    <row r="1330" spans="1:14" x14ac:dyDescent="0.25">
      <c r="A1330">
        <v>1730.7408780000001</v>
      </c>
      <c r="B1330" s="1">
        <f>DATE(2015,1,25) + TIME(17,46,51)</f>
        <v>42029.740868055553</v>
      </c>
      <c r="C1330">
        <v>575.50793456999997</v>
      </c>
      <c r="D1330">
        <v>101.32499695</v>
      </c>
      <c r="E1330">
        <v>7644.1225586</v>
      </c>
      <c r="F1330">
        <v>5731.0458983999997</v>
      </c>
      <c r="G1330">
        <v>80</v>
      </c>
      <c r="H1330">
        <v>74.814506531000006</v>
      </c>
      <c r="I1330">
        <v>50</v>
      </c>
      <c r="J1330">
        <v>49.978321074999997</v>
      </c>
      <c r="K1330">
        <v>0</v>
      </c>
      <c r="L1330">
        <v>1056.2766113</v>
      </c>
      <c r="M1330">
        <v>2400</v>
      </c>
      <c r="N1330">
        <v>0</v>
      </c>
    </row>
    <row r="1331" spans="1:14" x14ac:dyDescent="0.25">
      <c r="A1331">
        <v>1735.9651839999999</v>
      </c>
      <c r="B1331" s="1">
        <f>DATE(2015,1,30) + TIME(23,9,51)</f>
        <v>42034.965173611112</v>
      </c>
      <c r="C1331">
        <v>575.08624268000005</v>
      </c>
      <c r="D1331">
        <v>101.32499695</v>
      </c>
      <c r="E1331">
        <v>7643.4291991999999</v>
      </c>
      <c r="F1331">
        <v>5730.2441405999998</v>
      </c>
      <c r="G1331">
        <v>80</v>
      </c>
      <c r="H1331">
        <v>74.554939270000006</v>
      </c>
      <c r="I1331">
        <v>50</v>
      </c>
      <c r="J1331">
        <v>49.978385924999998</v>
      </c>
      <c r="K1331">
        <v>0</v>
      </c>
      <c r="L1331">
        <v>1054.4603271000001</v>
      </c>
      <c r="M1331">
        <v>2400</v>
      </c>
      <c r="N1331">
        <v>0</v>
      </c>
    </row>
    <row r="1332" spans="1:14" x14ac:dyDescent="0.25">
      <c r="A1332">
        <v>1737</v>
      </c>
      <c r="B1332" s="1">
        <f>DATE(2015,2,1) + TIME(0,0,0)</f>
        <v>42036</v>
      </c>
      <c r="C1332">
        <v>574.19940185999997</v>
      </c>
      <c r="D1332">
        <v>101.32499695</v>
      </c>
      <c r="E1332">
        <v>7642.9287108999997</v>
      </c>
      <c r="F1332">
        <v>5729.6499022999997</v>
      </c>
      <c r="G1332">
        <v>80</v>
      </c>
      <c r="H1332">
        <v>74.438171386999997</v>
      </c>
      <c r="I1332">
        <v>50</v>
      </c>
      <c r="J1332">
        <v>49.978370667</v>
      </c>
      <c r="K1332">
        <v>0</v>
      </c>
      <c r="L1332">
        <v>1052.7736815999999</v>
      </c>
      <c r="M1332">
        <v>2400</v>
      </c>
      <c r="N1332">
        <v>0</v>
      </c>
    </row>
    <row r="1333" spans="1:14" x14ac:dyDescent="0.25">
      <c r="A1333">
        <v>1742.3093409999999</v>
      </c>
      <c r="B1333" s="1">
        <f>DATE(2015,2,6) + TIME(7,25,27)</f>
        <v>42041.309340277781</v>
      </c>
      <c r="C1333">
        <v>574.64593506000006</v>
      </c>
      <c r="D1333">
        <v>101.32499695</v>
      </c>
      <c r="E1333">
        <v>7642.6025391000003</v>
      </c>
      <c r="F1333">
        <v>5729.3027344000002</v>
      </c>
      <c r="G1333">
        <v>80</v>
      </c>
      <c r="H1333">
        <v>74.220420837000006</v>
      </c>
      <c r="I1333">
        <v>50</v>
      </c>
      <c r="J1333">
        <v>49.978466034</v>
      </c>
      <c r="K1333">
        <v>0</v>
      </c>
      <c r="L1333">
        <v>1052.1522216999999</v>
      </c>
      <c r="M1333">
        <v>2400</v>
      </c>
      <c r="N1333">
        <v>0</v>
      </c>
    </row>
    <row r="1334" spans="1:14" x14ac:dyDescent="0.25">
      <c r="A1334">
        <v>1747.6979530000001</v>
      </c>
      <c r="B1334" s="1">
        <f>DATE(2015,2,11) + TIME(16,45,3)</f>
        <v>42046.697951388887</v>
      </c>
      <c r="C1334">
        <v>574.19982909999999</v>
      </c>
      <c r="D1334">
        <v>101.32499695</v>
      </c>
      <c r="E1334">
        <v>7641.9877930000002</v>
      </c>
      <c r="F1334">
        <v>5728.6030272999997</v>
      </c>
      <c r="G1334">
        <v>80</v>
      </c>
      <c r="H1334">
        <v>73.968391417999996</v>
      </c>
      <c r="I1334">
        <v>50</v>
      </c>
      <c r="J1334">
        <v>49.978527069000002</v>
      </c>
      <c r="K1334">
        <v>0</v>
      </c>
      <c r="L1334">
        <v>1050.2073975000001</v>
      </c>
      <c r="M1334">
        <v>2400</v>
      </c>
      <c r="N1334">
        <v>0</v>
      </c>
    </row>
    <row r="1335" spans="1:14" x14ac:dyDescent="0.25">
      <c r="A1335">
        <v>1753.181394</v>
      </c>
      <c r="B1335" s="1">
        <f>DATE(2015,2,17) + TIME(4,21,12)</f>
        <v>42052.181388888886</v>
      </c>
      <c r="C1335">
        <v>573.79254149999997</v>
      </c>
      <c r="D1335">
        <v>101.32499695</v>
      </c>
      <c r="E1335">
        <v>7641.3798827999999</v>
      </c>
      <c r="F1335">
        <v>5727.9174805000002</v>
      </c>
      <c r="G1335">
        <v>80</v>
      </c>
      <c r="H1335">
        <v>73.703247070000003</v>
      </c>
      <c r="I1335">
        <v>50</v>
      </c>
      <c r="J1335">
        <v>49.978588104000004</v>
      </c>
      <c r="K1335">
        <v>0</v>
      </c>
      <c r="L1335">
        <v>1048.1553954999999</v>
      </c>
      <c r="M1335">
        <v>2400</v>
      </c>
      <c r="N1335">
        <v>0</v>
      </c>
    </row>
    <row r="1336" spans="1:14" x14ac:dyDescent="0.25">
      <c r="A1336">
        <v>1758.767983</v>
      </c>
      <c r="B1336" s="1">
        <f>DATE(2015,2,22) + TIME(18,25,53)</f>
        <v>42057.767974537041</v>
      </c>
      <c r="C1336">
        <v>573.41064453000001</v>
      </c>
      <c r="D1336">
        <v>101.32499695</v>
      </c>
      <c r="E1336">
        <v>7640.7929688000004</v>
      </c>
      <c r="F1336">
        <v>5727.2602539</v>
      </c>
      <c r="G1336">
        <v>80</v>
      </c>
      <c r="H1336">
        <v>73.430557250999996</v>
      </c>
      <c r="I1336">
        <v>50</v>
      </c>
      <c r="J1336">
        <v>49.978652953999998</v>
      </c>
      <c r="K1336">
        <v>0</v>
      </c>
      <c r="L1336">
        <v>1046.0048827999999</v>
      </c>
      <c r="M1336">
        <v>2400</v>
      </c>
      <c r="N1336">
        <v>0</v>
      </c>
    </row>
    <row r="1337" spans="1:14" x14ac:dyDescent="0.25">
      <c r="A1337">
        <v>1764.457296</v>
      </c>
      <c r="B1337" s="1">
        <f>DATE(2015,2,28) + TIME(10,58,30)</f>
        <v>42063.457291666666</v>
      </c>
      <c r="C1337">
        <v>573.05084228999999</v>
      </c>
      <c r="D1337">
        <v>101.32499695</v>
      </c>
      <c r="E1337">
        <v>7640.2319336</v>
      </c>
      <c r="F1337">
        <v>5726.6352539</v>
      </c>
      <c r="G1337">
        <v>80</v>
      </c>
      <c r="H1337">
        <v>73.151412964000002</v>
      </c>
      <c r="I1337">
        <v>50</v>
      </c>
      <c r="J1337">
        <v>49.978717803999999</v>
      </c>
      <c r="K1337">
        <v>0</v>
      </c>
      <c r="L1337">
        <v>1043.7471923999999</v>
      </c>
      <c r="M1337">
        <v>2400</v>
      </c>
      <c r="N1337">
        <v>0</v>
      </c>
    </row>
    <row r="1338" spans="1:14" x14ac:dyDescent="0.25">
      <c r="A1338">
        <v>1765</v>
      </c>
      <c r="B1338" s="1">
        <f>DATE(2015,3,1) + TIME(0,0,0)</f>
        <v>42064</v>
      </c>
      <c r="C1338">
        <v>571.95361328000001</v>
      </c>
      <c r="D1338">
        <v>101.32499695</v>
      </c>
      <c r="E1338">
        <v>7639.8989258000001</v>
      </c>
      <c r="F1338">
        <v>5726.2485352000003</v>
      </c>
      <c r="G1338">
        <v>80</v>
      </c>
      <c r="H1338">
        <v>73.076095581000004</v>
      </c>
      <c r="I1338">
        <v>50</v>
      </c>
      <c r="J1338">
        <v>49.978698729999998</v>
      </c>
      <c r="K1338">
        <v>0</v>
      </c>
      <c r="L1338">
        <v>1041.7078856999999</v>
      </c>
      <c r="M1338">
        <v>2400</v>
      </c>
      <c r="N1338">
        <v>0</v>
      </c>
    </row>
    <row r="1339" spans="1:14" x14ac:dyDescent="0.25">
      <c r="A1339">
        <v>1770.7563110000001</v>
      </c>
      <c r="B1339" s="1">
        <f>DATE(2015,3,6) + TIME(18,9,5)</f>
        <v>42069.756307870368</v>
      </c>
      <c r="C1339">
        <v>572.73364258000004</v>
      </c>
      <c r="D1339">
        <v>101.32499695</v>
      </c>
      <c r="E1339">
        <v>7639.6298827999999</v>
      </c>
      <c r="F1339">
        <v>5725.96875</v>
      </c>
      <c r="G1339">
        <v>80</v>
      </c>
      <c r="H1339">
        <v>72.824539185000006</v>
      </c>
      <c r="I1339">
        <v>50</v>
      </c>
      <c r="J1339">
        <v>49.978790283000002</v>
      </c>
      <c r="K1339">
        <v>0</v>
      </c>
      <c r="L1339">
        <v>1041.1120605000001</v>
      </c>
      <c r="M1339">
        <v>2400</v>
      </c>
      <c r="N1339">
        <v>0</v>
      </c>
    </row>
    <row r="1340" spans="1:14" x14ac:dyDescent="0.25">
      <c r="A1340">
        <v>1776.6193679999999</v>
      </c>
      <c r="B1340" s="1">
        <f>DATE(2015,3,12) + TIME(14,51,53)</f>
        <v>42075.619363425925</v>
      </c>
      <c r="C1340">
        <v>572.40344238</v>
      </c>
      <c r="D1340">
        <v>101.32499695</v>
      </c>
      <c r="E1340">
        <v>7639.1469727000003</v>
      </c>
      <c r="F1340">
        <v>5725.4335938000004</v>
      </c>
      <c r="G1340">
        <v>80</v>
      </c>
      <c r="H1340">
        <v>72.542785644999995</v>
      </c>
      <c r="I1340">
        <v>50</v>
      </c>
      <c r="J1340">
        <v>49.978851317999997</v>
      </c>
      <c r="K1340">
        <v>0</v>
      </c>
      <c r="L1340">
        <v>1038.6489257999999</v>
      </c>
      <c r="M1340">
        <v>2400</v>
      </c>
      <c r="N1340">
        <v>0</v>
      </c>
    </row>
    <row r="1341" spans="1:14" x14ac:dyDescent="0.25">
      <c r="A1341">
        <v>1782.5897990000001</v>
      </c>
      <c r="B1341" s="1">
        <f>DATE(2015,3,18) + TIME(14,9,18)</f>
        <v>42081.589791666665</v>
      </c>
      <c r="C1341">
        <v>572.12731933999999</v>
      </c>
      <c r="D1341">
        <v>101.32499695</v>
      </c>
      <c r="E1341">
        <v>7638.6772461</v>
      </c>
      <c r="F1341">
        <v>5724.9150391000003</v>
      </c>
      <c r="G1341">
        <v>80</v>
      </c>
      <c r="H1341">
        <v>72.246498107999997</v>
      </c>
      <c r="I1341">
        <v>50</v>
      </c>
      <c r="J1341">
        <v>49.978916167999998</v>
      </c>
      <c r="K1341">
        <v>0</v>
      </c>
      <c r="L1341">
        <v>1036.0330810999999</v>
      </c>
      <c r="M1341">
        <v>2400</v>
      </c>
      <c r="N1341">
        <v>0</v>
      </c>
    </row>
    <row r="1342" spans="1:14" x14ac:dyDescent="0.25">
      <c r="A1342">
        <v>1788.667222</v>
      </c>
      <c r="B1342" s="1">
        <f>DATE(2015,3,24) + TIME(16,0,47)</f>
        <v>42087.667210648149</v>
      </c>
      <c r="C1342">
        <v>571.89758300999995</v>
      </c>
      <c r="D1342">
        <v>101.32499695</v>
      </c>
      <c r="E1342">
        <v>7638.234375</v>
      </c>
      <c r="F1342">
        <v>5724.4272461</v>
      </c>
      <c r="G1342">
        <v>80</v>
      </c>
      <c r="H1342">
        <v>71.939826964999995</v>
      </c>
      <c r="I1342">
        <v>50</v>
      </c>
      <c r="J1342">
        <v>49.978981017999999</v>
      </c>
      <c r="K1342">
        <v>0</v>
      </c>
      <c r="L1342">
        <v>1033.2773437999999</v>
      </c>
      <c r="M1342">
        <v>2400</v>
      </c>
      <c r="N1342">
        <v>0</v>
      </c>
    </row>
    <row r="1343" spans="1:14" x14ac:dyDescent="0.25">
      <c r="A1343">
        <v>1794.823322</v>
      </c>
      <c r="B1343" s="1">
        <f>DATE(2015,3,30) + TIME(19,45,34)</f>
        <v>42093.823310185187</v>
      </c>
      <c r="C1343">
        <v>571.71179199000005</v>
      </c>
      <c r="D1343">
        <v>101.32499695</v>
      </c>
      <c r="E1343">
        <v>7637.8217772999997</v>
      </c>
      <c r="F1343">
        <v>5723.9726561999996</v>
      </c>
      <c r="G1343">
        <v>80</v>
      </c>
      <c r="H1343">
        <v>71.624038696</v>
      </c>
      <c r="I1343">
        <v>50</v>
      </c>
      <c r="J1343">
        <v>49.979045868</v>
      </c>
      <c r="K1343">
        <v>0</v>
      </c>
      <c r="L1343">
        <v>1030.3786620999999</v>
      </c>
      <c r="M1343">
        <v>2400</v>
      </c>
      <c r="N1343">
        <v>0</v>
      </c>
    </row>
    <row r="1344" spans="1:14" x14ac:dyDescent="0.25">
      <c r="A1344">
        <v>1796</v>
      </c>
      <c r="B1344" s="1">
        <f>DATE(2015,4,1) + TIME(0,0,0)</f>
        <v>42095</v>
      </c>
      <c r="C1344">
        <v>570.79064941000001</v>
      </c>
      <c r="D1344">
        <v>101.32499695</v>
      </c>
      <c r="E1344">
        <v>7637.4521483999997</v>
      </c>
      <c r="F1344">
        <v>5723.5664061999996</v>
      </c>
      <c r="G1344">
        <v>80</v>
      </c>
      <c r="H1344">
        <v>71.476806640999996</v>
      </c>
      <c r="I1344">
        <v>50</v>
      </c>
      <c r="J1344">
        <v>49.979038238999998</v>
      </c>
      <c r="K1344">
        <v>0</v>
      </c>
      <c r="L1344">
        <v>1027.5661620999999</v>
      </c>
      <c r="M1344">
        <v>2400</v>
      </c>
      <c r="N134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2022-06-15T12:08:56Z</dcterms:created>
  <dcterms:modified xsi:type="dcterms:W3CDTF">2022-06-15T12:09:40Z</dcterms:modified>
</cp:coreProperties>
</file>