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3F3CC6F4-401B-4B3D-8107-B11F8DC4C14C}" xr6:coauthVersionLast="47" xr6:coauthVersionMax="47" xr10:uidLastSave="{00000000-0000-0000-0000-000000000000}"/>
  <bookViews>
    <workbookView xWindow="1515" yWindow="3210" windowWidth="21600" windowHeight="11385" xr2:uid="{AE51ED04-3035-45DE-9D34-72D8A0DBE791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04" i="1" l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<sst xmlns="http://schemas.openxmlformats.org/spreadsheetml/2006/main" count="15" uniqueCount="15">
  <si>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MODEL\SCENARIOS\2022\Parameterstudy_perm_storV_dT\perm100_V1000_dt20.sr3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</si>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</sst>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437DE-3ECF-429E-8544-248140A4C557}" name="Table1" displayName="Table1" ref="A3:N2904" totalsRowShown="0">
  <autoFilter ref="A3:N2904" xr:uid="{E16437DE-3ECF-429E-8544-248140A4C557}"/>
  <tableColumns count="14">
    <tableColumn id="1" xr3:uid="{47BD9EFE-3328-4A57-848C-BD427FDBAB38}" name="Time (day)"/>
    <tableColumn id="2" xr3:uid="{4CD11F99-5971-431C-A630-72BCD7C3129A}" name="Date" dataDxfId="0"/>
    <tableColumn id="3" xr3:uid="{8E6EB7B6-7E79-4DA5-A3A7-CE80882D7E94}" name="Hot well INJ-Well bottom hole temperature (C)"/>
    <tableColumn id="4" xr3:uid="{A467E306-3C0B-41F8-BBF0-C4063B565FE8}" name="Hot well PROD-Well bottom hole temperature (C)"/>
    <tableColumn id="5" xr3:uid="{59A86C54-A4F9-47E6-A8C6-96E00AA27FDF}" name="Warm well INJ-Well bottom hole temperature (C)"/>
    <tableColumn id="6" xr3:uid="{F0FD1CC1-C4AA-4811-BB9E-2735C461242A}" name="Warm well PROD-Well bottom hole temperature (C)"/>
    <tableColumn id="7" xr3:uid="{7BE87DFE-74B3-4872-808F-F0FC17D02DF8}" name="Hot well INJ-Well Bottom-hole Pressure (kPa)"/>
    <tableColumn id="8" xr3:uid="{5FB4782F-F5B4-41F2-8B4A-006181CCC94B}" name="Hot well PROD-Well Bottom-hole Pressure (kPa)"/>
    <tableColumn id="9" xr3:uid="{2230A9D3-6630-4BD9-B426-99A72A01A284}" name="Warm well INJ-Well Bottom-hole Pressure (kPa)"/>
    <tableColumn id="10" xr3:uid="{F69C029E-4A81-4A4B-BD88-4924106253A2}" name="Warm well PROD-Well Bottom-hole Pressure (kPa)"/>
    <tableColumn id="11" xr3:uid="{27F824B1-7185-4A6E-B263-DFFF26D25D0A}" name="Hot well INJ-Fluid Rate SC (m³/day)"/>
    <tableColumn id="12" xr3:uid="{1038D968-9F63-4866-AC23-43F117290C8A}" name="Hot well PROD-Fluid Rate SC (m³/day)"/>
    <tableColumn id="13" xr3:uid="{374480D3-7233-40E0-9B1A-2E7F77B051EF}" name="Warm well INJ-Fluid Rate SC (m³/day)"/>
    <tableColumn id="14" xr3:uid="{9DAC1BAD-4BC8-46DB-9009-5F02604BF113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8EC1-10B9-4B3A-BA98-F75FA1D44C97}">
  <dimension ref="A1:N2904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15.000127792000001</v>
      </c>
      <c r="E4">
        <v>60</v>
      </c>
      <c r="F4">
        <v>14.999956130999999</v>
      </c>
      <c r="G4">
        <v>1334.3566894999999</v>
      </c>
      <c r="H4">
        <v>1329.8388672000001</v>
      </c>
      <c r="I4">
        <v>1328.9821777</v>
      </c>
      <c r="J4">
        <v>1324.4637451000001</v>
      </c>
      <c r="K4">
        <v>2750</v>
      </c>
      <c r="L4">
        <v>0</v>
      </c>
      <c r="M4">
        <v>0</v>
      </c>
      <c r="N4">
        <v>2750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15.000468253999999</v>
      </c>
      <c r="E5">
        <v>60</v>
      </c>
      <c r="F5">
        <v>14.999868393</v>
      </c>
      <c r="G5">
        <v>1335.2095947</v>
      </c>
      <c r="H5">
        <v>1330.6918945</v>
      </c>
      <c r="I5">
        <v>1328.1328125</v>
      </c>
      <c r="J5">
        <v>1323.6145019999999</v>
      </c>
      <c r="K5">
        <v>2750</v>
      </c>
      <c r="L5">
        <v>0</v>
      </c>
      <c r="M5">
        <v>0</v>
      </c>
      <c r="N5">
        <v>2750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15.001349448999999</v>
      </c>
      <c r="E6">
        <v>60</v>
      </c>
      <c r="F6">
        <v>14.999744415</v>
      </c>
      <c r="G6">
        <v>1336.4263916</v>
      </c>
      <c r="H6">
        <v>1331.9088135</v>
      </c>
      <c r="I6">
        <v>1326.9211425999999</v>
      </c>
      <c r="J6">
        <v>1322.4029541</v>
      </c>
      <c r="K6">
        <v>2750</v>
      </c>
      <c r="L6">
        <v>0</v>
      </c>
      <c r="M6">
        <v>0</v>
      </c>
      <c r="N6">
        <v>2750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15.003754616</v>
      </c>
      <c r="E7">
        <v>60</v>
      </c>
      <c r="F7">
        <v>14.999608994000001</v>
      </c>
      <c r="G7">
        <v>1337.7486572</v>
      </c>
      <c r="H7">
        <v>1333.2314452999999</v>
      </c>
      <c r="I7">
        <v>1325.604126</v>
      </c>
      <c r="J7">
        <v>1321.0860596</v>
      </c>
      <c r="K7">
        <v>2750</v>
      </c>
      <c r="L7">
        <v>0</v>
      </c>
      <c r="M7">
        <v>0</v>
      </c>
      <c r="N7">
        <v>2750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15.010694504</v>
      </c>
      <c r="E8">
        <v>60</v>
      </c>
      <c r="F8">
        <v>14.999474525</v>
      </c>
      <c r="G8">
        <v>1339.0566406</v>
      </c>
      <c r="H8">
        <v>1334.5401611</v>
      </c>
      <c r="I8">
        <v>1324.3006591999999</v>
      </c>
      <c r="J8">
        <v>1319.7827147999999</v>
      </c>
      <c r="K8">
        <v>2750</v>
      </c>
      <c r="L8">
        <v>0</v>
      </c>
      <c r="M8">
        <v>0</v>
      </c>
      <c r="N8">
        <v>2750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15.031238556</v>
      </c>
      <c r="E9">
        <v>60</v>
      </c>
      <c r="F9">
        <v>14.999341964999999</v>
      </c>
      <c r="G9">
        <v>1340.3469238</v>
      </c>
      <c r="H9">
        <v>1335.8328856999999</v>
      </c>
      <c r="I9">
        <v>1323.0123291</v>
      </c>
      <c r="J9">
        <v>1318.4943848</v>
      </c>
      <c r="K9">
        <v>2750</v>
      </c>
      <c r="L9">
        <v>0</v>
      </c>
      <c r="M9">
        <v>0</v>
      </c>
      <c r="N9">
        <v>2750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15.092547417</v>
      </c>
      <c r="E10">
        <v>60</v>
      </c>
      <c r="F10">
        <v>14.99921608</v>
      </c>
      <c r="G10">
        <v>1341.5744629000001</v>
      </c>
      <c r="H10">
        <v>1337.0673827999999</v>
      </c>
      <c r="I10">
        <v>1321.7797852000001</v>
      </c>
      <c r="J10">
        <v>1317.2618408000001</v>
      </c>
      <c r="K10">
        <v>2750</v>
      </c>
      <c r="L10">
        <v>0</v>
      </c>
      <c r="M10">
        <v>0</v>
      </c>
      <c r="N10">
        <v>2750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15.275732039999999</v>
      </c>
      <c r="E11">
        <v>60</v>
      </c>
      <c r="F11">
        <v>14.999115944</v>
      </c>
      <c r="G11">
        <v>1342.5412598</v>
      </c>
      <c r="H11">
        <v>1338.0550536999999</v>
      </c>
      <c r="I11">
        <v>1320.7930908000001</v>
      </c>
      <c r="J11">
        <v>1316.2751464999999</v>
      </c>
      <c r="K11">
        <v>2750</v>
      </c>
      <c r="L11">
        <v>0</v>
      </c>
      <c r="M11">
        <v>0</v>
      </c>
      <c r="N11">
        <v>2750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15.821274756999999</v>
      </c>
      <c r="E12">
        <v>60</v>
      </c>
      <c r="F12">
        <v>14.999063491999999</v>
      </c>
      <c r="G12">
        <v>1343.0231934000001</v>
      </c>
      <c r="H12">
        <v>1338.5982666</v>
      </c>
      <c r="I12">
        <v>1320.2624512</v>
      </c>
      <c r="J12">
        <v>1315.7446289</v>
      </c>
      <c r="K12">
        <v>2750</v>
      </c>
      <c r="L12">
        <v>0</v>
      </c>
      <c r="M12">
        <v>0</v>
      </c>
      <c r="N12">
        <v>2750</v>
      </c>
    </row>
    <row r="13" spans="1:14" x14ac:dyDescent="0.25">
      <c r="A13">
        <v>2.1867999999999999E-2</v>
      </c>
      <c r="B13" s="1">
        <f>DATE(2010,5,1) + TIME(0,31,29)</f>
        <v>40299.021863425929</v>
      </c>
      <c r="C13">
        <v>80</v>
      </c>
      <c r="D13">
        <v>16.809078217</v>
      </c>
      <c r="E13">
        <v>60</v>
      </c>
      <c r="F13">
        <v>14.999053955000001</v>
      </c>
      <c r="G13">
        <v>1343.0513916</v>
      </c>
      <c r="H13">
        <v>1338.7304687999999</v>
      </c>
      <c r="I13">
        <v>1320.1318358999999</v>
      </c>
      <c r="J13">
        <v>1315.6138916</v>
      </c>
      <c r="K13">
        <v>2750</v>
      </c>
      <c r="L13">
        <v>0</v>
      </c>
      <c r="M13">
        <v>0</v>
      </c>
      <c r="N13">
        <v>2750</v>
      </c>
    </row>
    <row r="14" spans="1:14" x14ac:dyDescent="0.25">
      <c r="A14">
        <v>3.4042999999999997E-2</v>
      </c>
      <c r="B14" s="1">
        <f>DATE(2010,5,1) + TIME(0,49,1)</f>
        <v>40299.034039351849</v>
      </c>
      <c r="C14">
        <v>80</v>
      </c>
      <c r="D14">
        <v>17.798984527999998</v>
      </c>
      <c r="E14">
        <v>60</v>
      </c>
      <c r="F14">
        <v>14.999056816</v>
      </c>
      <c r="G14">
        <v>1342.9639893000001</v>
      </c>
      <c r="H14">
        <v>1338.7355957</v>
      </c>
      <c r="I14">
        <v>1320.1157227000001</v>
      </c>
      <c r="J14">
        <v>1315.5977783000001</v>
      </c>
      <c r="K14">
        <v>2750</v>
      </c>
      <c r="L14">
        <v>0</v>
      </c>
      <c r="M14">
        <v>0</v>
      </c>
      <c r="N14">
        <v>2750</v>
      </c>
    </row>
    <row r="15" spans="1:14" x14ac:dyDescent="0.25">
      <c r="A15">
        <v>4.6342000000000001E-2</v>
      </c>
      <c r="B15" s="1">
        <f>DATE(2010,5,1) + TIME(1,6,43)</f>
        <v>40299.046331018515</v>
      </c>
      <c r="C15">
        <v>80</v>
      </c>
      <c r="D15">
        <v>18.788957595999999</v>
      </c>
      <c r="E15">
        <v>60</v>
      </c>
      <c r="F15">
        <v>14.999060631000001</v>
      </c>
      <c r="G15">
        <v>1342.8568115</v>
      </c>
      <c r="H15">
        <v>1338.7160644999999</v>
      </c>
      <c r="I15">
        <v>1320.1154785000001</v>
      </c>
      <c r="J15">
        <v>1315.5974120999999</v>
      </c>
      <c r="K15">
        <v>2750</v>
      </c>
      <c r="L15">
        <v>0</v>
      </c>
      <c r="M15">
        <v>0</v>
      </c>
      <c r="N15">
        <v>2750</v>
      </c>
    </row>
    <row r="16" spans="1:14" x14ac:dyDescent="0.25">
      <c r="A16">
        <v>5.8765999999999999E-2</v>
      </c>
      <c r="B16" s="1">
        <f>DATE(2010,5,1) + TIME(1,24,37)</f>
        <v>40299.058761574073</v>
      </c>
      <c r="C16">
        <v>80</v>
      </c>
      <c r="D16">
        <v>19.778976440000001</v>
      </c>
      <c r="E16">
        <v>60</v>
      </c>
      <c r="F16">
        <v>14.999064445</v>
      </c>
      <c r="G16">
        <v>1342.7515868999999</v>
      </c>
      <c r="H16">
        <v>1338.6933594</v>
      </c>
      <c r="I16">
        <v>1320.1165771000001</v>
      </c>
      <c r="J16">
        <v>1315.5985106999999</v>
      </c>
      <c r="K16">
        <v>2750</v>
      </c>
      <c r="L16">
        <v>0</v>
      </c>
      <c r="M16">
        <v>0</v>
      </c>
      <c r="N16">
        <v>2750</v>
      </c>
    </row>
    <row r="17" spans="1:14" x14ac:dyDescent="0.25">
      <c r="A17">
        <v>7.1315000000000003E-2</v>
      </c>
      <c r="B17" s="1">
        <f>DATE(2010,5,1) + TIME(1,42,41)</f>
        <v>40299.07130787037</v>
      </c>
      <c r="C17">
        <v>80</v>
      </c>
      <c r="D17">
        <v>20.769718170000001</v>
      </c>
      <c r="E17">
        <v>60</v>
      </c>
      <c r="F17">
        <v>14.99906826</v>
      </c>
      <c r="G17">
        <v>1342.6527100000001</v>
      </c>
      <c r="H17">
        <v>1338.6726074000001</v>
      </c>
      <c r="I17">
        <v>1320.1174315999999</v>
      </c>
      <c r="J17">
        <v>1315.5993652</v>
      </c>
      <c r="K17">
        <v>2750</v>
      </c>
      <c r="L17">
        <v>0</v>
      </c>
      <c r="M17">
        <v>0</v>
      </c>
      <c r="N17">
        <v>2750</v>
      </c>
    </row>
    <row r="18" spans="1:14" x14ac:dyDescent="0.25">
      <c r="A18">
        <v>8.3981E-2</v>
      </c>
      <c r="B18" s="1">
        <f>DATE(2010,5,1) + TIME(2,0,55)</f>
        <v>40299.083969907406</v>
      </c>
      <c r="C18">
        <v>80</v>
      </c>
      <c r="D18">
        <v>21.760021210000001</v>
      </c>
      <c r="E18">
        <v>60</v>
      </c>
      <c r="F18">
        <v>14.999072075000001</v>
      </c>
      <c r="G18">
        <v>1342.5611572</v>
      </c>
      <c r="H18">
        <v>1338.6549072</v>
      </c>
      <c r="I18">
        <v>1320.1181641000001</v>
      </c>
      <c r="J18">
        <v>1315.5999756000001</v>
      </c>
      <c r="K18">
        <v>2750</v>
      </c>
      <c r="L18">
        <v>0</v>
      </c>
      <c r="M18">
        <v>0</v>
      </c>
      <c r="N18">
        <v>2750</v>
      </c>
    </row>
    <row r="19" spans="1:14" x14ac:dyDescent="0.25">
      <c r="A19">
        <v>9.6770999999999996E-2</v>
      </c>
      <c r="B19" s="1">
        <f>DATE(2010,5,1) + TIME(2,19,21)</f>
        <v>40299.096770833334</v>
      </c>
      <c r="C19">
        <v>80</v>
      </c>
      <c r="D19">
        <v>22.750139235999999</v>
      </c>
      <c r="E19">
        <v>60</v>
      </c>
      <c r="F19">
        <v>14.99907589</v>
      </c>
      <c r="G19">
        <v>1342.4769286999999</v>
      </c>
      <c r="H19">
        <v>1338.6403809000001</v>
      </c>
      <c r="I19">
        <v>1320.1186522999999</v>
      </c>
      <c r="J19">
        <v>1315.6004639</v>
      </c>
      <c r="K19">
        <v>2750</v>
      </c>
      <c r="L19">
        <v>0</v>
      </c>
      <c r="M19">
        <v>0</v>
      </c>
      <c r="N19">
        <v>2750</v>
      </c>
    </row>
    <row r="20" spans="1:14" x14ac:dyDescent="0.25">
      <c r="A20">
        <v>0.10968899999999999</v>
      </c>
      <c r="B20" s="1">
        <f>DATE(2010,5,1) + TIME(2,37,57)</f>
        <v>40299.1096875</v>
      </c>
      <c r="C20">
        <v>80</v>
      </c>
      <c r="D20">
        <v>23.740251540999999</v>
      </c>
      <c r="E20">
        <v>60</v>
      </c>
      <c r="F20">
        <v>14.999079704</v>
      </c>
      <c r="G20">
        <v>1342.3997803</v>
      </c>
      <c r="H20">
        <v>1338.6291504000001</v>
      </c>
      <c r="I20">
        <v>1320.1191406</v>
      </c>
      <c r="J20">
        <v>1315.6009521000001</v>
      </c>
      <c r="K20">
        <v>2750</v>
      </c>
      <c r="L20">
        <v>0</v>
      </c>
      <c r="M20">
        <v>0</v>
      </c>
      <c r="N20">
        <v>2750</v>
      </c>
    </row>
    <row r="21" spans="1:14" x14ac:dyDescent="0.25">
      <c r="A21">
        <v>0.122736</v>
      </c>
      <c r="B21" s="1">
        <f>DATE(2010,5,1) + TIME(2,56,44)</f>
        <v>40299.122731481482</v>
      </c>
      <c r="C21">
        <v>80</v>
      </c>
      <c r="D21">
        <v>24.730340957999999</v>
      </c>
      <c r="E21">
        <v>60</v>
      </c>
      <c r="F21">
        <v>14.999083518999999</v>
      </c>
      <c r="G21">
        <v>1342.3293457</v>
      </c>
      <c r="H21">
        <v>1338.6209716999999</v>
      </c>
      <c r="I21">
        <v>1320.1195068</v>
      </c>
      <c r="J21">
        <v>1315.6013184000001</v>
      </c>
      <c r="K21">
        <v>2750</v>
      </c>
      <c r="L21">
        <v>0</v>
      </c>
      <c r="M21">
        <v>0</v>
      </c>
      <c r="N21">
        <v>2750</v>
      </c>
    </row>
    <row r="22" spans="1:14" x14ac:dyDescent="0.25">
      <c r="A22">
        <v>0.13591400000000001</v>
      </c>
      <c r="B22" s="1">
        <f>DATE(2010,5,1) + TIME(3,15,42)</f>
        <v>40299.13590277778</v>
      </c>
      <c r="C22">
        <v>80</v>
      </c>
      <c r="D22">
        <v>25.720878600999999</v>
      </c>
      <c r="E22">
        <v>60</v>
      </c>
      <c r="F22">
        <v>14.999087334</v>
      </c>
      <c r="G22">
        <v>1342.2653809000001</v>
      </c>
      <c r="H22">
        <v>1338.6157227000001</v>
      </c>
      <c r="I22">
        <v>1320.1199951000001</v>
      </c>
      <c r="J22">
        <v>1315.6016846</v>
      </c>
      <c r="K22">
        <v>2750</v>
      </c>
      <c r="L22">
        <v>0</v>
      </c>
      <c r="M22">
        <v>0</v>
      </c>
      <c r="N22">
        <v>2750</v>
      </c>
    </row>
    <row r="23" spans="1:14" x14ac:dyDescent="0.25">
      <c r="A23">
        <v>0.14921699999999999</v>
      </c>
      <c r="B23" s="1">
        <f>DATE(2010,5,1) + TIME(3,34,52)</f>
        <v>40299.149212962962</v>
      </c>
      <c r="C23">
        <v>80</v>
      </c>
      <c r="D23">
        <v>26.711074829000001</v>
      </c>
      <c r="E23">
        <v>60</v>
      </c>
      <c r="F23">
        <v>14.999091148</v>
      </c>
      <c r="G23">
        <v>1342.2075195</v>
      </c>
      <c r="H23">
        <v>1338.6135254000001</v>
      </c>
      <c r="I23">
        <v>1320.1203613</v>
      </c>
      <c r="J23">
        <v>1315.6020507999999</v>
      </c>
      <c r="K23">
        <v>2750</v>
      </c>
      <c r="L23">
        <v>0</v>
      </c>
      <c r="M23">
        <v>0</v>
      </c>
      <c r="N23">
        <v>2750</v>
      </c>
    </row>
    <row r="24" spans="1:14" x14ac:dyDescent="0.25">
      <c r="A24">
        <v>0.16265199999999999</v>
      </c>
      <c r="B24" s="1">
        <f>DATE(2010,5,1) + TIME(3,54,13)</f>
        <v>40299.16265046296</v>
      </c>
      <c r="C24">
        <v>80</v>
      </c>
      <c r="D24">
        <v>27.701015472000002</v>
      </c>
      <c r="E24">
        <v>60</v>
      </c>
      <c r="F24">
        <v>14.999094962999999</v>
      </c>
      <c r="G24">
        <v>1342.1555175999999</v>
      </c>
      <c r="H24">
        <v>1338.6140137</v>
      </c>
      <c r="I24">
        <v>1320.1207274999999</v>
      </c>
      <c r="J24">
        <v>1315.6024170000001</v>
      </c>
      <c r="K24">
        <v>2750</v>
      </c>
      <c r="L24">
        <v>0</v>
      </c>
      <c r="M24">
        <v>0</v>
      </c>
      <c r="N24">
        <v>2750</v>
      </c>
    </row>
    <row r="25" spans="1:14" x14ac:dyDescent="0.25">
      <c r="A25">
        <v>0.17622399999999999</v>
      </c>
      <c r="B25" s="1">
        <f>DATE(2010,5,1) + TIME(4,13,45)</f>
        <v>40299.176215277781</v>
      </c>
      <c r="C25">
        <v>80</v>
      </c>
      <c r="D25">
        <v>28.690856933999999</v>
      </c>
      <c r="E25">
        <v>60</v>
      </c>
      <c r="F25">
        <v>14.999098778</v>
      </c>
      <c r="G25">
        <v>1342.1090088000001</v>
      </c>
      <c r="H25">
        <v>1338.6171875</v>
      </c>
      <c r="I25">
        <v>1320.1210937999999</v>
      </c>
      <c r="J25">
        <v>1315.6027832</v>
      </c>
      <c r="K25">
        <v>2750</v>
      </c>
      <c r="L25">
        <v>0</v>
      </c>
      <c r="M25">
        <v>0</v>
      </c>
      <c r="N25">
        <v>2750</v>
      </c>
    </row>
    <row r="26" spans="1:14" x14ac:dyDescent="0.25">
      <c r="A26">
        <v>0.18993499999999999</v>
      </c>
      <c r="B26" s="1">
        <f>DATE(2010,5,1) + TIME(4,33,30)</f>
        <v>40299.189930555556</v>
      </c>
      <c r="C26">
        <v>80</v>
      </c>
      <c r="D26">
        <v>29.680576324</v>
      </c>
      <c r="E26">
        <v>60</v>
      </c>
      <c r="F26">
        <v>14.999101638999999</v>
      </c>
      <c r="G26">
        <v>1342.0678711</v>
      </c>
      <c r="H26">
        <v>1338.6229248</v>
      </c>
      <c r="I26">
        <v>1320.1214600000001</v>
      </c>
      <c r="J26">
        <v>1315.6030272999999</v>
      </c>
      <c r="K26">
        <v>2750</v>
      </c>
      <c r="L26">
        <v>0</v>
      </c>
      <c r="M26">
        <v>0</v>
      </c>
      <c r="N26">
        <v>2750</v>
      </c>
    </row>
    <row r="27" spans="1:14" x14ac:dyDescent="0.25">
      <c r="A27">
        <v>0.203788</v>
      </c>
      <c r="B27" s="1">
        <f>DATE(2010,5,1) + TIME(4,53,27)</f>
        <v>40299.203784722224</v>
      </c>
      <c r="C27">
        <v>80</v>
      </c>
      <c r="D27">
        <v>30.670303345000001</v>
      </c>
      <c r="E27">
        <v>60</v>
      </c>
      <c r="F27">
        <v>14.999105453</v>
      </c>
      <c r="G27">
        <v>1342.0316161999999</v>
      </c>
      <c r="H27">
        <v>1338.6309814000001</v>
      </c>
      <c r="I27">
        <v>1320.1218262</v>
      </c>
      <c r="J27">
        <v>1315.6032714999999</v>
      </c>
      <c r="K27">
        <v>2750</v>
      </c>
      <c r="L27">
        <v>0</v>
      </c>
      <c r="M27">
        <v>0</v>
      </c>
      <c r="N27">
        <v>2750</v>
      </c>
    </row>
    <row r="28" spans="1:14" x14ac:dyDescent="0.25">
      <c r="A28">
        <v>0.21778600000000001</v>
      </c>
      <c r="B28" s="1">
        <f>DATE(2010,5,1) + TIME(5,13,36)</f>
        <v>40299.217777777776</v>
      </c>
      <c r="C28">
        <v>80</v>
      </c>
      <c r="D28">
        <v>31.659791945999999</v>
      </c>
      <c r="E28">
        <v>60</v>
      </c>
      <c r="F28">
        <v>14.999109268</v>
      </c>
      <c r="G28">
        <v>1342.0002440999999</v>
      </c>
      <c r="H28">
        <v>1338.6414795000001</v>
      </c>
      <c r="I28">
        <v>1320.1221923999999</v>
      </c>
      <c r="J28">
        <v>1315.6036377</v>
      </c>
      <c r="K28">
        <v>2750</v>
      </c>
      <c r="L28">
        <v>0</v>
      </c>
      <c r="M28">
        <v>0</v>
      </c>
      <c r="N28">
        <v>2750</v>
      </c>
    </row>
    <row r="29" spans="1:14" x14ac:dyDescent="0.25">
      <c r="A29">
        <v>0.231931</v>
      </c>
      <c r="B29" s="1">
        <f>DATE(2010,5,1) + TIME(5,33,58)</f>
        <v>40299.231921296298</v>
      </c>
      <c r="C29">
        <v>80</v>
      </c>
      <c r="D29">
        <v>32.649013519</v>
      </c>
      <c r="E29">
        <v>60</v>
      </c>
      <c r="F29">
        <v>14.999113082999999</v>
      </c>
      <c r="G29">
        <v>1341.9732666</v>
      </c>
      <c r="H29">
        <v>1338.6541748</v>
      </c>
      <c r="I29">
        <v>1320.1224365</v>
      </c>
      <c r="J29">
        <v>1315.6038818</v>
      </c>
      <c r="K29">
        <v>2750</v>
      </c>
      <c r="L29">
        <v>0</v>
      </c>
      <c r="M29">
        <v>0</v>
      </c>
      <c r="N29">
        <v>2750</v>
      </c>
    </row>
    <row r="30" spans="1:14" x14ac:dyDescent="0.25">
      <c r="A30">
        <v>0.24623100000000001</v>
      </c>
      <c r="B30" s="1">
        <f>DATE(2010,5,1) + TIME(5,54,34)</f>
        <v>40299.24622685185</v>
      </c>
      <c r="C30">
        <v>80</v>
      </c>
      <c r="D30">
        <v>33.638019561999997</v>
      </c>
      <c r="E30">
        <v>60</v>
      </c>
      <c r="F30">
        <v>14.999116898</v>
      </c>
      <c r="G30">
        <v>1341.9508057</v>
      </c>
      <c r="H30">
        <v>1338.6689452999999</v>
      </c>
      <c r="I30">
        <v>1320.1228027</v>
      </c>
      <c r="J30">
        <v>1315.604126</v>
      </c>
      <c r="K30">
        <v>2750</v>
      </c>
      <c r="L30">
        <v>0</v>
      </c>
      <c r="M30">
        <v>0</v>
      </c>
      <c r="N30">
        <v>2750</v>
      </c>
    </row>
    <row r="31" spans="1:14" x14ac:dyDescent="0.25">
      <c r="A31">
        <v>0.26068999999999998</v>
      </c>
      <c r="B31" s="1">
        <f>DATE(2010,5,1) + TIME(6,15,23)</f>
        <v>40299.260682870372</v>
      </c>
      <c r="C31">
        <v>80</v>
      </c>
      <c r="D31">
        <v>34.626777648999997</v>
      </c>
      <c r="E31">
        <v>60</v>
      </c>
      <c r="F31">
        <v>14.999120712</v>
      </c>
      <c r="G31">
        <v>1341.932251</v>
      </c>
      <c r="H31">
        <v>1338.6857910000001</v>
      </c>
      <c r="I31">
        <v>1320.1230469</v>
      </c>
      <c r="J31">
        <v>1315.6042480000001</v>
      </c>
      <c r="K31">
        <v>2750</v>
      </c>
      <c r="L31">
        <v>0</v>
      </c>
      <c r="M31">
        <v>0</v>
      </c>
      <c r="N31">
        <v>2750</v>
      </c>
    </row>
    <row r="32" spans="1:14" x14ac:dyDescent="0.25">
      <c r="A32">
        <v>0.275314</v>
      </c>
      <c r="B32" s="1">
        <f>DATE(2010,5,1) + TIME(6,36,27)</f>
        <v>40299.275312500002</v>
      </c>
      <c r="C32">
        <v>80</v>
      </c>
      <c r="D32">
        <v>35.615261078000003</v>
      </c>
      <c r="E32">
        <v>60</v>
      </c>
      <c r="F32">
        <v>14.999123573</v>
      </c>
      <c r="G32">
        <v>1341.9177245999999</v>
      </c>
      <c r="H32">
        <v>1338.7045897999999</v>
      </c>
      <c r="I32">
        <v>1320.1232910000001</v>
      </c>
      <c r="J32">
        <v>1315.6044922000001</v>
      </c>
      <c r="K32">
        <v>2750</v>
      </c>
      <c r="L32">
        <v>0</v>
      </c>
      <c r="M32">
        <v>0</v>
      </c>
      <c r="N32">
        <v>2750</v>
      </c>
    </row>
    <row r="33" spans="1:14" x14ac:dyDescent="0.25">
      <c r="A33">
        <v>0.29010799999999998</v>
      </c>
      <c r="B33" s="1">
        <f>DATE(2010,5,1) + TIME(6,57,45)</f>
        <v>40299.29010416667</v>
      </c>
      <c r="C33">
        <v>80</v>
      </c>
      <c r="D33">
        <v>36.603439330999997</v>
      </c>
      <c r="E33">
        <v>60</v>
      </c>
      <c r="F33">
        <v>14.999127388</v>
      </c>
      <c r="G33">
        <v>1341.9068603999999</v>
      </c>
      <c r="H33">
        <v>1338.7253418</v>
      </c>
      <c r="I33">
        <v>1320.1236572</v>
      </c>
      <c r="J33">
        <v>1315.6047363</v>
      </c>
      <c r="K33">
        <v>2750</v>
      </c>
      <c r="L33">
        <v>0</v>
      </c>
      <c r="M33">
        <v>0</v>
      </c>
      <c r="N33">
        <v>2750</v>
      </c>
    </row>
    <row r="34" spans="1:14" x14ac:dyDescent="0.25">
      <c r="A34">
        <v>0.30507800000000002</v>
      </c>
      <c r="B34" s="1">
        <f>DATE(2010,5,1) + TIME(7,19,18)</f>
        <v>40299.305069444446</v>
      </c>
      <c r="C34">
        <v>80</v>
      </c>
      <c r="D34">
        <v>37.591281891000001</v>
      </c>
      <c r="E34">
        <v>60</v>
      </c>
      <c r="F34">
        <v>14.999131202999999</v>
      </c>
      <c r="G34">
        <v>1341.8995361</v>
      </c>
      <c r="H34">
        <v>1338.7476807</v>
      </c>
      <c r="I34">
        <v>1320.1239014</v>
      </c>
      <c r="J34">
        <v>1315.6048584</v>
      </c>
      <c r="K34">
        <v>2750</v>
      </c>
      <c r="L34">
        <v>0</v>
      </c>
      <c r="M34">
        <v>0</v>
      </c>
      <c r="N34">
        <v>2750</v>
      </c>
    </row>
    <row r="35" spans="1:14" x14ac:dyDescent="0.25">
      <c r="A35">
        <v>0.32023299999999999</v>
      </c>
      <c r="B35" s="1">
        <f>DATE(2010,5,1) + TIME(7,41,8)</f>
        <v>40299.320231481484</v>
      </c>
      <c r="C35">
        <v>80</v>
      </c>
      <c r="D35">
        <v>38.578762054000002</v>
      </c>
      <c r="E35">
        <v>60</v>
      </c>
      <c r="F35">
        <v>14.999135017</v>
      </c>
      <c r="G35">
        <v>1341.8955077999999</v>
      </c>
      <c r="H35">
        <v>1338.7718506000001</v>
      </c>
      <c r="I35">
        <v>1320.1241454999999</v>
      </c>
      <c r="J35">
        <v>1315.6051024999999</v>
      </c>
      <c r="K35">
        <v>2750</v>
      </c>
      <c r="L35">
        <v>0</v>
      </c>
      <c r="M35">
        <v>0</v>
      </c>
      <c r="N35">
        <v>2750</v>
      </c>
    </row>
    <row r="36" spans="1:14" x14ac:dyDescent="0.25">
      <c r="A36">
        <v>0.33557999999999999</v>
      </c>
      <c r="B36" s="1">
        <f>DATE(2010,5,1) + TIME(8,3,14)</f>
        <v>40299.335578703707</v>
      </c>
      <c r="C36">
        <v>80</v>
      </c>
      <c r="D36">
        <v>39.565845490000001</v>
      </c>
      <c r="E36">
        <v>60</v>
      </c>
      <c r="F36">
        <v>14.999137878000001</v>
      </c>
      <c r="G36">
        <v>1341.8946533000001</v>
      </c>
      <c r="H36">
        <v>1338.7974853999999</v>
      </c>
      <c r="I36">
        <v>1320.1243896000001</v>
      </c>
      <c r="J36">
        <v>1315.6052245999999</v>
      </c>
      <c r="K36">
        <v>2750</v>
      </c>
      <c r="L36">
        <v>0</v>
      </c>
      <c r="M36">
        <v>0</v>
      </c>
      <c r="N36">
        <v>2750</v>
      </c>
    </row>
    <row r="37" spans="1:14" x14ac:dyDescent="0.25">
      <c r="A37">
        <v>0.351128</v>
      </c>
      <c r="B37" s="1">
        <f>DATE(2010,5,1) + TIME(8,25,37)</f>
        <v>40299.351122685184</v>
      </c>
      <c r="C37">
        <v>80</v>
      </c>
      <c r="D37">
        <v>40.552623748999999</v>
      </c>
      <c r="E37">
        <v>60</v>
      </c>
      <c r="F37">
        <v>14.999141693</v>
      </c>
      <c r="G37">
        <v>1341.8969727000001</v>
      </c>
      <c r="H37">
        <v>1338.8248291</v>
      </c>
      <c r="I37">
        <v>1320.1245117000001</v>
      </c>
      <c r="J37">
        <v>1315.6053466999999</v>
      </c>
      <c r="K37">
        <v>2750</v>
      </c>
      <c r="L37">
        <v>0</v>
      </c>
      <c r="M37">
        <v>0</v>
      </c>
      <c r="N37">
        <v>2750</v>
      </c>
    </row>
    <row r="38" spans="1:14" x14ac:dyDescent="0.25">
      <c r="A38">
        <v>0.36688500000000002</v>
      </c>
      <c r="B38" s="1">
        <f>DATE(2010,5,1) + TIME(8,48,18)</f>
        <v>40299.366875</v>
      </c>
      <c r="C38">
        <v>80</v>
      </c>
      <c r="D38">
        <v>41.538909912000001</v>
      </c>
      <c r="E38">
        <v>60</v>
      </c>
      <c r="F38">
        <v>14.999145508</v>
      </c>
      <c r="G38">
        <v>1341.9020995999999</v>
      </c>
      <c r="H38">
        <v>1338.8535156</v>
      </c>
      <c r="I38">
        <v>1320.1247559000001</v>
      </c>
      <c r="J38">
        <v>1315.6054687999999</v>
      </c>
      <c r="K38">
        <v>2750</v>
      </c>
      <c r="L38">
        <v>0</v>
      </c>
      <c r="M38">
        <v>0</v>
      </c>
      <c r="N38">
        <v>2750</v>
      </c>
    </row>
    <row r="39" spans="1:14" x14ac:dyDescent="0.25">
      <c r="A39">
        <v>0.38285999999999998</v>
      </c>
      <c r="B39" s="1">
        <f>DATE(2010,5,1) + TIME(9,11,19)</f>
        <v>40299.3828587963</v>
      </c>
      <c r="C39">
        <v>80</v>
      </c>
      <c r="D39">
        <v>42.524597168</v>
      </c>
      <c r="E39">
        <v>60</v>
      </c>
      <c r="F39">
        <v>14.999149322999999</v>
      </c>
      <c r="G39">
        <v>1341.9100341999999</v>
      </c>
      <c r="H39">
        <v>1338.8835449000001</v>
      </c>
      <c r="I39">
        <v>1320.125</v>
      </c>
      <c r="J39">
        <v>1315.6055908000001</v>
      </c>
      <c r="K39">
        <v>2750</v>
      </c>
      <c r="L39">
        <v>0</v>
      </c>
      <c r="M39">
        <v>0</v>
      </c>
      <c r="N39">
        <v>2750</v>
      </c>
    </row>
    <row r="40" spans="1:14" x14ac:dyDescent="0.25">
      <c r="A40">
        <v>0.39906700000000001</v>
      </c>
      <c r="B40" s="1">
        <f>DATE(2010,5,1) + TIME(9,34,39)</f>
        <v>40299.399062500001</v>
      </c>
      <c r="C40">
        <v>80</v>
      </c>
      <c r="D40">
        <v>43.509738921999997</v>
      </c>
      <c r="E40">
        <v>60</v>
      </c>
      <c r="F40">
        <v>14.999152184</v>
      </c>
      <c r="G40">
        <v>1341.9205322</v>
      </c>
      <c r="H40">
        <v>1338.9150391000001</v>
      </c>
      <c r="I40">
        <v>1320.1252440999999</v>
      </c>
      <c r="J40">
        <v>1315.6057129000001</v>
      </c>
      <c r="K40">
        <v>2750</v>
      </c>
      <c r="L40">
        <v>0</v>
      </c>
      <c r="M40">
        <v>0</v>
      </c>
      <c r="N40">
        <v>2750</v>
      </c>
    </row>
    <row r="41" spans="1:14" x14ac:dyDescent="0.25">
      <c r="A41">
        <v>0.41551900000000003</v>
      </c>
      <c r="B41" s="1">
        <f>DATE(2010,5,1) + TIME(9,58,20)</f>
        <v>40299.415509259263</v>
      </c>
      <c r="C41">
        <v>80</v>
      </c>
      <c r="D41">
        <v>44.494297027999998</v>
      </c>
      <c r="E41">
        <v>60</v>
      </c>
      <c r="F41">
        <v>14.999155998000001</v>
      </c>
      <c r="G41">
        <v>1341.9335937999999</v>
      </c>
      <c r="H41">
        <v>1338.9477539</v>
      </c>
      <c r="I41">
        <v>1320.1253661999999</v>
      </c>
      <c r="J41">
        <v>1315.6058350000001</v>
      </c>
      <c r="K41">
        <v>2750</v>
      </c>
      <c r="L41">
        <v>0</v>
      </c>
      <c r="M41">
        <v>0</v>
      </c>
      <c r="N41">
        <v>2750</v>
      </c>
    </row>
    <row r="42" spans="1:14" x14ac:dyDescent="0.25">
      <c r="A42">
        <v>0.43222899999999997</v>
      </c>
      <c r="B42" s="1">
        <f>DATE(2010,5,1) + TIME(10,22,24)</f>
        <v>40299.432222222225</v>
      </c>
      <c r="C42">
        <v>80</v>
      </c>
      <c r="D42">
        <v>45.478221892999997</v>
      </c>
      <c r="E42">
        <v>60</v>
      </c>
      <c r="F42">
        <v>14.999159813</v>
      </c>
      <c r="G42">
        <v>1341.9489745999999</v>
      </c>
      <c r="H42">
        <v>1338.9815673999999</v>
      </c>
      <c r="I42">
        <v>1320.1256103999999</v>
      </c>
      <c r="J42">
        <v>1315.605957</v>
      </c>
      <c r="K42">
        <v>2750</v>
      </c>
      <c r="L42">
        <v>0</v>
      </c>
      <c r="M42">
        <v>0</v>
      </c>
      <c r="N42">
        <v>2750</v>
      </c>
    </row>
    <row r="43" spans="1:14" x14ac:dyDescent="0.25">
      <c r="A43">
        <v>0.449212</v>
      </c>
      <c r="B43" s="1">
        <f>DATE(2010,5,1) + TIME(10,46,51)</f>
        <v>40299.449201388888</v>
      </c>
      <c r="C43">
        <v>80</v>
      </c>
      <c r="D43">
        <v>46.461471558</v>
      </c>
      <c r="E43">
        <v>60</v>
      </c>
      <c r="F43">
        <v>14.999162674000001</v>
      </c>
      <c r="G43">
        <v>1341.9665527</v>
      </c>
      <c r="H43">
        <v>1339.0166016000001</v>
      </c>
      <c r="I43">
        <v>1320.1258545000001</v>
      </c>
      <c r="J43">
        <v>1315.6060791</v>
      </c>
      <c r="K43">
        <v>2750</v>
      </c>
      <c r="L43">
        <v>0</v>
      </c>
      <c r="M43">
        <v>0</v>
      </c>
      <c r="N43">
        <v>2750</v>
      </c>
    </row>
    <row r="44" spans="1:14" x14ac:dyDescent="0.25">
      <c r="A44">
        <v>0.46648400000000001</v>
      </c>
      <c r="B44" s="1">
        <f>DATE(2010,5,1) + TIME(11,11,44)</f>
        <v>40299.466481481482</v>
      </c>
      <c r="C44">
        <v>80</v>
      </c>
      <c r="D44">
        <v>47.443992614999999</v>
      </c>
      <c r="E44">
        <v>60</v>
      </c>
      <c r="F44">
        <v>14.999166489</v>
      </c>
      <c r="G44">
        <v>1341.9864502</v>
      </c>
      <c r="H44">
        <v>1339.0526123</v>
      </c>
      <c r="I44">
        <v>1320.1259766000001</v>
      </c>
      <c r="J44">
        <v>1315.6062012</v>
      </c>
      <c r="K44">
        <v>2750</v>
      </c>
      <c r="L44">
        <v>0</v>
      </c>
      <c r="M44">
        <v>0</v>
      </c>
      <c r="N44">
        <v>2750</v>
      </c>
    </row>
    <row r="45" spans="1:14" x14ac:dyDescent="0.25">
      <c r="A45">
        <v>0.48406300000000002</v>
      </c>
      <c r="B45" s="1">
        <f>DATE(2010,5,1) + TIME(11,37,3)</f>
        <v>40299.4840625</v>
      </c>
      <c r="C45">
        <v>80</v>
      </c>
      <c r="D45">
        <v>48.425735474</v>
      </c>
      <c r="E45">
        <v>60</v>
      </c>
      <c r="F45">
        <v>14.999170303</v>
      </c>
      <c r="G45">
        <v>1342.0083007999999</v>
      </c>
      <c r="H45">
        <v>1339.0897216999999</v>
      </c>
      <c r="I45">
        <v>1320.1262207</v>
      </c>
      <c r="J45">
        <v>1315.6063231999999</v>
      </c>
      <c r="K45">
        <v>2750</v>
      </c>
      <c r="L45">
        <v>0</v>
      </c>
      <c r="M45">
        <v>0</v>
      </c>
      <c r="N45">
        <v>2750</v>
      </c>
    </row>
    <row r="46" spans="1:14" x14ac:dyDescent="0.25">
      <c r="A46">
        <v>0.501969</v>
      </c>
      <c r="B46" s="1">
        <f>DATE(2010,5,1) + TIME(12,2,50)</f>
        <v>40299.501967592594</v>
      </c>
      <c r="C46">
        <v>80</v>
      </c>
      <c r="D46">
        <v>49.406642914000003</v>
      </c>
      <c r="E46">
        <v>60</v>
      </c>
      <c r="F46">
        <v>14.999173164</v>
      </c>
      <c r="G46">
        <v>1342.0322266000001</v>
      </c>
      <c r="H46">
        <v>1339.1278076000001</v>
      </c>
      <c r="I46">
        <v>1320.1263428</v>
      </c>
      <c r="J46">
        <v>1315.6063231999999</v>
      </c>
      <c r="K46">
        <v>2750</v>
      </c>
      <c r="L46">
        <v>0</v>
      </c>
      <c r="M46">
        <v>0</v>
      </c>
      <c r="N46">
        <v>2750</v>
      </c>
    </row>
    <row r="47" spans="1:14" x14ac:dyDescent="0.25">
      <c r="A47">
        <v>0.52022400000000002</v>
      </c>
      <c r="B47" s="1">
        <f>DATE(2010,5,1) + TIME(12,29,7)</f>
        <v>40299.520219907405</v>
      </c>
      <c r="C47">
        <v>80</v>
      </c>
      <c r="D47">
        <v>50.386470795000001</v>
      </c>
      <c r="E47">
        <v>60</v>
      </c>
      <c r="F47">
        <v>14.999176979</v>
      </c>
      <c r="G47">
        <v>1342.0579834</v>
      </c>
      <c r="H47">
        <v>1339.1668701000001</v>
      </c>
      <c r="I47">
        <v>1320.1265868999999</v>
      </c>
      <c r="J47">
        <v>1315.6064452999999</v>
      </c>
      <c r="K47">
        <v>2750</v>
      </c>
      <c r="L47">
        <v>0</v>
      </c>
      <c r="M47">
        <v>0</v>
      </c>
      <c r="N47">
        <v>2750</v>
      </c>
    </row>
    <row r="48" spans="1:14" x14ac:dyDescent="0.25">
      <c r="A48">
        <v>0.53885499999999997</v>
      </c>
      <c r="B48" s="1">
        <f>DATE(2010,5,1) + TIME(12,55,57)</f>
        <v>40299.538854166669</v>
      </c>
      <c r="C48">
        <v>80</v>
      </c>
      <c r="D48">
        <v>51.365222930999998</v>
      </c>
      <c r="E48">
        <v>60</v>
      </c>
      <c r="F48">
        <v>14.999180794000001</v>
      </c>
      <c r="G48">
        <v>1342.0854492000001</v>
      </c>
      <c r="H48">
        <v>1339.2066649999999</v>
      </c>
      <c r="I48">
        <v>1320.1267089999999</v>
      </c>
      <c r="J48">
        <v>1315.6065673999999</v>
      </c>
      <c r="K48">
        <v>2750</v>
      </c>
      <c r="L48">
        <v>0</v>
      </c>
      <c r="M48">
        <v>0</v>
      </c>
      <c r="N48">
        <v>2750</v>
      </c>
    </row>
    <row r="49" spans="1:14" x14ac:dyDescent="0.25">
      <c r="A49">
        <v>0.55789</v>
      </c>
      <c r="B49" s="1">
        <f>DATE(2010,5,1) + TIME(13,23,21)</f>
        <v>40299.557881944442</v>
      </c>
      <c r="C49">
        <v>80</v>
      </c>
      <c r="D49">
        <v>52.343204497999999</v>
      </c>
      <c r="E49">
        <v>60</v>
      </c>
      <c r="F49">
        <v>14.999183655</v>
      </c>
      <c r="G49">
        <v>1342.1147461</v>
      </c>
      <c r="H49">
        <v>1339.2474365</v>
      </c>
      <c r="I49">
        <v>1320.1268310999999</v>
      </c>
      <c r="J49">
        <v>1315.6065673999999</v>
      </c>
      <c r="K49">
        <v>2750</v>
      </c>
      <c r="L49">
        <v>0</v>
      </c>
      <c r="M49">
        <v>0</v>
      </c>
      <c r="N49">
        <v>2750</v>
      </c>
    </row>
    <row r="50" spans="1:14" x14ac:dyDescent="0.25">
      <c r="A50">
        <v>0.57735300000000001</v>
      </c>
      <c r="B50" s="1">
        <f>DATE(2010,5,1) + TIME(13,51,23)</f>
        <v>40299.577349537038</v>
      </c>
      <c r="C50">
        <v>80</v>
      </c>
      <c r="D50">
        <v>53.320072174000003</v>
      </c>
      <c r="E50">
        <v>60</v>
      </c>
      <c r="F50">
        <v>14.999187469000001</v>
      </c>
      <c r="G50">
        <v>1342.1457519999999</v>
      </c>
      <c r="H50">
        <v>1339.2888184000001</v>
      </c>
      <c r="I50">
        <v>1320.1270752</v>
      </c>
      <c r="J50">
        <v>1315.6066894999999</v>
      </c>
      <c r="K50">
        <v>2750</v>
      </c>
      <c r="L50">
        <v>0</v>
      </c>
      <c r="M50">
        <v>0</v>
      </c>
      <c r="N50">
        <v>2750</v>
      </c>
    </row>
    <row r="51" spans="1:14" x14ac:dyDescent="0.25">
      <c r="A51">
        <v>0.59727799999999998</v>
      </c>
      <c r="B51" s="1">
        <f>DATE(2010,5,1) + TIME(14,20,4)</f>
        <v>40299.597268518519</v>
      </c>
      <c r="C51">
        <v>80</v>
      </c>
      <c r="D51">
        <v>54.295742035000004</v>
      </c>
      <c r="E51">
        <v>60</v>
      </c>
      <c r="F51">
        <v>14.999191284</v>
      </c>
      <c r="G51">
        <v>1342.1782227000001</v>
      </c>
      <c r="H51">
        <v>1339.3310547000001</v>
      </c>
      <c r="I51">
        <v>1320.1271973</v>
      </c>
      <c r="J51">
        <v>1315.6068115</v>
      </c>
      <c r="K51">
        <v>2750</v>
      </c>
      <c r="L51">
        <v>0</v>
      </c>
      <c r="M51">
        <v>0</v>
      </c>
      <c r="N51">
        <v>2750</v>
      </c>
    </row>
    <row r="52" spans="1:14" x14ac:dyDescent="0.25">
      <c r="A52">
        <v>0.617699</v>
      </c>
      <c r="B52" s="1">
        <f>DATE(2010,5,1) + TIME(14,49,29)</f>
        <v>40299.617696759262</v>
      </c>
      <c r="C52">
        <v>80</v>
      </c>
      <c r="D52">
        <v>55.270118713000002</v>
      </c>
      <c r="E52">
        <v>60</v>
      </c>
      <c r="F52">
        <v>14.999195099</v>
      </c>
      <c r="G52">
        <v>1342.2122803</v>
      </c>
      <c r="H52">
        <v>1339.3740233999999</v>
      </c>
      <c r="I52">
        <v>1320.1273193</v>
      </c>
      <c r="J52">
        <v>1315.6068115</v>
      </c>
      <c r="K52">
        <v>2750</v>
      </c>
      <c r="L52">
        <v>0</v>
      </c>
      <c r="M52">
        <v>0</v>
      </c>
      <c r="N52">
        <v>2750</v>
      </c>
    </row>
    <row r="53" spans="1:14" x14ac:dyDescent="0.25">
      <c r="A53">
        <v>0.63865799999999995</v>
      </c>
      <c r="B53" s="1">
        <f>DATE(2010,5,1) + TIME(15,19,40)</f>
        <v>40299.638657407406</v>
      </c>
      <c r="C53">
        <v>80</v>
      </c>
      <c r="D53">
        <v>56.243099213000001</v>
      </c>
      <c r="E53">
        <v>60</v>
      </c>
      <c r="F53">
        <v>14.99919796</v>
      </c>
      <c r="G53">
        <v>1342.2478027</v>
      </c>
      <c r="H53">
        <v>1339.4176024999999</v>
      </c>
      <c r="I53">
        <v>1320.1275635</v>
      </c>
      <c r="J53">
        <v>1315.6069336</v>
      </c>
      <c r="K53">
        <v>2750</v>
      </c>
      <c r="L53">
        <v>0</v>
      </c>
      <c r="M53">
        <v>0</v>
      </c>
      <c r="N53">
        <v>2750</v>
      </c>
    </row>
    <row r="54" spans="1:14" x14ac:dyDescent="0.25">
      <c r="A54">
        <v>0.66019799999999995</v>
      </c>
      <c r="B54" s="1">
        <f>DATE(2010,5,1) + TIME(15,50,41)</f>
        <v>40299.660196759258</v>
      </c>
      <c r="C54">
        <v>80</v>
      </c>
      <c r="D54">
        <v>57.214569091999998</v>
      </c>
      <c r="E54">
        <v>60</v>
      </c>
      <c r="F54">
        <v>14.999201775</v>
      </c>
      <c r="G54">
        <v>1342.2847899999999</v>
      </c>
      <c r="H54">
        <v>1339.4617920000001</v>
      </c>
      <c r="I54">
        <v>1320.1276855000001</v>
      </c>
      <c r="J54">
        <v>1315.6069336</v>
      </c>
      <c r="K54">
        <v>2750</v>
      </c>
      <c r="L54">
        <v>0</v>
      </c>
      <c r="M54">
        <v>0</v>
      </c>
      <c r="N54">
        <v>2750</v>
      </c>
    </row>
    <row r="55" spans="1:14" x14ac:dyDescent="0.25">
      <c r="A55">
        <v>0.68237099999999995</v>
      </c>
      <c r="B55" s="1">
        <f>DATE(2010,5,1) + TIME(16,22,36)</f>
        <v>40299.68236111111</v>
      </c>
      <c r="C55">
        <v>80</v>
      </c>
      <c r="D55">
        <v>58.184402466000002</v>
      </c>
      <c r="E55">
        <v>60</v>
      </c>
      <c r="F55">
        <v>14.999205589000001</v>
      </c>
      <c r="G55">
        <v>1342.3229980000001</v>
      </c>
      <c r="H55">
        <v>1339.5065918</v>
      </c>
      <c r="I55">
        <v>1320.1279297000001</v>
      </c>
      <c r="J55">
        <v>1315.6070557</v>
      </c>
      <c r="K55">
        <v>2750</v>
      </c>
      <c r="L55">
        <v>0</v>
      </c>
      <c r="M55">
        <v>0</v>
      </c>
      <c r="N55">
        <v>2750</v>
      </c>
    </row>
    <row r="56" spans="1:14" x14ac:dyDescent="0.25">
      <c r="A56">
        <v>0.70523400000000003</v>
      </c>
      <c r="B56" s="1">
        <f>DATE(2010,5,1) + TIME(16,55,32)</f>
        <v>40299.705231481479</v>
      </c>
      <c r="C56">
        <v>80</v>
      </c>
      <c r="D56">
        <v>59.152454376000001</v>
      </c>
      <c r="E56">
        <v>60</v>
      </c>
      <c r="F56">
        <v>14.999209404</v>
      </c>
      <c r="G56">
        <v>1342.3626709</v>
      </c>
      <c r="H56">
        <v>1339.5518798999999</v>
      </c>
      <c r="I56">
        <v>1320.1280518000001</v>
      </c>
      <c r="J56">
        <v>1315.6070557</v>
      </c>
      <c r="K56">
        <v>2750</v>
      </c>
      <c r="L56">
        <v>0</v>
      </c>
      <c r="M56">
        <v>0</v>
      </c>
      <c r="N56">
        <v>2750</v>
      </c>
    </row>
    <row r="57" spans="1:14" x14ac:dyDescent="0.25">
      <c r="A57">
        <v>0.72885100000000003</v>
      </c>
      <c r="B57" s="1">
        <f>DATE(2010,5,1) + TIME(17,29,32)</f>
        <v>40299.728842592594</v>
      </c>
      <c r="C57">
        <v>80</v>
      </c>
      <c r="D57">
        <v>60.118480681999998</v>
      </c>
      <c r="E57">
        <v>60</v>
      </c>
      <c r="F57">
        <v>14.999213219</v>
      </c>
      <c r="G57">
        <v>1342.4034423999999</v>
      </c>
      <c r="H57">
        <v>1339.5977783000001</v>
      </c>
      <c r="I57">
        <v>1320.1281738</v>
      </c>
      <c r="J57">
        <v>1315.6071777</v>
      </c>
      <c r="K57">
        <v>2750</v>
      </c>
      <c r="L57">
        <v>0</v>
      </c>
      <c r="M57">
        <v>0</v>
      </c>
      <c r="N57">
        <v>2750</v>
      </c>
    </row>
    <row r="58" spans="1:14" x14ac:dyDescent="0.25">
      <c r="A58">
        <v>0.75329900000000005</v>
      </c>
      <c r="B58" s="1">
        <f>DATE(2010,5,1) + TIME(18,4,45)</f>
        <v>40299.753298611111</v>
      </c>
      <c r="C58">
        <v>80</v>
      </c>
      <c r="D58">
        <v>61.081836699999997</v>
      </c>
      <c r="E58">
        <v>60</v>
      </c>
      <c r="F58">
        <v>14.999217033000001</v>
      </c>
      <c r="G58">
        <v>1342.4455565999999</v>
      </c>
      <c r="H58">
        <v>1339.644043</v>
      </c>
      <c r="I58">
        <v>1320.128418</v>
      </c>
      <c r="J58">
        <v>1315.6071777</v>
      </c>
      <c r="K58">
        <v>2750</v>
      </c>
      <c r="L58">
        <v>0</v>
      </c>
      <c r="M58">
        <v>0</v>
      </c>
      <c r="N58">
        <v>2750</v>
      </c>
    </row>
    <row r="59" spans="1:14" x14ac:dyDescent="0.25">
      <c r="A59">
        <v>0.77867699999999995</v>
      </c>
      <c r="B59" s="1">
        <f>DATE(2010,5,1) + TIME(18,41,17)</f>
        <v>40299.778668981482</v>
      </c>
      <c r="C59">
        <v>80</v>
      </c>
      <c r="D59">
        <v>62.043422698999997</v>
      </c>
      <c r="E59">
        <v>60</v>
      </c>
      <c r="F59">
        <v>14.999220848</v>
      </c>
      <c r="G59">
        <v>1342.4888916</v>
      </c>
      <c r="H59">
        <v>1339.6907959</v>
      </c>
      <c r="I59">
        <v>1320.1285399999999</v>
      </c>
      <c r="J59">
        <v>1315.6072998</v>
      </c>
      <c r="K59">
        <v>2750</v>
      </c>
      <c r="L59">
        <v>0</v>
      </c>
      <c r="M59">
        <v>0</v>
      </c>
      <c r="N59">
        <v>2750</v>
      </c>
    </row>
    <row r="60" spans="1:14" x14ac:dyDescent="0.25">
      <c r="A60">
        <v>0.80506900000000003</v>
      </c>
      <c r="B60" s="1">
        <f>DATE(2010,5,1) + TIME(19,19,17)</f>
        <v>40299.80505787037</v>
      </c>
      <c r="C60">
        <v>80</v>
      </c>
      <c r="D60">
        <v>63.002441406000003</v>
      </c>
      <c r="E60">
        <v>60</v>
      </c>
      <c r="F60">
        <v>14.999224663</v>
      </c>
      <c r="G60">
        <v>1342.5333252</v>
      </c>
      <c r="H60">
        <v>1339.7379149999999</v>
      </c>
      <c r="I60">
        <v>1320.1287841999999</v>
      </c>
      <c r="J60">
        <v>1315.6072998</v>
      </c>
      <c r="K60">
        <v>2750</v>
      </c>
      <c r="L60">
        <v>0</v>
      </c>
      <c r="M60">
        <v>0</v>
      </c>
      <c r="N60">
        <v>2750</v>
      </c>
    </row>
    <row r="61" spans="1:14" x14ac:dyDescent="0.25">
      <c r="A61">
        <v>0.83258799999999999</v>
      </c>
      <c r="B61" s="1">
        <f>DATE(2010,5,1) + TIME(19,58,55)</f>
        <v>40299.83258101852</v>
      </c>
      <c r="C61">
        <v>80</v>
      </c>
      <c r="D61">
        <v>63.958610534999998</v>
      </c>
      <c r="E61">
        <v>60</v>
      </c>
      <c r="F61">
        <v>14.999228477000001</v>
      </c>
      <c r="G61">
        <v>1342.5789795000001</v>
      </c>
      <c r="H61">
        <v>1339.7855225000001</v>
      </c>
      <c r="I61">
        <v>1320.1289062000001</v>
      </c>
      <c r="J61">
        <v>1315.6074219</v>
      </c>
      <c r="K61">
        <v>2750</v>
      </c>
      <c r="L61">
        <v>0</v>
      </c>
      <c r="M61">
        <v>0</v>
      </c>
      <c r="N61">
        <v>2750</v>
      </c>
    </row>
    <row r="62" spans="1:14" x14ac:dyDescent="0.25">
      <c r="A62">
        <v>0.86136900000000005</v>
      </c>
      <c r="B62" s="1">
        <f>DATE(2010,5,1) + TIME(20,40,22)</f>
        <v>40299.86136574074</v>
      </c>
      <c r="C62">
        <v>80</v>
      </c>
      <c r="D62">
        <v>64.911621093999997</v>
      </c>
      <c r="E62">
        <v>60</v>
      </c>
      <c r="F62">
        <v>14.999232292</v>
      </c>
      <c r="G62">
        <v>1342.6256103999999</v>
      </c>
      <c r="H62">
        <v>1339.833374</v>
      </c>
      <c r="I62">
        <v>1320.1291504000001</v>
      </c>
      <c r="J62">
        <v>1315.6074219</v>
      </c>
      <c r="K62">
        <v>2750</v>
      </c>
      <c r="L62">
        <v>0</v>
      </c>
      <c r="M62">
        <v>0</v>
      </c>
      <c r="N62">
        <v>2750</v>
      </c>
    </row>
    <row r="63" spans="1:14" x14ac:dyDescent="0.25">
      <c r="A63">
        <v>0.89156899999999994</v>
      </c>
      <c r="B63" s="1">
        <f>DATE(2010,5,1) + TIME(21,23,51)</f>
        <v>40299.891562500001</v>
      </c>
      <c r="C63">
        <v>80</v>
      </c>
      <c r="D63">
        <v>65.861312866000006</v>
      </c>
      <c r="E63">
        <v>60</v>
      </c>
      <c r="F63">
        <v>14.999236107</v>
      </c>
      <c r="G63">
        <v>1342.6733397999999</v>
      </c>
      <c r="H63">
        <v>1339.8815918</v>
      </c>
      <c r="I63">
        <v>1320.1292725000001</v>
      </c>
      <c r="J63">
        <v>1315.6075439000001</v>
      </c>
      <c r="K63">
        <v>2750</v>
      </c>
      <c r="L63">
        <v>0</v>
      </c>
      <c r="M63">
        <v>0</v>
      </c>
      <c r="N63">
        <v>2750</v>
      </c>
    </row>
    <row r="64" spans="1:14" x14ac:dyDescent="0.25">
      <c r="A64">
        <v>0.92336799999999997</v>
      </c>
      <c r="B64" s="1">
        <f>DATE(2010,5,1) + TIME(22,9,39)</f>
        <v>40299.923368055555</v>
      </c>
      <c r="C64">
        <v>80</v>
      </c>
      <c r="D64">
        <v>66.806877135999997</v>
      </c>
      <c r="E64">
        <v>60</v>
      </c>
      <c r="F64">
        <v>14.999240875</v>
      </c>
      <c r="G64">
        <v>1342.722168</v>
      </c>
      <c r="H64">
        <v>1339.9300536999999</v>
      </c>
      <c r="I64">
        <v>1320.1295166</v>
      </c>
      <c r="J64">
        <v>1315.6075439000001</v>
      </c>
      <c r="K64">
        <v>2750</v>
      </c>
      <c r="L64">
        <v>0</v>
      </c>
      <c r="M64">
        <v>0</v>
      </c>
      <c r="N64">
        <v>2750</v>
      </c>
    </row>
    <row r="65" spans="1:14" x14ac:dyDescent="0.25">
      <c r="A65">
        <v>0.93952500000000005</v>
      </c>
      <c r="B65" s="1">
        <f>DATE(2010,5,1) + TIME(22,32,54)</f>
        <v>40299.939513888887</v>
      </c>
      <c r="C65">
        <v>80</v>
      </c>
      <c r="D65">
        <v>67.276382446</v>
      </c>
      <c r="E65">
        <v>60</v>
      </c>
      <c r="F65">
        <v>14.999242783</v>
      </c>
      <c r="G65">
        <v>1342.7886963000001</v>
      </c>
      <c r="H65">
        <v>1339.9782714999999</v>
      </c>
      <c r="I65">
        <v>1320.1297606999999</v>
      </c>
      <c r="J65">
        <v>1315.6076660000001</v>
      </c>
      <c r="K65">
        <v>2750</v>
      </c>
      <c r="L65">
        <v>0</v>
      </c>
      <c r="M65">
        <v>0</v>
      </c>
      <c r="N65">
        <v>2750</v>
      </c>
    </row>
    <row r="66" spans="1:14" x14ac:dyDescent="0.25">
      <c r="A66">
        <v>0.955681</v>
      </c>
      <c r="B66" s="1">
        <f>DATE(2010,5,1) + TIME(22,56,10)</f>
        <v>40299.955671296295</v>
      </c>
      <c r="C66">
        <v>80</v>
      </c>
      <c r="D66">
        <v>67.732055664000001</v>
      </c>
      <c r="E66">
        <v>60</v>
      </c>
      <c r="F66">
        <v>14.999244689999999</v>
      </c>
      <c r="G66">
        <v>1342.8140868999999</v>
      </c>
      <c r="H66">
        <v>1340.0025635</v>
      </c>
      <c r="I66">
        <v>1320.1298827999999</v>
      </c>
      <c r="J66">
        <v>1315.6076660000001</v>
      </c>
      <c r="K66">
        <v>2750</v>
      </c>
      <c r="L66">
        <v>0</v>
      </c>
      <c r="M66">
        <v>0</v>
      </c>
      <c r="N66">
        <v>2750</v>
      </c>
    </row>
    <row r="67" spans="1:14" x14ac:dyDescent="0.25">
      <c r="A67">
        <v>0.97183699999999995</v>
      </c>
      <c r="B67" s="1">
        <f>DATE(2010,5,1) + TIME(23,19,26)</f>
        <v>40299.971828703703</v>
      </c>
      <c r="C67">
        <v>80</v>
      </c>
      <c r="D67">
        <v>68.174140929999993</v>
      </c>
      <c r="E67">
        <v>60</v>
      </c>
      <c r="F67">
        <v>14.999246597000001</v>
      </c>
      <c r="G67">
        <v>1342.8392334</v>
      </c>
      <c r="H67">
        <v>1340.0263672000001</v>
      </c>
      <c r="I67">
        <v>1320.1300048999999</v>
      </c>
      <c r="J67">
        <v>1315.6077881000001</v>
      </c>
      <c r="K67">
        <v>2750</v>
      </c>
      <c r="L67">
        <v>0</v>
      </c>
      <c r="M67">
        <v>0</v>
      </c>
      <c r="N67">
        <v>2750</v>
      </c>
    </row>
    <row r="68" spans="1:14" x14ac:dyDescent="0.25">
      <c r="A68">
        <v>0.98799400000000004</v>
      </c>
      <c r="B68" s="1">
        <f>DATE(2010,5,1) + TIME(23,42,42)</f>
        <v>40299.987986111111</v>
      </c>
      <c r="C68">
        <v>80</v>
      </c>
      <c r="D68">
        <v>68.602874756000006</v>
      </c>
      <c r="E68">
        <v>60</v>
      </c>
      <c r="F68">
        <v>14.999248505000001</v>
      </c>
      <c r="G68">
        <v>1342.8637695</v>
      </c>
      <c r="H68">
        <v>1340.0494385</v>
      </c>
      <c r="I68">
        <v>1320.1300048999999</v>
      </c>
      <c r="J68">
        <v>1315.6077881000001</v>
      </c>
      <c r="K68">
        <v>2750</v>
      </c>
      <c r="L68">
        <v>0</v>
      </c>
      <c r="M68">
        <v>0</v>
      </c>
      <c r="N68">
        <v>2750</v>
      </c>
    </row>
    <row r="69" spans="1:14" x14ac:dyDescent="0.25">
      <c r="A69">
        <v>1.0040830000000001</v>
      </c>
      <c r="B69" s="1">
        <f>DATE(2010,5,2) + TIME(0,5,52)</f>
        <v>40300.004074074073</v>
      </c>
      <c r="C69">
        <v>80</v>
      </c>
      <c r="D69">
        <v>69.016845703000001</v>
      </c>
      <c r="E69">
        <v>60</v>
      </c>
      <c r="F69">
        <v>14.999250412</v>
      </c>
      <c r="G69">
        <v>1342.8879394999999</v>
      </c>
      <c r="H69">
        <v>1340.0720214999999</v>
      </c>
      <c r="I69">
        <v>1320.1301269999999</v>
      </c>
      <c r="J69">
        <v>1315.6077881000001</v>
      </c>
      <c r="K69">
        <v>2750</v>
      </c>
      <c r="L69">
        <v>0</v>
      </c>
      <c r="M69">
        <v>0</v>
      </c>
      <c r="N69">
        <v>2750</v>
      </c>
    </row>
    <row r="70" spans="1:14" x14ac:dyDescent="0.25">
      <c r="A70">
        <v>1.020103</v>
      </c>
      <c r="B70" s="1">
        <f>DATE(2010,5,2) + TIME(0,28,56)</f>
        <v>40300.020092592589</v>
      </c>
      <c r="C70">
        <v>80</v>
      </c>
      <c r="D70">
        <v>69.416366577000005</v>
      </c>
      <c r="E70">
        <v>60</v>
      </c>
      <c r="F70">
        <v>14.999252319</v>
      </c>
      <c r="G70">
        <v>1342.9116211</v>
      </c>
      <c r="H70">
        <v>1340.09375</v>
      </c>
      <c r="I70">
        <v>1320.130249</v>
      </c>
      <c r="J70">
        <v>1315.6079102000001</v>
      </c>
      <c r="K70">
        <v>2750</v>
      </c>
      <c r="L70">
        <v>0</v>
      </c>
      <c r="M70">
        <v>0</v>
      </c>
      <c r="N70">
        <v>2750</v>
      </c>
    </row>
    <row r="71" spans="1:14" x14ac:dyDescent="0.25">
      <c r="A71">
        <v>1.036062</v>
      </c>
      <c r="B71" s="1">
        <f>DATE(2010,5,2) + TIME(0,51,55)</f>
        <v>40300.036053240743</v>
      </c>
      <c r="C71">
        <v>80</v>
      </c>
      <c r="D71">
        <v>69.802085876000007</v>
      </c>
      <c r="E71">
        <v>60</v>
      </c>
      <c r="F71">
        <v>14.99925518</v>
      </c>
      <c r="G71">
        <v>1342.9346923999999</v>
      </c>
      <c r="H71">
        <v>1340.1148682</v>
      </c>
      <c r="I71">
        <v>1320.1303711</v>
      </c>
      <c r="J71">
        <v>1315.6079102000001</v>
      </c>
      <c r="K71">
        <v>2750</v>
      </c>
      <c r="L71">
        <v>0</v>
      </c>
      <c r="M71">
        <v>0</v>
      </c>
      <c r="N71">
        <v>2750</v>
      </c>
    </row>
    <row r="72" spans="1:14" x14ac:dyDescent="0.25">
      <c r="A72">
        <v>1.0519700000000001</v>
      </c>
      <c r="B72" s="1">
        <f>DATE(2010,5,2) + TIME(1,14,50)</f>
        <v>40300.05196759259</v>
      </c>
      <c r="C72">
        <v>80</v>
      </c>
      <c r="D72">
        <v>70.174453735</v>
      </c>
      <c r="E72">
        <v>60</v>
      </c>
      <c r="F72">
        <v>14.999256133999999</v>
      </c>
      <c r="G72">
        <v>1342.9571533000001</v>
      </c>
      <c r="H72">
        <v>1340.135376</v>
      </c>
      <c r="I72">
        <v>1320.1304932</v>
      </c>
      <c r="J72">
        <v>1315.6079102000001</v>
      </c>
      <c r="K72">
        <v>2750</v>
      </c>
      <c r="L72">
        <v>0</v>
      </c>
      <c r="M72">
        <v>0</v>
      </c>
      <c r="N72">
        <v>2750</v>
      </c>
    </row>
    <row r="73" spans="1:14" x14ac:dyDescent="0.25">
      <c r="A73">
        <v>1.0678369999999999</v>
      </c>
      <c r="B73" s="1">
        <f>DATE(2010,5,2) + TIME(1,37,41)</f>
        <v>40300.067835648151</v>
      </c>
      <c r="C73">
        <v>80</v>
      </c>
      <c r="D73">
        <v>70.534034728999998</v>
      </c>
      <c r="E73">
        <v>60</v>
      </c>
      <c r="F73">
        <v>14.999258040999999</v>
      </c>
      <c r="G73">
        <v>1342.9790039</v>
      </c>
      <c r="H73">
        <v>1340.1551514</v>
      </c>
      <c r="I73">
        <v>1320.1306152</v>
      </c>
      <c r="J73">
        <v>1315.6080322</v>
      </c>
      <c r="K73">
        <v>2750</v>
      </c>
      <c r="L73">
        <v>0</v>
      </c>
      <c r="M73">
        <v>0</v>
      </c>
      <c r="N73">
        <v>2750</v>
      </c>
    </row>
    <row r="74" spans="1:14" x14ac:dyDescent="0.25">
      <c r="A74">
        <v>1.0836710000000001</v>
      </c>
      <c r="B74" s="1">
        <f>DATE(2010,5,2) + TIME(2,0,29)</f>
        <v>40300.083668981482</v>
      </c>
      <c r="C74">
        <v>80</v>
      </c>
      <c r="D74">
        <v>70.881477356000005</v>
      </c>
      <c r="E74">
        <v>60</v>
      </c>
      <c r="F74">
        <v>14.999259949000001</v>
      </c>
      <c r="G74">
        <v>1343.0003661999999</v>
      </c>
      <c r="H74">
        <v>1340.1743164</v>
      </c>
      <c r="I74">
        <v>1320.1306152</v>
      </c>
      <c r="J74">
        <v>1315.6080322</v>
      </c>
      <c r="K74">
        <v>2750</v>
      </c>
      <c r="L74">
        <v>0</v>
      </c>
      <c r="M74">
        <v>0</v>
      </c>
      <c r="N74">
        <v>2750</v>
      </c>
    </row>
    <row r="75" spans="1:14" x14ac:dyDescent="0.25">
      <c r="A75">
        <v>1.0994809999999999</v>
      </c>
      <c r="B75" s="1">
        <f>DATE(2010,5,2) + TIME(2,23,15)</f>
        <v>40300.099479166667</v>
      </c>
      <c r="C75">
        <v>80</v>
      </c>
      <c r="D75">
        <v>71.217269896999994</v>
      </c>
      <c r="E75">
        <v>60</v>
      </c>
      <c r="F75">
        <v>14.999261856</v>
      </c>
      <c r="G75">
        <v>1343.0212402</v>
      </c>
      <c r="H75">
        <v>1340.1928711</v>
      </c>
      <c r="I75">
        <v>1320.1307373</v>
      </c>
      <c r="J75">
        <v>1315.6080322</v>
      </c>
      <c r="K75">
        <v>2750</v>
      </c>
      <c r="L75">
        <v>0</v>
      </c>
      <c r="M75">
        <v>0</v>
      </c>
      <c r="N75">
        <v>2750</v>
      </c>
    </row>
    <row r="76" spans="1:14" x14ac:dyDescent="0.25">
      <c r="A76">
        <v>1.115273</v>
      </c>
      <c r="B76" s="1">
        <f>DATE(2010,5,2) + TIME(2,45,59)</f>
        <v>40300.115266203706</v>
      </c>
      <c r="C76">
        <v>80</v>
      </c>
      <c r="D76">
        <v>71.541877747000001</v>
      </c>
      <c r="E76">
        <v>60</v>
      </c>
      <c r="F76">
        <v>14.999263763</v>
      </c>
      <c r="G76">
        <v>1343.041626</v>
      </c>
      <c r="H76">
        <v>1340.2108154</v>
      </c>
      <c r="I76">
        <v>1320.1308594</v>
      </c>
      <c r="J76">
        <v>1315.6081543</v>
      </c>
      <c r="K76">
        <v>2750</v>
      </c>
      <c r="L76">
        <v>0</v>
      </c>
      <c r="M76">
        <v>0</v>
      </c>
      <c r="N76">
        <v>2750</v>
      </c>
    </row>
    <row r="77" spans="1:14" x14ac:dyDescent="0.25">
      <c r="A77">
        <v>1.1310579999999999</v>
      </c>
      <c r="B77" s="1">
        <f>DATE(2010,5,2) + TIME(3,8,43)</f>
        <v>40300.131053240744</v>
      </c>
      <c r="C77">
        <v>80</v>
      </c>
      <c r="D77">
        <v>71.855735779</v>
      </c>
      <c r="E77">
        <v>60</v>
      </c>
      <c r="F77">
        <v>14.999265671</v>
      </c>
      <c r="G77">
        <v>1343.0614014</v>
      </c>
      <c r="H77">
        <v>1340.2282714999999</v>
      </c>
      <c r="I77">
        <v>1320.1309814000001</v>
      </c>
      <c r="J77">
        <v>1315.6081543</v>
      </c>
      <c r="K77">
        <v>2750</v>
      </c>
      <c r="L77">
        <v>0</v>
      </c>
      <c r="M77">
        <v>0</v>
      </c>
      <c r="N77">
        <v>2750</v>
      </c>
    </row>
    <row r="78" spans="1:14" x14ac:dyDescent="0.25">
      <c r="A78">
        <v>1.1468419999999999</v>
      </c>
      <c r="B78" s="1">
        <f>DATE(2010,5,2) + TIME(3,31,27)</f>
        <v>40300.146840277775</v>
      </c>
      <c r="C78">
        <v>80</v>
      </c>
      <c r="D78">
        <v>72.159248352000006</v>
      </c>
      <c r="E78">
        <v>60</v>
      </c>
      <c r="F78">
        <v>14.999267578</v>
      </c>
      <c r="G78">
        <v>1343.0808105000001</v>
      </c>
      <c r="H78">
        <v>1340.2451172000001</v>
      </c>
      <c r="I78">
        <v>1320.1311035000001</v>
      </c>
      <c r="J78">
        <v>1315.6081543</v>
      </c>
      <c r="K78">
        <v>2750</v>
      </c>
      <c r="L78">
        <v>0</v>
      </c>
      <c r="M78">
        <v>0</v>
      </c>
      <c r="N78">
        <v>2750</v>
      </c>
    </row>
    <row r="79" spans="1:14" x14ac:dyDescent="0.25">
      <c r="A79">
        <v>1.162625</v>
      </c>
      <c r="B79" s="1">
        <f>DATE(2010,5,2) + TIME(3,54,10)</f>
        <v>40300.162615740737</v>
      </c>
      <c r="C79">
        <v>80</v>
      </c>
      <c r="D79">
        <v>72.452682495000005</v>
      </c>
      <c r="E79">
        <v>60</v>
      </c>
      <c r="F79">
        <v>14.999269484999999</v>
      </c>
      <c r="G79">
        <v>1343.0996094</v>
      </c>
      <c r="H79">
        <v>1340.2614745999999</v>
      </c>
      <c r="I79">
        <v>1320.1311035000001</v>
      </c>
      <c r="J79">
        <v>1315.6082764</v>
      </c>
      <c r="K79">
        <v>2750</v>
      </c>
      <c r="L79">
        <v>0</v>
      </c>
      <c r="M79">
        <v>0</v>
      </c>
      <c r="N79">
        <v>2750</v>
      </c>
    </row>
    <row r="80" spans="1:14" x14ac:dyDescent="0.25">
      <c r="A80">
        <v>1.178409</v>
      </c>
      <c r="B80" s="1">
        <f>DATE(2010,5,2) + TIME(4,16,54)</f>
        <v>40300.178402777776</v>
      </c>
      <c r="C80">
        <v>80</v>
      </c>
      <c r="D80">
        <v>72.736289978000002</v>
      </c>
      <c r="E80">
        <v>60</v>
      </c>
      <c r="F80">
        <v>14.999270439</v>
      </c>
      <c r="G80">
        <v>1343.1180420000001</v>
      </c>
      <c r="H80">
        <v>1340.2772216999999</v>
      </c>
      <c r="I80">
        <v>1320.1312256000001</v>
      </c>
      <c r="J80">
        <v>1315.6082764</v>
      </c>
      <c r="K80">
        <v>2750</v>
      </c>
      <c r="L80">
        <v>0</v>
      </c>
      <c r="M80">
        <v>0</v>
      </c>
      <c r="N80">
        <v>2750</v>
      </c>
    </row>
    <row r="81" spans="1:14" x14ac:dyDescent="0.25">
      <c r="A81">
        <v>1.1941919999999999</v>
      </c>
      <c r="B81" s="1">
        <f>DATE(2010,5,2) + TIME(4,39,38)</f>
        <v>40300.194189814814</v>
      </c>
      <c r="C81">
        <v>80</v>
      </c>
      <c r="D81">
        <v>73.010322571000003</v>
      </c>
      <c r="E81">
        <v>60</v>
      </c>
      <c r="F81">
        <v>14.999272346</v>
      </c>
      <c r="G81">
        <v>1343.1359863</v>
      </c>
      <c r="H81">
        <v>1340.2924805</v>
      </c>
      <c r="I81">
        <v>1320.1313477000001</v>
      </c>
      <c r="J81">
        <v>1315.6082764</v>
      </c>
      <c r="K81">
        <v>2750</v>
      </c>
      <c r="L81">
        <v>0</v>
      </c>
      <c r="M81">
        <v>0</v>
      </c>
      <c r="N81">
        <v>2750</v>
      </c>
    </row>
    <row r="82" spans="1:14" x14ac:dyDescent="0.25">
      <c r="A82">
        <v>1.2099759999999999</v>
      </c>
      <c r="B82" s="1">
        <f>DATE(2010,5,2) + TIME(5,2,21)</f>
        <v>40300.209965277776</v>
      </c>
      <c r="C82">
        <v>80</v>
      </c>
      <c r="D82">
        <v>73.275016785000005</v>
      </c>
      <c r="E82">
        <v>60</v>
      </c>
      <c r="F82">
        <v>14.999274253999999</v>
      </c>
      <c r="G82">
        <v>1343.1535644999999</v>
      </c>
      <c r="H82">
        <v>1340.3073730000001</v>
      </c>
      <c r="I82">
        <v>1320.1314697</v>
      </c>
      <c r="J82">
        <v>1315.6083983999999</v>
      </c>
      <c r="K82">
        <v>2750</v>
      </c>
      <c r="L82">
        <v>0</v>
      </c>
      <c r="M82">
        <v>0</v>
      </c>
      <c r="N82">
        <v>2750</v>
      </c>
    </row>
    <row r="83" spans="1:14" x14ac:dyDescent="0.25">
      <c r="A83">
        <v>1.225759</v>
      </c>
      <c r="B83" s="1">
        <f>DATE(2010,5,2) + TIME(5,25,5)</f>
        <v>40300.225752314815</v>
      </c>
      <c r="C83">
        <v>80</v>
      </c>
      <c r="D83">
        <v>73.530632018999995</v>
      </c>
      <c r="E83">
        <v>60</v>
      </c>
      <c r="F83">
        <v>14.999276160999999</v>
      </c>
      <c r="G83">
        <v>1343.1705322</v>
      </c>
      <c r="H83">
        <v>1340.3216553</v>
      </c>
      <c r="I83">
        <v>1320.1314697</v>
      </c>
      <c r="J83">
        <v>1315.6083983999999</v>
      </c>
      <c r="K83">
        <v>2750</v>
      </c>
      <c r="L83">
        <v>0</v>
      </c>
      <c r="M83">
        <v>0</v>
      </c>
      <c r="N83">
        <v>2750</v>
      </c>
    </row>
    <row r="84" spans="1:14" x14ac:dyDescent="0.25">
      <c r="A84">
        <v>1.2415430000000001</v>
      </c>
      <c r="B84" s="1">
        <f>DATE(2010,5,2) + TIME(5,47,49)</f>
        <v>40300.241539351853</v>
      </c>
      <c r="C84">
        <v>80</v>
      </c>
      <c r="D84">
        <v>73.777404785000002</v>
      </c>
      <c r="E84">
        <v>60</v>
      </c>
      <c r="F84">
        <v>14.999277115</v>
      </c>
      <c r="G84">
        <v>1343.1871338000001</v>
      </c>
      <c r="H84">
        <v>1340.3354492000001</v>
      </c>
      <c r="I84">
        <v>1320.1315918</v>
      </c>
      <c r="J84">
        <v>1315.6083983999999</v>
      </c>
      <c r="K84">
        <v>2750</v>
      </c>
      <c r="L84">
        <v>0</v>
      </c>
      <c r="M84">
        <v>0</v>
      </c>
      <c r="N84">
        <v>2750</v>
      </c>
    </row>
    <row r="85" spans="1:14" x14ac:dyDescent="0.25">
      <c r="A85">
        <v>1.2573270000000001</v>
      </c>
      <c r="B85" s="1">
        <f>DATE(2010,5,2) + TIME(6,10,33)</f>
        <v>40300.257326388892</v>
      </c>
      <c r="C85">
        <v>80</v>
      </c>
      <c r="D85">
        <v>74.015579224000007</v>
      </c>
      <c r="E85">
        <v>60</v>
      </c>
      <c r="F85">
        <v>14.999279022</v>
      </c>
      <c r="G85">
        <v>1343.2032471</v>
      </c>
      <c r="H85">
        <v>1340.3487548999999</v>
      </c>
      <c r="I85">
        <v>1320.1317139</v>
      </c>
      <c r="J85">
        <v>1315.6085204999999</v>
      </c>
      <c r="K85">
        <v>2750</v>
      </c>
      <c r="L85">
        <v>0</v>
      </c>
      <c r="M85">
        <v>0</v>
      </c>
      <c r="N85">
        <v>2750</v>
      </c>
    </row>
    <row r="86" spans="1:14" x14ac:dyDescent="0.25">
      <c r="A86">
        <v>1.27311</v>
      </c>
      <c r="B86" s="1">
        <f>DATE(2010,5,2) + TIME(6,33,16)</f>
        <v>40300.273101851853</v>
      </c>
      <c r="C86">
        <v>80</v>
      </c>
      <c r="D86">
        <v>74.245391846000004</v>
      </c>
      <c r="E86">
        <v>60</v>
      </c>
      <c r="F86">
        <v>14.999280929999999</v>
      </c>
      <c r="G86">
        <v>1343.2189940999999</v>
      </c>
      <c r="H86">
        <v>1340.3616943</v>
      </c>
      <c r="I86">
        <v>1320.1318358999999</v>
      </c>
      <c r="J86">
        <v>1315.6085204999999</v>
      </c>
      <c r="K86">
        <v>2750</v>
      </c>
      <c r="L86">
        <v>0</v>
      </c>
      <c r="M86">
        <v>0</v>
      </c>
      <c r="N86">
        <v>2750</v>
      </c>
    </row>
    <row r="87" spans="1:14" x14ac:dyDescent="0.25">
      <c r="A87">
        <v>1.3046770000000001</v>
      </c>
      <c r="B87" s="1">
        <f>DATE(2010,5,2) + TIME(7,18,44)</f>
        <v>40300.304675925923</v>
      </c>
      <c r="C87">
        <v>80</v>
      </c>
      <c r="D87">
        <v>74.672004700000002</v>
      </c>
      <c r="E87">
        <v>60</v>
      </c>
      <c r="F87">
        <v>14.999283791</v>
      </c>
      <c r="G87">
        <v>1343.2271728999999</v>
      </c>
      <c r="H87">
        <v>1340.3747559000001</v>
      </c>
      <c r="I87">
        <v>1320.1318358999999</v>
      </c>
      <c r="J87">
        <v>1315.6086425999999</v>
      </c>
      <c r="K87">
        <v>2750</v>
      </c>
      <c r="L87">
        <v>0</v>
      </c>
      <c r="M87">
        <v>0</v>
      </c>
      <c r="N87">
        <v>2750</v>
      </c>
    </row>
    <row r="88" spans="1:14" x14ac:dyDescent="0.25">
      <c r="A88">
        <v>1.3363259999999999</v>
      </c>
      <c r="B88" s="1">
        <f>DATE(2010,5,2) + TIME(8,4,18)</f>
        <v>40300.336319444446</v>
      </c>
      <c r="C88">
        <v>80</v>
      </c>
      <c r="D88">
        <v>75.070129394999995</v>
      </c>
      <c r="E88">
        <v>60</v>
      </c>
      <c r="F88">
        <v>14.999286652</v>
      </c>
      <c r="G88">
        <v>1343.2562256000001</v>
      </c>
      <c r="H88">
        <v>1340.3975829999999</v>
      </c>
      <c r="I88">
        <v>1320.1320800999999</v>
      </c>
      <c r="J88">
        <v>1315.6086425999999</v>
      </c>
      <c r="K88">
        <v>2750</v>
      </c>
      <c r="L88">
        <v>0</v>
      </c>
      <c r="M88">
        <v>0</v>
      </c>
      <c r="N88">
        <v>2750</v>
      </c>
    </row>
    <row r="89" spans="1:14" x14ac:dyDescent="0.25">
      <c r="A89">
        <v>1.368314</v>
      </c>
      <c r="B89" s="1">
        <f>DATE(2010,5,2) + TIME(8,50,22)</f>
        <v>40300.368310185186</v>
      </c>
      <c r="C89">
        <v>80</v>
      </c>
      <c r="D89">
        <v>75.443862914999997</v>
      </c>
      <c r="E89">
        <v>60</v>
      </c>
      <c r="F89">
        <v>14.999289513000001</v>
      </c>
      <c r="G89">
        <v>1343.2835693</v>
      </c>
      <c r="H89">
        <v>1340.4189452999999</v>
      </c>
      <c r="I89">
        <v>1320.1322021000001</v>
      </c>
      <c r="J89">
        <v>1315.6087646000001</v>
      </c>
      <c r="K89">
        <v>2750</v>
      </c>
      <c r="L89">
        <v>0</v>
      </c>
      <c r="M89">
        <v>0</v>
      </c>
      <c r="N89">
        <v>2750</v>
      </c>
    </row>
    <row r="90" spans="1:14" x14ac:dyDescent="0.25">
      <c r="A90">
        <v>1.400687</v>
      </c>
      <c r="B90" s="1">
        <f>DATE(2010,5,2) + TIME(9,36,59)</f>
        <v>40300.400682870371</v>
      </c>
      <c r="C90">
        <v>80</v>
      </c>
      <c r="D90">
        <v>75.794746399000005</v>
      </c>
      <c r="E90">
        <v>60</v>
      </c>
      <c r="F90">
        <v>14.999292373999999</v>
      </c>
      <c r="G90">
        <v>1343.3096923999999</v>
      </c>
      <c r="H90">
        <v>1340.4387207</v>
      </c>
      <c r="I90">
        <v>1320.1324463000001</v>
      </c>
      <c r="J90">
        <v>1315.6088867000001</v>
      </c>
      <c r="K90">
        <v>2750</v>
      </c>
      <c r="L90">
        <v>0</v>
      </c>
      <c r="M90">
        <v>0</v>
      </c>
      <c r="N90">
        <v>2750</v>
      </c>
    </row>
    <row r="91" spans="1:14" x14ac:dyDescent="0.25">
      <c r="A91">
        <v>1.4334960000000001</v>
      </c>
      <c r="B91" s="1">
        <f>DATE(2010,5,2) + TIME(10,24,14)</f>
        <v>40300.433495370373</v>
      </c>
      <c r="C91">
        <v>80</v>
      </c>
      <c r="D91">
        <v>76.124053954999994</v>
      </c>
      <c r="E91">
        <v>60</v>
      </c>
      <c r="F91">
        <v>14.999295235</v>
      </c>
      <c r="G91">
        <v>1343.3343506000001</v>
      </c>
      <c r="H91">
        <v>1340.4572754000001</v>
      </c>
      <c r="I91">
        <v>1320.1325684000001</v>
      </c>
      <c r="J91">
        <v>1315.6088867000001</v>
      </c>
      <c r="K91">
        <v>2750</v>
      </c>
      <c r="L91">
        <v>0</v>
      </c>
      <c r="M91">
        <v>0</v>
      </c>
      <c r="N91">
        <v>2750</v>
      </c>
    </row>
    <row r="92" spans="1:14" x14ac:dyDescent="0.25">
      <c r="A92">
        <v>1.466796</v>
      </c>
      <c r="B92" s="1">
        <f>DATE(2010,5,2) + TIME(11,12,11)</f>
        <v>40300.466793981483</v>
      </c>
      <c r="C92">
        <v>80</v>
      </c>
      <c r="D92">
        <v>76.432952881000006</v>
      </c>
      <c r="E92">
        <v>60</v>
      </c>
      <c r="F92">
        <v>14.999298096</v>
      </c>
      <c r="G92">
        <v>1343.3577881000001</v>
      </c>
      <c r="H92">
        <v>1340.4746094</v>
      </c>
      <c r="I92">
        <v>1320.1328125</v>
      </c>
      <c r="J92">
        <v>1315.6090088000001</v>
      </c>
      <c r="K92">
        <v>2750</v>
      </c>
      <c r="L92">
        <v>0</v>
      </c>
      <c r="M92">
        <v>0</v>
      </c>
      <c r="N92">
        <v>2750</v>
      </c>
    </row>
    <row r="93" spans="1:14" x14ac:dyDescent="0.25">
      <c r="A93">
        <v>1.5006429999999999</v>
      </c>
      <c r="B93" s="1">
        <f>DATE(2010,5,2) + TIME(12,0,55)</f>
        <v>40300.500636574077</v>
      </c>
      <c r="C93">
        <v>80</v>
      </c>
      <c r="D93">
        <v>76.722534179999997</v>
      </c>
      <c r="E93">
        <v>60</v>
      </c>
      <c r="F93">
        <v>14.999300957000001</v>
      </c>
      <c r="G93">
        <v>1343.3800048999999</v>
      </c>
      <c r="H93">
        <v>1340.4906006000001</v>
      </c>
      <c r="I93">
        <v>1320.1329346</v>
      </c>
      <c r="J93">
        <v>1315.6091309000001</v>
      </c>
      <c r="K93">
        <v>2750</v>
      </c>
      <c r="L93">
        <v>0</v>
      </c>
      <c r="M93">
        <v>0</v>
      </c>
      <c r="N93">
        <v>2750</v>
      </c>
    </row>
    <row r="94" spans="1:14" x14ac:dyDescent="0.25">
      <c r="A94">
        <v>1.535096</v>
      </c>
      <c r="B94" s="1">
        <f>DATE(2010,5,2) + TIME(12,50,32)</f>
        <v>40300.535092592596</v>
      </c>
      <c r="C94">
        <v>80</v>
      </c>
      <c r="D94">
        <v>76.993827820000007</v>
      </c>
      <c r="E94">
        <v>60</v>
      </c>
      <c r="F94">
        <v>14.999303818</v>
      </c>
      <c r="G94">
        <v>1343.401001</v>
      </c>
      <c r="H94">
        <v>1340.5053711</v>
      </c>
      <c r="I94">
        <v>1320.1331786999999</v>
      </c>
      <c r="J94">
        <v>1315.6092529</v>
      </c>
      <c r="K94">
        <v>2750</v>
      </c>
      <c r="L94">
        <v>0</v>
      </c>
      <c r="M94">
        <v>0</v>
      </c>
      <c r="N94">
        <v>2750</v>
      </c>
    </row>
    <row r="95" spans="1:14" x14ac:dyDescent="0.25">
      <c r="A95">
        <v>1.570217</v>
      </c>
      <c r="B95" s="1">
        <f>DATE(2010,5,2) + TIME(13,41,6)</f>
        <v>40300.570208333331</v>
      </c>
      <c r="C95">
        <v>80</v>
      </c>
      <c r="D95">
        <v>77.247772217000005</v>
      </c>
      <c r="E95">
        <v>60</v>
      </c>
      <c r="F95">
        <v>14.999306679</v>
      </c>
      <c r="G95">
        <v>1343.4208983999999</v>
      </c>
      <c r="H95">
        <v>1340.5189209</v>
      </c>
      <c r="I95">
        <v>1320.1333007999999</v>
      </c>
      <c r="J95">
        <v>1315.609375</v>
      </c>
      <c r="K95">
        <v>2750</v>
      </c>
      <c r="L95">
        <v>0</v>
      </c>
      <c r="M95">
        <v>0</v>
      </c>
      <c r="N95">
        <v>2750</v>
      </c>
    </row>
    <row r="96" spans="1:14" x14ac:dyDescent="0.25">
      <c r="A96">
        <v>1.6060920000000001</v>
      </c>
      <c r="B96" s="1">
        <f>DATE(2010,5,2) + TIME(14,32,46)</f>
        <v>40300.606087962966</v>
      </c>
      <c r="C96">
        <v>80</v>
      </c>
      <c r="D96">
        <v>77.485351562000005</v>
      </c>
      <c r="E96">
        <v>60</v>
      </c>
      <c r="F96">
        <v>14.99930954</v>
      </c>
      <c r="G96">
        <v>1343.4395752</v>
      </c>
      <c r="H96">
        <v>1340.5314940999999</v>
      </c>
      <c r="I96">
        <v>1320.1334228999999</v>
      </c>
      <c r="J96">
        <v>1315.609375</v>
      </c>
      <c r="K96">
        <v>2750</v>
      </c>
      <c r="L96">
        <v>0</v>
      </c>
      <c r="M96">
        <v>0</v>
      </c>
      <c r="N96">
        <v>2750</v>
      </c>
    </row>
    <row r="97" spans="1:14" x14ac:dyDescent="0.25">
      <c r="A97">
        <v>1.642776</v>
      </c>
      <c r="B97" s="1">
        <f>DATE(2010,5,2) + TIME(15,25,35)</f>
        <v>40300.642766203702</v>
      </c>
      <c r="C97">
        <v>80</v>
      </c>
      <c r="D97">
        <v>77.707290649000001</v>
      </c>
      <c r="E97">
        <v>60</v>
      </c>
      <c r="F97">
        <v>14.999312400999999</v>
      </c>
      <c r="G97">
        <v>1343.4571533000001</v>
      </c>
      <c r="H97">
        <v>1340.5428466999999</v>
      </c>
      <c r="I97">
        <v>1320.1336670000001</v>
      </c>
      <c r="J97">
        <v>1315.6094971</v>
      </c>
      <c r="K97">
        <v>2750</v>
      </c>
      <c r="L97">
        <v>0</v>
      </c>
      <c r="M97">
        <v>0</v>
      </c>
      <c r="N97">
        <v>2750</v>
      </c>
    </row>
    <row r="98" spans="1:14" x14ac:dyDescent="0.25">
      <c r="A98">
        <v>1.680348</v>
      </c>
      <c r="B98" s="1">
        <f>DATE(2010,5,2) + TIME(16,19,42)</f>
        <v>40300.680347222224</v>
      </c>
      <c r="C98">
        <v>80</v>
      </c>
      <c r="D98">
        <v>77.914375304999993</v>
      </c>
      <c r="E98">
        <v>60</v>
      </c>
      <c r="F98">
        <v>14.999314308000001</v>
      </c>
      <c r="G98">
        <v>1343.4735106999999</v>
      </c>
      <c r="H98">
        <v>1340.5531006000001</v>
      </c>
      <c r="I98">
        <v>1320.1337891000001</v>
      </c>
      <c r="J98">
        <v>1315.6096190999999</v>
      </c>
      <c r="K98">
        <v>2750</v>
      </c>
      <c r="L98">
        <v>0</v>
      </c>
      <c r="M98">
        <v>0</v>
      </c>
      <c r="N98">
        <v>2750</v>
      </c>
    </row>
    <row r="99" spans="1:14" x14ac:dyDescent="0.25">
      <c r="A99">
        <v>1.7188939999999999</v>
      </c>
      <c r="B99" s="1">
        <f>DATE(2010,5,2) + TIME(17,15,12)</f>
        <v>40300.718888888892</v>
      </c>
      <c r="C99">
        <v>80</v>
      </c>
      <c r="D99">
        <v>78.107345581000004</v>
      </c>
      <c r="E99">
        <v>60</v>
      </c>
      <c r="F99">
        <v>14.999317168999999</v>
      </c>
      <c r="G99">
        <v>1343.4888916</v>
      </c>
      <c r="H99">
        <v>1340.5622559000001</v>
      </c>
      <c r="I99">
        <v>1320.1340332</v>
      </c>
      <c r="J99">
        <v>1315.6097411999999</v>
      </c>
      <c r="K99">
        <v>2750</v>
      </c>
      <c r="L99">
        <v>0</v>
      </c>
      <c r="M99">
        <v>0</v>
      </c>
      <c r="N99">
        <v>2750</v>
      </c>
    </row>
    <row r="100" spans="1:14" x14ac:dyDescent="0.25">
      <c r="A100">
        <v>1.7585059999999999</v>
      </c>
      <c r="B100" s="1">
        <f>DATE(2010,5,2) + TIME(18,12,14)</f>
        <v>40300.75849537037</v>
      </c>
      <c r="C100">
        <v>80</v>
      </c>
      <c r="D100">
        <v>78.286903381000002</v>
      </c>
      <c r="E100">
        <v>60</v>
      </c>
      <c r="F100">
        <v>14.99932003</v>
      </c>
      <c r="G100">
        <v>1343.5031738</v>
      </c>
      <c r="H100">
        <v>1340.5704346</v>
      </c>
      <c r="I100">
        <v>1320.1341553</v>
      </c>
      <c r="J100">
        <v>1315.6098632999999</v>
      </c>
      <c r="K100">
        <v>2750</v>
      </c>
      <c r="L100">
        <v>0</v>
      </c>
      <c r="M100">
        <v>0</v>
      </c>
      <c r="N100">
        <v>2750</v>
      </c>
    </row>
    <row r="101" spans="1:14" x14ac:dyDescent="0.25">
      <c r="A101">
        <v>1.799291</v>
      </c>
      <c r="B101" s="1">
        <f>DATE(2010,5,2) + TIME(19,10,58)</f>
        <v>40300.79928240741</v>
      </c>
      <c r="C101">
        <v>80</v>
      </c>
      <c r="D101">
        <v>78.453712463000002</v>
      </c>
      <c r="E101">
        <v>60</v>
      </c>
      <c r="F101">
        <v>14.999322891</v>
      </c>
      <c r="G101">
        <v>1343.5163574000001</v>
      </c>
      <c r="H101">
        <v>1340.5775146000001</v>
      </c>
      <c r="I101">
        <v>1320.1343993999999</v>
      </c>
      <c r="J101">
        <v>1315.6099853999999</v>
      </c>
      <c r="K101">
        <v>2750</v>
      </c>
      <c r="L101">
        <v>0</v>
      </c>
      <c r="M101">
        <v>0</v>
      </c>
      <c r="N101">
        <v>2750</v>
      </c>
    </row>
    <row r="102" spans="1:14" x14ac:dyDescent="0.25">
      <c r="A102">
        <v>1.841369</v>
      </c>
      <c r="B102" s="1">
        <f>DATE(2010,5,2) + TIME(20,11,34)</f>
        <v>40300.841365740744</v>
      </c>
      <c r="C102">
        <v>80</v>
      </c>
      <c r="D102">
        <v>78.608421325999998</v>
      </c>
      <c r="E102">
        <v>60</v>
      </c>
      <c r="F102">
        <v>14.999325752000001</v>
      </c>
      <c r="G102">
        <v>1343.5284423999999</v>
      </c>
      <c r="H102">
        <v>1340.5834961</v>
      </c>
      <c r="I102">
        <v>1320.1345214999999</v>
      </c>
      <c r="J102">
        <v>1315.6099853999999</v>
      </c>
      <c r="K102">
        <v>2750</v>
      </c>
      <c r="L102">
        <v>0</v>
      </c>
      <c r="M102">
        <v>0</v>
      </c>
      <c r="N102">
        <v>2750</v>
      </c>
    </row>
    <row r="103" spans="1:14" x14ac:dyDescent="0.25">
      <c r="A103">
        <v>1.8848689999999999</v>
      </c>
      <c r="B103" s="1">
        <f>DATE(2010,5,2) + TIME(21,14,12)</f>
        <v>40300.88486111111</v>
      </c>
      <c r="C103">
        <v>80</v>
      </c>
      <c r="D103">
        <v>78.751625060999999</v>
      </c>
      <c r="E103">
        <v>60</v>
      </c>
      <c r="F103">
        <v>14.999328612999999</v>
      </c>
      <c r="G103">
        <v>1343.5394286999999</v>
      </c>
      <c r="H103">
        <v>1340.588501</v>
      </c>
      <c r="I103">
        <v>1320.1347656</v>
      </c>
      <c r="J103">
        <v>1315.6101074000001</v>
      </c>
      <c r="K103">
        <v>2750</v>
      </c>
      <c r="L103">
        <v>0</v>
      </c>
      <c r="M103">
        <v>0</v>
      </c>
      <c r="N103">
        <v>2750</v>
      </c>
    </row>
    <row r="104" spans="1:14" x14ac:dyDescent="0.25">
      <c r="A104">
        <v>1.9297089999999999</v>
      </c>
      <c r="B104" s="1">
        <f>DATE(2010,5,2) + TIME(22,18,46)</f>
        <v>40300.929699074077</v>
      </c>
      <c r="C104">
        <v>80</v>
      </c>
      <c r="D104">
        <v>78.883300781000003</v>
      </c>
      <c r="E104">
        <v>60</v>
      </c>
      <c r="F104">
        <v>14.999331474</v>
      </c>
      <c r="G104">
        <v>1343.5494385</v>
      </c>
      <c r="H104">
        <v>1340.5925293</v>
      </c>
      <c r="I104">
        <v>1320.1348877</v>
      </c>
      <c r="J104">
        <v>1315.6102295000001</v>
      </c>
      <c r="K104">
        <v>2750</v>
      </c>
      <c r="L104">
        <v>0</v>
      </c>
      <c r="M104">
        <v>0</v>
      </c>
      <c r="N104">
        <v>2750</v>
      </c>
    </row>
    <row r="105" spans="1:14" x14ac:dyDescent="0.25">
      <c r="A105">
        <v>1.9759</v>
      </c>
      <c r="B105" s="1">
        <f>DATE(2010,5,2) + TIME(23,25,17)</f>
        <v>40300.975891203707</v>
      </c>
      <c r="C105">
        <v>80</v>
      </c>
      <c r="D105">
        <v>79.003837584999999</v>
      </c>
      <c r="E105">
        <v>60</v>
      </c>
      <c r="F105">
        <v>14.999334335</v>
      </c>
      <c r="G105">
        <v>1343.5583495999999</v>
      </c>
      <c r="H105">
        <v>1340.5954589999999</v>
      </c>
      <c r="I105">
        <v>1320.1351318</v>
      </c>
      <c r="J105">
        <v>1315.6103516000001</v>
      </c>
      <c r="K105">
        <v>2750</v>
      </c>
      <c r="L105">
        <v>0</v>
      </c>
      <c r="M105">
        <v>0</v>
      </c>
      <c r="N105">
        <v>2750</v>
      </c>
    </row>
    <row r="106" spans="1:14" x14ac:dyDescent="0.25">
      <c r="A106">
        <v>2.0235300000000001</v>
      </c>
      <c r="B106" s="1">
        <f>DATE(2010,5,3) + TIME(0,33,52)</f>
        <v>40301.023518518516</v>
      </c>
      <c r="C106">
        <v>80</v>
      </c>
      <c r="D106">
        <v>79.113845824999999</v>
      </c>
      <c r="E106">
        <v>60</v>
      </c>
      <c r="F106">
        <v>14.999337196000001</v>
      </c>
      <c r="G106">
        <v>1343.5660399999999</v>
      </c>
      <c r="H106">
        <v>1340.5972899999999</v>
      </c>
      <c r="I106">
        <v>1320.1352539</v>
      </c>
      <c r="J106">
        <v>1315.6104736</v>
      </c>
      <c r="K106">
        <v>2750</v>
      </c>
      <c r="L106">
        <v>0</v>
      </c>
      <c r="M106">
        <v>0</v>
      </c>
      <c r="N106">
        <v>2750</v>
      </c>
    </row>
    <row r="107" spans="1:14" x14ac:dyDescent="0.25">
      <c r="A107">
        <v>2.0726810000000002</v>
      </c>
      <c r="B107" s="1">
        <f>DATE(2010,5,3) + TIME(1,44,39)</f>
        <v>40301.07267361111</v>
      </c>
      <c r="C107">
        <v>80</v>
      </c>
      <c r="D107">
        <v>79.213905334000003</v>
      </c>
      <c r="E107">
        <v>60</v>
      </c>
      <c r="F107">
        <v>14.999340057</v>
      </c>
      <c r="G107">
        <v>1343.5727539</v>
      </c>
      <c r="H107">
        <v>1340.5982666</v>
      </c>
      <c r="I107">
        <v>1320.1354980000001</v>
      </c>
      <c r="J107">
        <v>1315.6105957</v>
      </c>
      <c r="K107">
        <v>2750</v>
      </c>
      <c r="L107">
        <v>0</v>
      </c>
      <c r="M107">
        <v>0</v>
      </c>
      <c r="N107">
        <v>2750</v>
      </c>
    </row>
    <row r="108" spans="1:14" x14ac:dyDescent="0.25">
      <c r="A108">
        <v>2.1235019999999998</v>
      </c>
      <c r="B108" s="1">
        <f>DATE(2010,5,3) + TIME(2,57,50)</f>
        <v>40301.123495370368</v>
      </c>
      <c r="C108">
        <v>80</v>
      </c>
      <c r="D108">
        <v>79.304695128999995</v>
      </c>
      <c r="E108">
        <v>60</v>
      </c>
      <c r="F108">
        <v>14.999342918</v>
      </c>
      <c r="G108">
        <v>1343.5782471</v>
      </c>
      <c r="H108">
        <v>1340.5980225000001</v>
      </c>
      <c r="I108">
        <v>1320.1356201000001</v>
      </c>
      <c r="J108">
        <v>1315.6107178</v>
      </c>
      <c r="K108">
        <v>2750</v>
      </c>
      <c r="L108">
        <v>0</v>
      </c>
      <c r="M108">
        <v>0</v>
      </c>
      <c r="N108">
        <v>2750</v>
      </c>
    </row>
    <row r="109" spans="1:14" x14ac:dyDescent="0.25">
      <c r="A109">
        <v>2.1761590000000002</v>
      </c>
      <c r="B109" s="1">
        <f>DATE(2010,5,3) + TIME(4,13,40)</f>
        <v>40301.176157407404</v>
      </c>
      <c r="C109">
        <v>80</v>
      </c>
      <c r="D109">
        <v>79.386840820000003</v>
      </c>
      <c r="E109">
        <v>60</v>
      </c>
      <c r="F109">
        <v>14.999345779</v>
      </c>
      <c r="G109">
        <v>1343.5825195</v>
      </c>
      <c r="H109">
        <v>1340.5969238</v>
      </c>
      <c r="I109">
        <v>1320.1358643000001</v>
      </c>
      <c r="J109">
        <v>1315.6108397999999</v>
      </c>
      <c r="K109">
        <v>2750</v>
      </c>
      <c r="L109">
        <v>0</v>
      </c>
      <c r="M109">
        <v>0</v>
      </c>
      <c r="N109">
        <v>2750</v>
      </c>
    </row>
    <row r="110" spans="1:14" x14ac:dyDescent="0.25">
      <c r="A110">
        <v>2.2307000000000001</v>
      </c>
      <c r="B110" s="1">
        <f>DATE(2010,5,3) + TIME(5,32,12)</f>
        <v>40301.230694444443</v>
      </c>
      <c r="C110">
        <v>80</v>
      </c>
      <c r="D110">
        <v>79.460784911999994</v>
      </c>
      <c r="E110">
        <v>60</v>
      </c>
      <c r="F110">
        <v>14.999348639999999</v>
      </c>
      <c r="G110">
        <v>1343.5858154</v>
      </c>
      <c r="H110">
        <v>1340.5947266000001</v>
      </c>
      <c r="I110">
        <v>1320.1359863</v>
      </c>
      <c r="J110">
        <v>1315.6109618999999</v>
      </c>
      <c r="K110">
        <v>2750</v>
      </c>
      <c r="L110">
        <v>0</v>
      </c>
      <c r="M110">
        <v>0</v>
      </c>
      <c r="N110">
        <v>2750</v>
      </c>
    </row>
    <row r="111" spans="1:14" x14ac:dyDescent="0.25">
      <c r="A111">
        <v>2.258381</v>
      </c>
      <c r="B111" s="1">
        <f>DATE(2010,5,3) + TIME(6,12,4)</f>
        <v>40301.258379629631</v>
      </c>
      <c r="C111">
        <v>80</v>
      </c>
      <c r="D111">
        <v>79.495697020999998</v>
      </c>
      <c r="E111">
        <v>60</v>
      </c>
      <c r="F111">
        <v>14.999349594</v>
      </c>
      <c r="G111">
        <v>1343.5898437999999</v>
      </c>
      <c r="H111">
        <v>1340.5915527</v>
      </c>
      <c r="I111">
        <v>1320.1362305</v>
      </c>
      <c r="J111">
        <v>1315.6110839999999</v>
      </c>
      <c r="K111">
        <v>2750</v>
      </c>
      <c r="L111">
        <v>0</v>
      </c>
      <c r="M111">
        <v>0</v>
      </c>
      <c r="N111">
        <v>2750</v>
      </c>
    </row>
    <row r="112" spans="1:14" x14ac:dyDescent="0.25">
      <c r="A112">
        <v>2.2860619999999998</v>
      </c>
      <c r="B112" s="1">
        <f>DATE(2010,5,3) + TIME(6,51,55)</f>
        <v>40301.286053240743</v>
      </c>
      <c r="C112">
        <v>80</v>
      </c>
      <c r="D112">
        <v>79.528114318999997</v>
      </c>
      <c r="E112">
        <v>60</v>
      </c>
      <c r="F112">
        <v>14.999351501</v>
      </c>
      <c r="G112">
        <v>1343.5905762</v>
      </c>
      <c r="H112">
        <v>1340.5898437999999</v>
      </c>
      <c r="I112">
        <v>1320.1362305</v>
      </c>
      <c r="J112">
        <v>1315.6112060999999</v>
      </c>
      <c r="K112">
        <v>2750</v>
      </c>
      <c r="L112">
        <v>0</v>
      </c>
      <c r="M112">
        <v>0</v>
      </c>
      <c r="N112">
        <v>2750</v>
      </c>
    </row>
    <row r="113" spans="1:14" x14ac:dyDescent="0.25">
      <c r="A113">
        <v>2.3137430000000001</v>
      </c>
      <c r="B113" s="1">
        <f>DATE(2010,5,3) + TIME(7,31,47)</f>
        <v>40301.313738425924</v>
      </c>
      <c r="C113">
        <v>80</v>
      </c>
      <c r="D113">
        <v>79.558212280000006</v>
      </c>
      <c r="E113">
        <v>60</v>
      </c>
      <c r="F113">
        <v>14.999352455</v>
      </c>
      <c r="G113">
        <v>1343.5911865</v>
      </c>
      <c r="H113">
        <v>1340.5878906</v>
      </c>
      <c r="I113">
        <v>1320.1363524999999</v>
      </c>
      <c r="J113">
        <v>1315.6112060999999</v>
      </c>
      <c r="K113">
        <v>2750</v>
      </c>
      <c r="L113">
        <v>0</v>
      </c>
      <c r="M113">
        <v>0</v>
      </c>
      <c r="N113">
        <v>2750</v>
      </c>
    </row>
    <row r="114" spans="1:14" x14ac:dyDescent="0.25">
      <c r="A114">
        <v>2.3414239999999999</v>
      </c>
      <c r="B114" s="1">
        <f>DATE(2010,5,3) + TIME(8,11,39)</f>
        <v>40301.341423611113</v>
      </c>
      <c r="C114">
        <v>80</v>
      </c>
      <c r="D114">
        <v>79.586158752000003</v>
      </c>
      <c r="E114">
        <v>60</v>
      </c>
      <c r="F114">
        <v>14.999354362</v>
      </c>
      <c r="G114">
        <v>1343.5914307</v>
      </c>
      <c r="H114">
        <v>1340.5856934000001</v>
      </c>
      <c r="I114">
        <v>1320.1364745999999</v>
      </c>
      <c r="J114">
        <v>1315.6113281</v>
      </c>
      <c r="K114">
        <v>2750</v>
      </c>
      <c r="L114">
        <v>0</v>
      </c>
      <c r="M114">
        <v>0</v>
      </c>
      <c r="N114">
        <v>2750</v>
      </c>
    </row>
    <row r="115" spans="1:14" x14ac:dyDescent="0.25">
      <c r="A115">
        <v>2.3691049999999998</v>
      </c>
      <c r="B115" s="1">
        <f>DATE(2010,5,3) + TIME(8,51,30)</f>
        <v>40301.369097222225</v>
      </c>
      <c r="C115">
        <v>80</v>
      </c>
      <c r="D115">
        <v>79.612098693999997</v>
      </c>
      <c r="E115">
        <v>60</v>
      </c>
      <c r="F115">
        <v>14.999355316000001</v>
      </c>
      <c r="G115">
        <v>1343.5913086</v>
      </c>
      <c r="H115">
        <v>1340.583374</v>
      </c>
      <c r="I115">
        <v>1320.1365966999999</v>
      </c>
      <c r="J115">
        <v>1315.6113281</v>
      </c>
      <c r="K115">
        <v>2750</v>
      </c>
      <c r="L115">
        <v>0</v>
      </c>
      <c r="M115">
        <v>0</v>
      </c>
      <c r="N115">
        <v>2750</v>
      </c>
    </row>
    <row r="116" spans="1:14" x14ac:dyDescent="0.25">
      <c r="A116">
        <v>2.4244669999999999</v>
      </c>
      <c r="B116" s="1">
        <f>DATE(2010,5,3) + TIME(10,11,13)</f>
        <v>40301.424456018518</v>
      </c>
      <c r="C116">
        <v>80</v>
      </c>
      <c r="D116">
        <v>79.656990050999994</v>
      </c>
      <c r="E116">
        <v>60</v>
      </c>
      <c r="F116">
        <v>14.999358177</v>
      </c>
      <c r="G116">
        <v>1343.5897216999999</v>
      </c>
      <c r="H116">
        <v>1340.5809326000001</v>
      </c>
      <c r="I116">
        <v>1320.1367187999999</v>
      </c>
      <c r="J116">
        <v>1315.6114502</v>
      </c>
      <c r="K116">
        <v>2750</v>
      </c>
      <c r="L116">
        <v>0</v>
      </c>
      <c r="M116">
        <v>0</v>
      </c>
      <c r="N116">
        <v>2750</v>
      </c>
    </row>
    <row r="117" spans="1:14" x14ac:dyDescent="0.25">
      <c r="A117">
        <v>2.479914</v>
      </c>
      <c r="B117" s="1">
        <f>DATE(2010,5,3) + TIME(11,31,4)</f>
        <v>40301.479907407411</v>
      </c>
      <c r="C117">
        <v>80</v>
      </c>
      <c r="D117">
        <v>79.695945739999999</v>
      </c>
      <c r="E117">
        <v>60</v>
      </c>
      <c r="F117">
        <v>14.999361038</v>
      </c>
      <c r="G117">
        <v>1343.5882568</v>
      </c>
      <c r="H117">
        <v>1340.5751952999999</v>
      </c>
      <c r="I117">
        <v>1320.1369629000001</v>
      </c>
      <c r="J117">
        <v>1315.6115723</v>
      </c>
      <c r="K117">
        <v>2750</v>
      </c>
      <c r="L117">
        <v>0</v>
      </c>
      <c r="M117">
        <v>0</v>
      </c>
      <c r="N117">
        <v>2750</v>
      </c>
    </row>
    <row r="118" spans="1:14" x14ac:dyDescent="0.25">
      <c r="A118">
        <v>2.535501</v>
      </c>
      <c r="B118" s="1">
        <f>DATE(2010,5,3) + TIME(12,51,7)</f>
        <v>40301.535497685189</v>
      </c>
      <c r="C118">
        <v>80</v>
      </c>
      <c r="D118">
        <v>79.729759216000005</v>
      </c>
      <c r="E118">
        <v>60</v>
      </c>
      <c r="F118">
        <v>14.999363899</v>
      </c>
      <c r="G118">
        <v>1343.5860596</v>
      </c>
      <c r="H118">
        <v>1340.5689697</v>
      </c>
      <c r="I118">
        <v>1320.1370850000001</v>
      </c>
      <c r="J118">
        <v>1315.6116943</v>
      </c>
      <c r="K118">
        <v>2750</v>
      </c>
      <c r="L118">
        <v>0</v>
      </c>
      <c r="M118">
        <v>0</v>
      </c>
      <c r="N118">
        <v>2750</v>
      </c>
    </row>
    <row r="119" spans="1:14" x14ac:dyDescent="0.25">
      <c r="A119">
        <v>2.5912799999999998</v>
      </c>
      <c r="B119" s="1">
        <f>DATE(2010,5,3) + TIME(14,11,26)</f>
        <v>40301.591273148151</v>
      </c>
      <c r="C119">
        <v>80</v>
      </c>
      <c r="D119">
        <v>79.759124756000006</v>
      </c>
      <c r="E119">
        <v>60</v>
      </c>
      <c r="F119">
        <v>14.999365807</v>
      </c>
      <c r="G119">
        <v>1343.5830077999999</v>
      </c>
      <c r="H119">
        <v>1340.5622559000001</v>
      </c>
      <c r="I119">
        <v>1320.1373291</v>
      </c>
      <c r="J119">
        <v>1315.6118164</v>
      </c>
      <c r="K119">
        <v>2750</v>
      </c>
      <c r="L119">
        <v>0</v>
      </c>
      <c r="M119">
        <v>0</v>
      </c>
      <c r="N119">
        <v>2750</v>
      </c>
    </row>
    <row r="120" spans="1:14" x14ac:dyDescent="0.25">
      <c r="A120">
        <v>2.6473270000000002</v>
      </c>
      <c r="B120" s="1">
        <f>DATE(2010,5,3) + TIME(15,32,9)</f>
        <v>40301.647326388891</v>
      </c>
      <c r="C120">
        <v>80</v>
      </c>
      <c r="D120">
        <v>79.784652710000003</v>
      </c>
      <c r="E120">
        <v>60</v>
      </c>
      <c r="F120">
        <v>14.999368668000001</v>
      </c>
      <c r="G120">
        <v>1343.5793457</v>
      </c>
      <c r="H120">
        <v>1340.5549315999999</v>
      </c>
      <c r="I120">
        <v>1320.1374512</v>
      </c>
      <c r="J120">
        <v>1315.6119385</v>
      </c>
      <c r="K120">
        <v>2750</v>
      </c>
      <c r="L120">
        <v>0</v>
      </c>
      <c r="M120">
        <v>0</v>
      </c>
      <c r="N120">
        <v>2750</v>
      </c>
    </row>
    <row r="121" spans="1:14" x14ac:dyDescent="0.25">
      <c r="A121">
        <v>2.7037409999999999</v>
      </c>
      <c r="B121" s="1">
        <f>DATE(2010,5,3) + TIME(16,53,23)</f>
        <v>40301.703738425924</v>
      </c>
      <c r="C121">
        <v>80</v>
      </c>
      <c r="D121">
        <v>79.806854247999993</v>
      </c>
      <c r="E121">
        <v>60</v>
      </c>
      <c r="F121">
        <v>14.999370575</v>
      </c>
      <c r="G121">
        <v>1343.5749512</v>
      </c>
      <c r="H121">
        <v>1340.5473632999999</v>
      </c>
      <c r="I121">
        <v>1320.1375731999999</v>
      </c>
      <c r="J121">
        <v>1315.6120605000001</v>
      </c>
      <c r="K121">
        <v>2750</v>
      </c>
      <c r="L121">
        <v>0</v>
      </c>
      <c r="M121">
        <v>0</v>
      </c>
      <c r="N121">
        <v>2750</v>
      </c>
    </row>
    <row r="122" spans="1:14" x14ac:dyDescent="0.25">
      <c r="A122">
        <v>2.7606069999999998</v>
      </c>
      <c r="B122" s="1">
        <f>DATE(2010,5,3) + TIME(18,15,16)</f>
        <v>40301.760601851849</v>
      </c>
      <c r="C122">
        <v>80</v>
      </c>
      <c r="D122">
        <v>79.826187133999994</v>
      </c>
      <c r="E122">
        <v>60</v>
      </c>
      <c r="F122">
        <v>14.999373436000001</v>
      </c>
      <c r="G122">
        <v>1343.5699463000001</v>
      </c>
      <c r="H122">
        <v>1340.5394286999999</v>
      </c>
      <c r="I122">
        <v>1320.1378173999999</v>
      </c>
      <c r="J122">
        <v>1315.6121826000001</v>
      </c>
      <c r="K122">
        <v>2750</v>
      </c>
      <c r="L122">
        <v>0</v>
      </c>
      <c r="M122">
        <v>0</v>
      </c>
      <c r="N122">
        <v>2750</v>
      </c>
    </row>
    <row r="123" spans="1:14" x14ac:dyDescent="0.25">
      <c r="A123">
        <v>2.8180109999999998</v>
      </c>
      <c r="B123" s="1">
        <f>DATE(2010,5,3) + TIME(19,37,56)</f>
        <v>40301.818009259259</v>
      </c>
      <c r="C123">
        <v>80</v>
      </c>
      <c r="D123">
        <v>79.843017578000001</v>
      </c>
      <c r="E123">
        <v>60</v>
      </c>
      <c r="F123">
        <v>14.999375343000001</v>
      </c>
      <c r="G123">
        <v>1343.5644531</v>
      </c>
      <c r="H123">
        <v>1340.5311279</v>
      </c>
      <c r="I123">
        <v>1320.1379394999999</v>
      </c>
      <c r="J123">
        <v>1315.6123047000001</v>
      </c>
      <c r="K123">
        <v>2750</v>
      </c>
      <c r="L123">
        <v>0</v>
      </c>
      <c r="M123">
        <v>0</v>
      </c>
      <c r="N123">
        <v>2750</v>
      </c>
    </row>
    <row r="124" spans="1:14" x14ac:dyDescent="0.25">
      <c r="A124">
        <v>2.876039</v>
      </c>
      <c r="B124" s="1">
        <f>DATE(2010,5,3) + TIME(21,1,29)</f>
        <v>40301.876030092593</v>
      </c>
      <c r="C124">
        <v>80</v>
      </c>
      <c r="D124">
        <v>79.857673645000006</v>
      </c>
      <c r="E124">
        <v>60</v>
      </c>
      <c r="F124">
        <v>14.999378203999999</v>
      </c>
      <c r="G124">
        <v>1343.5584716999999</v>
      </c>
      <c r="H124">
        <v>1340.5224608999999</v>
      </c>
      <c r="I124">
        <v>1320.1381836</v>
      </c>
      <c r="J124">
        <v>1315.6124268000001</v>
      </c>
      <c r="K124">
        <v>2750</v>
      </c>
      <c r="L124">
        <v>0</v>
      </c>
      <c r="M124">
        <v>0</v>
      </c>
      <c r="N124">
        <v>2750</v>
      </c>
    </row>
    <row r="125" spans="1:14" x14ac:dyDescent="0.25">
      <c r="A125">
        <v>2.9347799999999999</v>
      </c>
      <c r="B125" s="1">
        <f>DATE(2010,5,3) + TIME(22,26,5)</f>
        <v>40301.93478009259</v>
      </c>
      <c r="C125">
        <v>80</v>
      </c>
      <c r="D125">
        <v>79.870445251000007</v>
      </c>
      <c r="E125">
        <v>60</v>
      </c>
      <c r="F125">
        <v>14.999380112000001</v>
      </c>
      <c r="G125">
        <v>1343.5520019999999</v>
      </c>
      <c r="H125">
        <v>1340.5135498</v>
      </c>
      <c r="I125">
        <v>1320.1383057</v>
      </c>
      <c r="J125">
        <v>1315.6125488</v>
      </c>
      <c r="K125">
        <v>2750</v>
      </c>
      <c r="L125">
        <v>0</v>
      </c>
      <c r="M125">
        <v>0</v>
      </c>
      <c r="N125">
        <v>2750</v>
      </c>
    </row>
    <row r="126" spans="1:14" x14ac:dyDescent="0.25">
      <c r="A126">
        <v>2.994326</v>
      </c>
      <c r="B126" s="1">
        <f>DATE(2010,5,3) + TIME(23,51,49)</f>
        <v>40301.994317129633</v>
      </c>
      <c r="C126">
        <v>80</v>
      </c>
      <c r="D126">
        <v>79.881561278999996</v>
      </c>
      <c r="E126">
        <v>60</v>
      </c>
      <c r="F126">
        <v>14.999382972999999</v>
      </c>
      <c r="G126">
        <v>1343.5451660000001</v>
      </c>
      <c r="H126">
        <v>1340.5043945</v>
      </c>
      <c r="I126">
        <v>1320.1384277</v>
      </c>
      <c r="J126">
        <v>1315.6126709</v>
      </c>
      <c r="K126">
        <v>2750</v>
      </c>
      <c r="L126">
        <v>0</v>
      </c>
      <c r="M126">
        <v>0</v>
      </c>
      <c r="N126">
        <v>2750</v>
      </c>
    </row>
    <row r="127" spans="1:14" x14ac:dyDescent="0.25">
      <c r="A127">
        <v>3.0547710000000001</v>
      </c>
      <c r="B127" s="1">
        <f>DATE(2010,5,4) + TIME(1,18,52)</f>
        <v>40302.054768518516</v>
      </c>
      <c r="C127">
        <v>80</v>
      </c>
      <c r="D127">
        <v>79.891242981000005</v>
      </c>
      <c r="E127">
        <v>60</v>
      </c>
      <c r="F127">
        <v>14.999384879999999</v>
      </c>
      <c r="G127">
        <v>1343.5378418</v>
      </c>
      <c r="H127">
        <v>1340.4949951000001</v>
      </c>
      <c r="I127">
        <v>1320.1386719</v>
      </c>
      <c r="J127">
        <v>1315.612793</v>
      </c>
      <c r="K127">
        <v>2750</v>
      </c>
      <c r="L127">
        <v>0</v>
      </c>
      <c r="M127">
        <v>0</v>
      </c>
      <c r="N127">
        <v>2750</v>
      </c>
    </row>
    <row r="128" spans="1:14" x14ac:dyDescent="0.25">
      <c r="A128">
        <v>3.1162160000000001</v>
      </c>
      <c r="B128" s="1">
        <f>DATE(2010,5,4) + TIME(2,47,21)</f>
        <v>40302.116215277776</v>
      </c>
      <c r="C128">
        <v>80</v>
      </c>
      <c r="D128">
        <v>79.899665833</v>
      </c>
      <c r="E128">
        <v>60</v>
      </c>
      <c r="F128">
        <v>14.999386787000001</v>
      </c>
      <c r="G128">
        <v>1343.5300293</v>
      </c>
      <c r="H128">
        <v>1340.4853516000001</v>
      </c>
      <c r="I128">
        <v>1320.1387939000001</v>
      </c>
      <c r="J128">
        <v>1315.6129149999999</v>
      </c>
      <c r="K128">
        <v>2750</v>
      </c>
      <c r="L128">
        <v>0</v>
      </c>
      <c r="M128">
        <v>0</v>
      </c>
      <c r="N128">
        <v>2750</v>
      </c>
    </row>
    <row r="129" spans="1:14" x14ac:dyDescent="0.25">
      <c r="A129">
        <v>3.1787640000000001</v>
      </c>
      <c r="B129" s="1">
        <f>DATE(2010,5,4) + TIME(4,17,25)</f>
        <v>40302.178761574076</v>
      </c>
      <c r="C129">
        <v>80</v>
      </c>
      <c r="D129">
        <v>79.906997681000007</v>
      </c>
      <c r="E129">
        <v>60</v>
      </c>
      <c r="F129">
        <v>14.999389647999999</v>
      </c>
      <c r="G129">
        <v>1343.5219727000001</v>
      </c>
      <c r="H129">
        <v>1340.4754639</v>
      </c>
      <c r="I129">
        <v>1320.1390381000001</v>
      </c>
      <c r="J129">
        <v>1315.6130370999999</v>
      </c>
      <c r="K129">
        <v>2750</v>
      </c>
      <c r="L129">
        <v>0</v>
      </c>
      <c r="M129">
        <v>0</v>
      </c>
      <c r="N129">
        <v>2750</v>
      </c>
    </row>
    <row r="130" spans="1:14" x14ac:dyDescent="0.25">
      <c r="A130">
        <v>3.2425579999999998</v>
      </c>
      <c r="B130" s="1">
        <f>DATE(2010,5,4) + TIME(5,49,17)</f>
        <v>40302.24255787037</v>
      </c>
      <c r="C130">
        <v>80</v>
      </c>
      <c r="D130">
        <v>79.913375853999995</v>
      </c>
      <c r="E130">
        <v>60</v>
      </c>
      <c r="F130">
        <v>14.999391556000001</v>
      </c>
      <c r="G130">
        <v>1343.5134277</v>
      </c>
      <c r="H130">
        <v>1340.4652100000001</v>
      </c>
      <c r="I130">
        <v>1320.1391602000001</v>
      </c>
      <c r="J130">
        <v>1315.6131591999999</v>
      </c>
      <c r="K130">
        <v>2750</v>
      </c>
      <c r="L130">
        <v>0</v>
      </c>
      <c r="M130">
        <v>0</v>
      </c>
      <c r="N130">
        <v>2750</v>
      </c>
    </row>
    <row r="131" spans="1:14" x14ac:dyDescent="0.25">
      <c r="A131">
        <v>3.307693</v>
      </c>
      <c r="B131" s="1">
        <f>DATE(2010,5,4) + TIME(7,23,4)</f>
        <v>40302.307685185187</v>
      </c>
      <c r="C131">
        <v>80</v>
      </c>
      <c r="D131">
        <v>79.918914795000006</v>
      </c>
      <c r="E131">
        <v>60</v>
      </c>
      <c r="F131">
        <v>14.999393463000001</v>
      </c>
      <c r="G131">
        <v>1343.5043945</v>
      </c>
      <c r="H131">
        <v>1340.4547118999999</v>
      </c>
      <c r="I131">
        <v>1320.1394043</v>
      </c>
      <c r="J131">
        <v>1315.6134033000001</v>
      </c>
      <c r="K131">
        <v>2750</v>
      </c>
      <c r="L131">
        <v>0</v>
      </c>
      <c r="M131">
        <v>0</v>
      </c>
      <c r="N131">
        <v>2750</v>
      </c>
    </row>
    <row r="132" spans="1:14" x14ac:dyDescent="0.25">
      <c r="A132">
        <v>3.3742990000000002</v>
      </c>
      <c r="B132" s="1">
        <f>DATE(2010,5,4) + TIME(8,58,59)</f>
        <v>40302.374293981484</v>
      </c>
      <c r="C132">
        <v>80</v>
      </c>
      <c r="D132">
        <v>79.923721313000001</v>
      </c>
      <c r="E132">
        <v>60</v>
      </c>
      <c r="F132">
        <v>14.999396323999999</v>
      </c>
      <c r="G132">
        <v>1343.4949951000001</v>
      </c>
      <c r="H132">
        <v>1340.4439697</v>
      </c>
      <c r="I132">
        <v>1320.1395264</v>
      </c>
      <c r="J132">
        <v>1315.6135254000001</v>
      </c>
      <c r="K132">
        <v>2750</v>
      </c>
      <c r="L132">
        <v>0</v>
      </c>
      <c r="M132">
        <v>0</v>
      </c>
      <c r="N132">
        <v>2750</v>
      </c>
    </row>
    <row r="133" spans="1:14" x14ac:dyDescent="0.25">
      <c r="A133">
        <v>3.442517</v>
      </c>
      <c r="B133" s="1">
        <f>DATE(2010,5,4) + TIME(10,37,13)</f>
        <v>40302.442511574074</v>
      </c>
      <c r="C133">
        <v>80</v>
      </c>
      <c r="D133">
        <v>79.927894592000001</v>
      </c>
      <c r="E133">
        <v>60</v>
      </c>
      <c r="F133">
        <v>14.999398232000001</v>
      </c>
      <c r="G133">
        <v>1343.4851074000001</v>
      </c>
      <c r="H133">
        <v>1340.4329834</v>
      </c>
      <c r="I133">
        <v>1320.1397704999999</v>
      </c>
      <c r="J133">
        <v>1315.6136475000001</v>
      </c>
      <c r="K133">
        <v>2750</v>
      </c>
      <c r="L133">
        <v>0</v>
      </c>
      <c r="M133">
        <v>0</v>
      </c>
      <c r="N133">
        <v>2750</v>
      </c>
    </row>
    <row r="134" spans="1:14" x14ac:dyDescent="0.25">
      <c r="A134">
        <v>3.512502</v>
      </c>
      <c r="B134" s="1">
        <f>DATE(2010,5,4) + TIME(12,18,0)</f>
        <v>40302.512499999997</v>
      </c>
      <c r="C134">
        <v>80</v>
      </c>
      <c r="D134">
        <v>79.931510924999998</v>
      </c>
      <c r="E134">
        <v>60</v>
      </c>
      <c r="F134">
        <v>14.999401092999999</v>
      </c>
      <c r="G134">
        <v>1343.4749756000001</v>
      </c>
      <c r="H134">
        <v>1340.4217529</v>
      </c>
      <c r="I134">
        <v>1320.1398925999999</v>
      </c>
      <c r="J134">
        <v>1315.6137695</v>
      </c>
      <c r="K134">
        <v>2750</v>
      </c>
      <c r="L134">
        <v>0</v>
      </c>
      <c r="M134">
        <v>0</v>
      </c>
      <c r="N134">
        <v>2750</v>
      </c>
    </row>
    <row r="135" spans="1:14" x14ac:dyDescent="0.25">
      <c r="A135">
        <v>3.5844230000000001</v>
      </c>
      <c r="B135" s="1">
        <f>DATE(2010,5,4) + TIME(14,1,34)</f>
        <v>40302.584421296298</v>
      </c>
      <c r="C135">
        <v>80</v>
      </c>
      <c r="D135">
        <v>79.934638977000006</v>
      </c>
      <c r="E135">
        <v>60</v>
      </c>
      <c r="F135">
        <v>14.999402999999999</v>
      </c>
      <c r="G135">
        <v>1343.4644774999999</v>
      </c>
      <c r="H135">
        <v>1340.4102783000001</v>
      </c>
      <c r="I135">
        <v>1320.1401367000001</v>
      </c>
      <c r="J135">
        <v>1315.6138916</v>
      </c>
      <c r="K135">
        <v>2750</v>
      </c>
      <c r="L135">
        <v>0</v>
      </c>
      <c r="M135">
        <v>0</v>
      </c>
      <c r="N135">
        <v>2750</v>
      </c>
    </row>
    <row r="136" spans="1:14" x14ac:dyDescent="0.25">
      <c r="A136">
        <v>3.6582530000000002</v>
      </c>
      <c r="B136" s="1">
        <f>DATE(2010,5,4) + TIME(15,47,53)</f>
        <v>40302.658252314817</v>
      </c>
      <c r="C136">
        <v>80</v>
      </c>
      <c r="D136">
        <v>79.937339782999999</v>
      </c>
      <c r="E136">
        <v>60</v>
      </c>
      <c r="F136">
        <v>14.999404907000001</v>
      </c>
      <c r="G136">
        <v>1343.4534911999999</v>
      </c>
      <c r="H136">
        <v>1340.3984375</v>
      </c>
      <c r="I136">
        <v>1320.1402588000001</v>
      </c>
      <c r="J136">
        <v>1315.6140137</v>
      </c>
      <c r="K136">
        <v>2750</v>
      </c>
      <c r="L136">
        <v>0</v>
      </c>
      <c r="M136">
        <v>0</v>
      </c>
      <c r="N136">
        <v>2750</v>
      </c>
    </row>
    <row r="137" spans="1:14" x14ac:dyDescent="0.25">
      <c r="A137">
        <v>3.734162</v>
      </c>
      <c r="B137" s="1">
        <f>DATE(2010,5,4) + TIME(17,37,11)</f>
        <v>40302.734155092592</v>
      </c>
      <c r="C137">
        <v>80</v>
      </c>
      <c r="D137">
        <v>79.939666747999993</v>
      </c>
      <c r="E137">
        <v>60</v>
      </c>
      <c r="F137">
        <v>14.999407767999999</v>
      </c>
      <c r="G137">
        <v>1343.4410399999999</v>
      </c>
      <c r="H137">
        <v>1340.3856201000001</v>
      </c>
      <c r="I137">
        <v>1320.1405029</v>
      </c>
      <c r="J137">
        <v>1315.6142577999999</v>
      </c>
      <c r="K137">
        <v>2750</v>
      </c>
      <c r="L137">
        <v>0</v>
      </c>
      <c r="M137">
        <v>0</v>
      </c>
      <c r="N137">
        <v>2750</v>
      </c>
    </row>
    <row r="138" spans="1:14" x14ac:dyDescent="0.25">
      <c r="A138">
        <v>3.8122180000000001</v>
      </c>
      <c r="B138" s="1">
        <f>DATE(2010,5,4) + TIME(19,29,35)</f>
        <v>40302.812210648146</v>
      </c>
      <c r="C138">
        <v>80</v>
      </c>
      <c r="D138">
        <v>79.941673279</v>
      </c>
      <c r="E138">
        <v>60</v>
      </c>
      <c r="F138">
        <v>14.999409676000001</v>
      </c>
      <c r="G138">
        <v>1343.4283447</v>
      </c>
      <c r="H138">
        <v>1340.3724365</v>
      </c>
      <c r="I138">
        <v>1320.140625</v>
      </c>
      <c r="J138">
        <v>1315.6143798999999</v>
      </c>
      <c r="K138">
        <v>2750</v>
      </c>
      <c r="L138">
        <v>0</v>
      </c>
      <c r="M138">
        <v>0</v>
      </c>
      <c r="N138">
        <v>2750</v>
      </c>
    </row>
    <row r="139" spans="1:14" x14ac:dyDescent="0.25">
      <c r="A139">
        <v>3.8919709999999998</v>
      </c>
      <c r="B139" s="1">
        <f>DATE(2010,5,4) + TIME(21,24,26)</f>
        <v>40302.891967592594</v>
      </c>
      <c r="C139">
        <v>80</v>
      </c>
      <c r="D139">
        <v>79.943382263000004</v>
      </c>
      <c r="E139">
        <v>60</v>
      </c>
      <c r="F139">
        <v>14.999412537</v>
      </c>
      <c r="G139">
        <v>1343.4151611</v>
      </c>
      <c r="H139">
        <v>1340.3591309000001</v>
      </c>
      <c r="I139">
        <v>1320.1408690999999</v>
      </c>
      <c r="J139">
        <v>1315.6145019999999</v>
      </c>
      <c r="K139">
        <v>2750</v>
      </c>
      <c r="L139">
        <v>0</v>
      </c>
      <c r="M139">
        <v>0</v>
      </c>
      <c r="N139">
        <v>2750</v>
      </c>
    </row>
    <row r="140" spans="1:14" x14ac:dyDescent="0.25">
      <c r="A140">
        <v>3.9735939999999998</v>
      </c>
      <c r="B140" s="1">
        <f>DATE(2010,5,4) + TIME(23,21,58)</f>
        <v>40302.973587962966</v>
      </c>
      <c r="C140">
        <v>80</v>
      </c>
      <c r="D140">
        <v>79.944839478000006</v>
      </c>
      <c r="E140">
        <v>60</v>
      </c>
      <c r="F140">
        <v>14.999414443999999</v>
      </c>
      <c r="G140">
        <v>1343.4018555</v>
      </c>
      <c r="H140">
        <v>1340.3455810999999</v>
      </c>
      <c r="I140">
        <v>1320.1411132999999</v>
      </c>
      <c r="J140">
        <v>1315.6147461</v>
      </c>
      <c r="K140">
        <v>2750</v>
      </c>
      <c r="L140">
        <v>0</v>
      </c>
      <c r="M140">
        <v>0</v>
      </c>
      <c r="N140">
        <v>2750</v>
      </c>
    </row>
    <row r="141" spans="1:14" x14ac:dyDescent="0.25">
      <c r="A141">
        <v>4.0151149999999998</v>
      </c>
      <c r="B141" s="1">
        <f>DATE(2010,5,5) + TIME(0,21,45)</f>
        <v>40303.015104166669</v>
      </c>
      <c r="C141">
        <v>80</v>
      </c>
      <c r="D141">
        <v>79.945510863999999</v>
      </c>
      <c r="E141">
        <v>60</v>
      </c>
      <c r="F141">
        <v>14.999415398</v>
      </c>
      <c r="G141">
        <v>1343.3883057</v>
      </c>
      <c r="H141">
        <v>1340.3316649999999</v>
      </c>
      <c r="I141">
        <v>1320.1412353999999</v>
      </c>
      <c r="J141">
        <v>1315.6148682</v>
      </c>
      <c r="K141">
        <v>2750</v>
      </c>
      <c r="L141">
        <v>0</v>
      </c>
      <c r="M141">
        <v>0</v>
      </c>
      <c r="N141">
        <v>2750</v>
      </c>
    </row>
    <row r="142" spans="1:14" x14ac:dyDescent="0.25">
      <c r="A142">
        <v>4.0566360000000001</v>
      </c>
      <c r="B142" s="1">
        <f>DATE(2010,5,5) + TIME(1,21,33)</f>
        <v>40303.056631944448</v>
      </c>
      <c r="C142">
        <v>80</v>
      </c>
      <c r="D142">
        <v>79.946128845000004</v>
      </c>
      <c r="E142">
        <v>60</v>
      </c>
      <c r="F142">
        <v>14.999417305</v>
      </c>
      <c r="G142">
        <v>1343.3814697</v>
      </c>
      <c r="H142">
        <v>1340.324707</v>
      </c>
      <c r="I142">
        <v>1320.1413574000001</v>
      </c>
      <c r="J142">
        <v>1315.6148682</v>
      </c>
      <c r="K142">
        <v>2750</v>
      </c>
      <c r="L142">
        <v>0</v>
      </c>
      <c r="M142">
        <v>0</v>
      </c>
      <c r="N142">
        <v>2750</v>
      </c>
    </row>
    <row r="143" spans="1:14" x14ac:dyDescent="0.25">
      <c r="A143">
        <v>4.0981579999999997</v>
      </c>
      <c r="B143" s="1">
        <f>DATE(2010,5,5) + TIME(2,21,20)</f>
        <v>40303.09814814815</v>
      </c>
      <c r="C143">
        <v>80</v>
      </c>
      <c r="D143">
        <v>79.946685790999993</v>
      </c>
      <c r="E143">
        <v>60</v>
      </c>
      <c r="F143">
        <v>14.999418259</v>
      </c>
      <c r="G143">
        <v>1343.3746338000001</v>
      </c>
      <c r="H143">
        <v>1340.3179932</v>
      </c>
      <c r="I143">
        <v>1320.1414795000001</v>
      </c>
      <c r="J143">
        <v>1315.6149902</v>
      </c>
      <c r="K143">
        <v>2750</v>
      </c>
      <c r="L143">
        <v>0</v>
      </c>
      <c r="M143">
        <v>0</v>
      </c>
      <c r="N143">
        <v>2750</v>
      </c>
    </row>
    <row r="144" spans="1:14" x14ac:dyDescent="0.25">
      <c r="A144">
        <v>4.1396790000000001</v>
      </c>
      <c r="B144" s="1">
        <f>DATE(2010,5,5) + TIME(3,21,8)</f>
        <v>40303.139675925922</v>
      </c>
      <c r="C144">
        <v>80</v>
      </c>
      <c r="D144">
        <v>79.947196959999999</v>
      </c>
      <c r="E144">
        <v>60</v>
      </c>
      <c r="F144">
        <v>14.999419211999999</v>
      </c>
      <c r="G144">
        <v>1343.3677978999999</v>
      </c>
      <c r="H144">
        <v>1340.3111572</v>
      </c>
      <c r="I144">
        <v>1320.1416016000001</v>
      </c>
      <c r="J144">
        <v>1315.6151123</v>
      </c>
      <c r="K144">
        <v>2750</v>
      </c>
      <c r="L144">
        <v>0</v>
      </c>
      <c r="M144">
        <v>0</v>
      </c>
      <c r="N144">
        <v>2750</v>
      </c>
    </row>
    <row r="145" spans="1:14" x14ac:dyDescent="0.25">
      <c r="A145">
        <v>4.1812009999999997</v>
      </c>
      <c r="B145" s="1">
        <f>DATE(2010,5,5) + TIME(4,20,55)</f>
        <v>40303.181192129632</v>
      </c>
      <c r="C145">
        <v>80</v>
      </c>
      <c r="D145">
        <v>79.947662354000002</v>
      </c>
      <c r="E145">
        <v>60</v>
      </c>
      <c r="F145">
        <v>14.999420166</v>
      </c>
      <c r="G145">
        <v>1343.3609618999999</v>
      </c>
      <c r="H145">
        <v>1340.3044434000001</v>
      </c>
      <c r="I145">
        <v>1320.1417236</v>
      </c>
      <c r="J145">
        <v>1315.6151123</v>
      </c>
      <c r="K145">
        <v>2750</v>
      </c>
      <c r="L145">
        <v>0</v>
      </c>
      <c r="M145">
        <v>0</v>
      </c>
      <c r="N145">
        <v>2750</v>
      </c>
    </row>
    <row r="146" spans="1:14" x14ac:dyDescent="0.25">
      <c r="A146">
        <v>4.2227220000000001</v>
      </c>
      <c r="B146" s="1">
        <f>DATE(2010,5,5) + TIME(5,20,43)</f>
        <v>40303.222719907404</v>
      </c>
      <c r="C146">
        <v>80</v>
      </c>
      <c r="D146">
        <v>79.948089600000003</v>
      </c>
      <c r="E146">
        <v>60</v>
      </c>
      <c r="F146">
        <v>14.999422073</v>
      </c>
      <c r="G146">
        <v>1343.3542480000001</v>
      </c>
      <c r="H146">
        <v>1340.2978516000001</v>
      </c>
      <c r="I146">
        <v>1320.1418457</v>
      </c>
      <c r="J146">
        <v>1315.6152344</v>
      </c>
      <c r="K146">
        <v>2750</v>
      </c>
      <c r="L146">
        <v>0</v>
      </c>
      <c r="M146">
        <v>0</v>
      </c>
      <c r="N146">
        <v>2750</v>
      </c>
    </row>
    <row r="147" spans="1:14" x14ac:dyDescent="0.25">
      <c r="A147">
        <v>4.2642429999999996</v>
      </c>
      <c r="B147" s="1">
        <f>DATE(2010,5,5) + TIME(6,20,30)</f>
        <v>40303.264236111114</v>
      </c>
      <c r="C147">
        <v>80</v>
      </c>
      <c r="D147">
        <v>79.948478699000006</v>
      </c>
      <c r="E147">
        <v>60</v>
      </c>
      <c r="F147">
        <v>14.999423027000001</v>
      </c>
      <c r="G147">
        <v>1343.3475341999999</v>
      </c>
      <c r="H147">
        <v>1340.2911377</v>
      </c>
      <c r="I147">
        <v>1320.1418457</v>
      </c>
      <c r="J147">
        <v>1315.6153564000001</v>
      </c>
      <c r="K147">
        <v>2750</v>
      </c>
      <c r="L147">
        <v>0</v>
      </c>
      <c r="M147">
        <v>0</v>
      </c>
      <c r="N147">
        <v>2750</v>
      </c>
    </row>
    <row r="148" spans="1:14" x14ac:dyDescent="0.25">
      <c r="A148">
        <v>4.3057650000000001</v>
      </c>
      <c r="B148" s="1">
        <f>DATE(2010,5,5) + TIME(7,20,18)</f>
        <v>40303.305763888886</v>
      </c>
      <c r="C148">
        <v>80</v>
      </c>
      <c r="D148">
        <v>79.948829650999997</v>
      </c>
      <c r="E148">
        <v>60</v>
      </c>
      <c r="F148">
        <v>14.999423981</v>
      </c>
      <c r="G148">
        <v>1343.3408202999999</v>
      </c>
      <c r="H148">
        <v>1340.284668</v>
      </c>
      <c r="I148">
        <v>1320.1419678</v>
      </c>
      <c r="J148">
        <v>1315.6153564000001</v>
      </c>
      <c r="K148">
        <v>2750</v>
      </c>
      <c r="L148">
        <v>0</v>
      </c>
      <c r="M148">
        <v>0</v>
      </c>
      <c r="N148">
        <v>2750</v>
      </c>
    </row>
    <row r="149" spans="1:14" x14ac:dyDescent="0.25">
      <c r="A149">
        <v>4.3472860000000004</v>
      </c>
      <c r="B149" s="1">
        <f>DATE(2010,5,5) + TIME(8,20,5)</f>
        <v>40303.347280092596</v>
      </c>
      <c r="C149">
        <v>80</v>
      </c>
      <c r="D149">
        <v>79.949157714999998</v>
      </c>
      <c r="E149">
        <v>60</v>
      </c>
      <c r="F149">
        <v>14.999424934</v>
      </c>
      <c r="G149">
        <v>1343.3341064000001</v>
      </c>
      <c r="H149">
        <v>1340.2780762</v>
      </c>
      <c r="I149">
        <v>1320.1420897999999</v>
      </c>
      <c r="J149">
        <v>1315.6154785000001</v>
      </c>
      <c r="K149">
        <v>2750</v>
      </c>
      <c r="L149">
        <v>0</v>
      </c>
      <c r="M149">
        <v>0</v>
      </c>
      <c r="N149">
        <v>2750</v>
      </c>
    </row>
    <row r="150" spans="1:14" x14ac:dyDescent="0.25">
      <c r="A150">
        <v>4.4303290000000004</v>
      </c>
      <c r="B150" s="1">
        <f>DATE(2010,5,5) + TIME(10,19,40)</f>
        <v>40303.430324074077</v>
      </c>
      <c r="C150">
        <v>80</v>
      </c>
      <c r="D150">
        <v>79.949707031000003</v>
      </c>
      <c r="E150">
        <v>60</v>
      </c>
      <c r="F150">
        <v>14.999427795000001</v>
      </c>
      <c r="G150">
        <v>1343.3276367000001</v>
      </c>
      <c r="H150">
        <v>1340.2719727000001</v>
      </c>
      <c r="I150">
        <v>1320.1422118999999</v>
      </c>
      <c r="J150">
        <v>1315.6156006000001</v>
      </c>
      <c r="K150">
        <v>2750</v>
      </c>
      <c r="L150">
        <v>0</v>
      </c>
      <c r="M150">
        <v>0</v>
      </c>
      <c r="N150">
        <v>2750</v>
      </c>
    </row>
    <row r="151" spans="1:14" x14ac:dyDescent="0.25">
      <c r="A151">
        <v>4.5135230000000002</v>
      </c>
      <c r="B151" s="1">
        <f>DATE(2010,5,5) + TIME(12,19,28)</f>
        <v>40303.513518518521</v>
      </c>
      <c r="C151">
        <v>80</v>
      </c>
      <c r="D151">
        <v>79.950180054</v>
      </c>
      <c r="E151">
        <v>60</v>
      </c>
      <c r="F151">
        <v>14.999429703000001</v>
      </c>
      <c r="G151">
        <v>1343.3143310999999</v>
      </c>
      <c r="H151">
        <v>1340.2592772999999</v>
      </c>
      <c r="I151">
        <v>1320.1424560999999</v>
      </c>
      <c r="J151">
        <v>1315.6158447</v>
      </c>
      <c r="K151">
        <v>2750</v>
      </c>
      <c r="L151">
        <v>0</v>
      </c>
      <c r="M151">
        <v>0</v>
      </c>
      <c r="N151">
        <v>2750</v>
      </c>
    </row>
    <row r="152" spans="1:14" x14ac:dyDescent="0.25">
      <c r="A152">
        <v>4.5972150000000003</v>
      </c>
      <c r="B152" s="1">
        <f>DATE(2010,5,5) + TIME(14,19,59)</f>
        <v>40303.597210648149</v>
      </c>
      <c r="C152">
        <v>80</v>
      </c>
      <c r="D152">
        <v>79.950592040999993</v>
      </c>
      <c r="E152">
        <v>60</v>
      </c>
      <c r="F152">
        <v>14.99943161</v>
      </c>
      <c r="G152">
        <v>1343.3011475000001</v>
      </c>
      <c r="H152">
        <v>1340.246582</v>
      </c>
      <c r="I152">
        <v>1320.1427002</v>
      </c>
      <c r="J152">
        <v>1315.6159668</v>
      </c>
      <c r="K152">
        <v>2750</v>
      </c>
      <c r="L152">
        <v>0</v>
      </c>
      <c r="M152">
        <v>0</v>
      </c>
      <c r="N152">
        <v>2750</v>
      </c>
    </row>
    <row r="153" spans="1:14" x14ac:dyDescent="0.25">
      <c r="A153">
        <v>4.6815329999999999</v>
      </c>
      <c r="B153" s="1">
        <f>DATE(2010,5,5) + TIME(16,21,24)</f>
        <v>40303.681527777779</v>
      </c>
      <c r="C153">
        <v>80</v>
      </c>
      <c r="D153">
        <v>79.950942992999998</v>
      </c>
      <c r="E153">
        <v>60</v>
      </c>
      <c r="F153">
        <v>14.999433517</v>
      </c>
      <c r="G153">
        <v>1343.2880858999999</v>
      </c>
      <c r="H153">
        <v>1340.2341309000001</v>
      </c>
      <c r="I153">
        <v>1320.1428223</v>
      </c>
      <c r="J153">
        <v>1315.6160889</v>
      </c>
      <c r="K153">
        <v>2750</v>
      </c>
      <c r="L153">
        <v>0</v>
      </c>
      <c r="M153">
        <v>0</v>
      </c>
      <c r="N153">
        <v>2750</v>
      </c>
    </row>
    <row r="154" spans="1:14" x14ac:dyDescent="0.25">
      <c r="A154">
        <v>4.7666079999999997</v>
      </c>
      <c r="B154" s="1">
        <f>DATE(2010,5,5) + TIME(18,23,54)</f>
        <v>40303.766597222224</v>
      </c>
      <c r="C154">
        <v>80</v>
      </c>
      <c r="D154">
        <v>79.951248168999996</v>
      </c>
      <c r="E154">
        <v>60</v>
      </c>
      <c r="F154">
        <v>14.999435425</v>
      </c>
      <c r="G154">
        <v>1343.2750243999999</v>
      </c>
      <c r="H154">
        <v>1340.2218018000001</v>
      </c>
      <c r="I154">
        <v>1320.1430664</v>
      </c>
      <c r="J154">
        <v>1315.6163329999999</v>
      </c>
      <c r="K154">
        <v>2750</v>
      </c>
      <c r="L154">
        <v>0</v>
      </c>
      <c r="M154">
        <v>0</v>
      </c>
      <c r="N154">
        <v>2750</v>
      </c>
    </row>
    <row r="155" spans="1:14" x14ac:dyDescent="0.25">
      <c r="A155">
        <v>4.8525720000000003</v>
      </c>
      <c r="B155" s="1">
        <f>DATE(2010,5,5) + TIME(20,27,42)</f>
        <v>40303.852569444447</v>
      </c>
      <c r="C155">
        <v>80</v>
      </c>
      <c r="D155">
        <v>79.951515197999996</v>
      </c>
      <c r="E155">
        <v>60</v>
      </c>
      <c r="F155">
        <v>14.999437331999999</v>
      </c>
      <c r="G155">
        <v>1343.2619629000001</v>
      </c>
      <c r="H155">
        <v>1340.2094727000001</v>
      </c>
      <c r="I155">
        <v>1320.1433105000001</v>
      </c>
      <c r="J155">
        <v>1315.6164550999999</v>
      </c>
      <c r="K155">
        <v>2750</v>
      </c>
      <c r="L155">
        <v>0</v>
      </c>
      <c r="M155">
        <v>0</v>
      </c>
      <c r="N155">
        <v>2750</v>
      </c>
    </row>
    <row r="156" spans="1:14" x14ac:dyDescent="0.25">
      <c r="A156">
        <v>4.9395610000000003</v>
      </c>
      <c r="B156" s="1">
        <f>DATE(2010,5,5) + TIME(22,32,58)</f>
        <v>40303.939560185187</v>
      </c>
      <c r="C156">
        <v>80</v>
      </c>
      <c r="D156">
        <v>79.951744079999997</v>
      </c>
      <c r="E156">
        <v>60</v>
      </c>
      <c r="F156">
        <v>14.999440193</v>
      </c>
      <c r="G156">
        <v>1343.2490233999999</v>
      </c>
      <c r="H156">
        <v>1340.1972656</v>
      </c>
      <c r="I156">
        <v>1320.1435547000001</v>
      </c>
      <c r="J156">
        <v>1315.6165771000001</v>
      </c>
      <c r="K156">
        <v>2750</v>
      </c>
      <c r="L156">
        <v>0</v>
      </c>
      <c r="M156">
        <v>0</v>
      </c>
      <c r="N156">
        <v>2750</v>
      </c>
    </row>
    <row r="157" spans="1:14" x14ac:dyDescent="0.25">
      <c r="A157">
        <v>5.0277149999999997</v>
      </c>
      <c r="B157" s="1">
        <f>DATE(2010,5,6) + TIME(0,39,54)</f>
        <v>40304.027708333335</v>
      </c>
      <c r="C157">
        <v>80</v>
      </c>
      <c r="D157">
        <v>79.951950073000006</v>
      </c>
      <c r="E157">
        <v>60</v>
      </c>
      <c r="F157">
        <v>14.999442101</v>
      </c>
      <c r="G157">
        <v>1343.2359618999999</v>
      </c>
      <c r="H157">
        <v>1340.1851807</v>
      </c>
      <c r="I157">
        <v>1320.1436768000001</v>
      </c>
      <c r="J157">
        <v>1315.6168213000001</v>
      </c>
      <c r="K157">
        <v>2750</v>
      </c>
      <c r="L157">
        <v>0</v>
      </c>
      <c r="M157">
        <v>0</v>
      </c>
      <c r="N157">
        <v>2750</v>
      </c>
    </row>
    <row r="158" spans="1:14" x14ac:dyDescent="0.25">
      <c r="A158">
        <v>5.1171829999999998</v>
      </c>
      <c r="B158" s="1">
        <f>DATE(2010,5,6) + TIME(2,48,44)</f>
        <v>40304.117175925923</v>
      </c>
      <c r="C158">
        <v>80</v>
      </c>
      <c r="D158">
        <v>79.952125549000002</v>
      </c>
      <c r="E158">
        <v>60</v>
      </c>
      <c r="F158">
        <v>14.999444007999999</v>
      </c>
      <c r="G158">
        <v>1343.2229004000001</v>
      </c>
      <c r="H158">
        <v>1340.1729736</v>
      </c>
      <c r="I158">
        <v>1320.1439209</v>
      </c>
      <c r="J158">
        <v>1315.6169434000001</v>
      </c>
      <c r="K158">
        <v>2750</v>
      </c>
      <c r="L158">
        <v>0</v>
      </c>
      <c r="M158">
        <v>0</v>
      </c>
      <c r="N158">
        <v>2750</v>
      </c>
    </row>
    <row r="159" spans="1:14" x14ac:dyDescent="0.25">
      <c r="A159">
        <v>5.2081169999999997</v>
      </c>
      <c r="B159" s="1">
        <f>DATE(2010,5,6) + TIME(4,59,41)</f>
        <v>40304.208113425928</v>
      </c>
      <c r="C159">
        <v>80</v>
      </c>
      <c r="D159">
        <v>79.952278136999993</v>
      </c>
      <c r="E159">
        <v>60</v>
      </c>
      <c r="F159">
        <v>14.999445915000001</v>
      </c>
      <c r="G159">
        <v>1343.2098389</v>
      </c>
      <c r="H159">
        <v>1340.1610106999999</v>
      </c>
      <c r="I159">
        <v>1320.1441649999999</v>
      </c>
      <c r="J159">
        <v>1315.6171875</v>
      </c>
      <c r="K159">
        <v>2750</v>
      </c>
      <c r="L159">
        <v>0</v>
      </c>
      <c r="M159">
        <v>0</v>
      </c>
      <c r="N159">
        <v>2750</v>
      </c>
    </row>
    <row r="160" spans="1:14" x14ac:dyDescent="0.25">
      <c r="A160">
        <v>5.300713</v>
      </c>
      <c r="B160" s="1">
        <f>DATE(2010,5,6) + TIME(7,13,1)</f>
        <v>40304.300706018519</v>
      </c>
      <c r="C160">
        <v>80</v>
      </c>
      <c r="D160">
        <v>79.952423096000004</v>
      </c>
      <c r="E160">
        <v>60</v>
      </c>
      <c r="F160">
        <v>14.999447823000001</v>
      </c>
      <c r="G160">
        <v>1343.1966553</v>
      </c>
      <c r="H160">
        <v>1340.1489257999999</v>
      </c>
      <c r="I160">
        <v>1320.1444091999999</v>
      </c>
      <c r="J160">
        <v>1315.6173096</v>
      </c>
      <c r="K160">
        <v>2750</v>
      </c>
      <c r="L160">
        <v>0</v>
      </c>
      <c r="M160">
        <v>0</v>
      </c>
      <c r="N160">
        <v>2750</v>
      </c>
    </row>
    <row r="161" spans="1:14" x14ac:dyDescent="0.25">
      <c r="A161">
        <v>5.3951269999999996</v>
      </c>
      <c r="B161" s="1">
        <f>DATE(2010,5,6) + TIME(9,28,58)</f>
        <v>40304.395115740743</v>
      </c>
      <c r="C161">
        <v>80</v>
      </c>
      <c r="D161">
        <v>79.952545165999993</v>
      </c>
      <c r="E161">
        <v>60</v>
      </c>
      <c r="F161">
        <v>14.99944973</v>
      </c>
      <c r="G161">
        <v>1343.1833495999999</v>
      </c>
      <c r="H161">
        <v>1340.1368408000001</v>
      </c>
      <c r="I161">
        <v>1320.1445312000001</v>
      </c>
      <c r="J161">
        <v>1315.6175536999999</v>
      </c>
      <c r="K161">
        <v>2750</v>
      </c>
      <c r="L161">
        <v>0</v>
      </c>
      <c r="M161">
        <v>0</v>
      </c>
      <c r="N161">
        <v>2750</v>
      </c>
    </row>
    <row r="162" spans="1:14" x14ac:dyDescent="0.25">
      <c r="A162">
        <v>5.4915390000000004</v>
      </c>
      <c r="B162" s="1">
        <f>DATE(2010,5,6) + TIME(11,47,48)</f>
        <v>40304.491527777776</v>
      </c>
      <c r="C162">
        <v>80</v>
      </c>
      <c r="D162">
        <v>79.952651978000006</v>
      </c>
      <c r="E162">
        <v>60</v>
      </c>
      <c r="F162">
        <v>14.999451637</v>
      </c>
      <c r="G162">
        <v>1343.1700439000001</v>
      </c>
      <c r="H162">
        <v>1340.1247559000001</v>
      </c>
      <c r="I162">
        <v>1320.1447754000001</v>
      </c>
      <c r="J162">
        <v>1315.6176757999999</v>
      </c>
      <c r="K162">
        <v>2750</v>
      </c>
      <c r="L162">
        <v>0</v>
      </c>
      <c r="M162">
        <v>0</v>
      </c>
      <c r="N162">
        <v>2750</v>
      </c>
    </row>
    <row r="163" spans="1:14" x14ac:dyDescent="0.25">
      <c r="A163">
        <v>5.5901529999999999</v>
      </c>
      <c r="B163" s="1">
        <f>DATE(2010,5,6) + TIME(14,9,49)</f>
        <v>40304.590150462966</v>
      </c>
      <c r="C163">
        <v>80</v>
      </c>
      <c r="D163">
        <v>79.952743530000006</v>
      </c>
      <c r="E163">
        <v>60</v>
      </c>
      <c r="F163">
        <v>14.999454498</v>
      </c>
      <c r="G163">
        <v>1343.1566161999999</v>
      </c>
      <c r="H163">
        <v>1340.1125488</v>
      </c>
      <c r="I163">
        <v>1320.1450195</v>
      </c>
      <c r="J163">
        <v>1315.6179199000001</v>
      </c>
      <c r="K163">
        <v>2750</v>
      </c>
      <c r="L163">
        <v>0</v>
      </c>
      <c r="M163">
        <v>0</v>
      </c>
      <c r="N163">
        <v>2750</v>
      </c>
    </row>
    <row r="164" spans="1:14" x14ac:dyDescent="0.25">
      <c r="A164">
        <v>5.6911930000000002</v>
      </c>
      <c r="B164" s="1">
        <f>DATE(2010,5,6) + TIME(16,35,19)</f>
        <v>40304.691192129627</v>
      </c>
      <c r="C164">
        <v>80</v>
      </c>
      <c r="D164">
        <v>79.952827454000001</v>
      </c>
      <c r="E164">
        <v>60</v>
      </c>
      <c r="F164">
        <v>14.999456406</v>
      </c>
      <c r="G164">
        <v>1343.1430664</v>
      </c>
      <c r="H164">
        <v>1340.1004639</v>
      </c>
      <c r="I164">
        <v>1320.1452637</v>
      </c>
      <c r="J164">
        <v>1315.6180420000001</v>
      </c>
      <c r="K164">
        <v>2750</v>
      </c>
      <c r="L164">
        <v>0</v>
      </c>
      <c r="M164">
        <v>0</v>
      </c>
      <c r="N164">
        <v>2750</v>
      </c>
    </row>
    <row r="165" spans="1:14" x14ac:dyDescent="0.25">
      <c r="A165">
        <v>5.7944789999999999</v>
      </c>
      <c r="B165" s="1">
        <f>DATE(2010,5,6) + TIME(19,4,3)</f>
        <v>40304.794479166667</v>
      </c>
      <c r="C165">
        <v>80</v>
      </c>
      <c r="D165">
        <v>79.952903747999997</v>
      </c>
      <c r="E165">
        <v>60</v>
      </c>
      <c r="F165">
        <v>14.999458313</v>
      </c>
      <c r="G165">
        <v>1343.1293945</v>
      </c>
      <c r="H165">
        <v>1340.0881348</v>
      </c>
      <c r="I165">
        <v>1320.1455077999999</v>
      </c>
      <c r="J165">
        <v>1315.6182861</v>
      </c>
      <c r="K165">
        <v>2750</v>
      </c>
      <c r="L165">
        <v>0</v>
      </c>
      <c r="M165">
        <v>0</v>
      </c>
      <c r="N165">
        <v>2750</v>
      </c>
    </row>
    <row r="166" spans="1:14" x14ac:dyDescent="0.25">
      <c r="A166">
        <v>5.9001150000000004</v>
      </c>
      <c r="B166" s="1">
        <f>DATE(2010,5,6) + TIME(21,36,9)</f>
        <v>40304.900104166663</v>
      </c>
      <c r="C166">
        <v>80</v>
      </c>
      <c r="D166">
        <v>79.952964782999999</v>
      </c>
      <c r="E166">
        <v>60</v>
      </c>
      <c r="F166">
        <v>14.99946022</v>
      </c>
      <c r="G166">
        <v>1343.1154785000001</v>
      </c>
      <c r="H166">
        <v>1340.0759277</v>
      </c>
      <c r="I166">
        <v>1320.1457519999999</v>
      </c>
      <c r="J166">
        <v>1315.6185303</v>
      </c>
      <c r="K166">
        <v>2750</v>
      </c>
      <c r="L166">
        <v>0</v>
      </c>
      <c r="M166">
        <v>0</v>
      </c>
      <c r="N166">
        <v>2750</v>
      </c>
    </row>
    <row r="167" spans="1:14" x14ac:dyDescent="0.25">
      <c r="A167">
        <v>6.0083399999999996</v>
      </c>
      <c r="B167" s="1">
        <f>DATE(2010,5,7) + TIME(0,12,0)</f>
        <v>40305.008333333331</v>
      </c>
      <c r="C167">
        <v>80</v>
      </c>
      <c r="D167">
        <v>79.953018188000001</v>
      </c>
      <c r="E167">
        <v>60</v>
      </c>
      <c r="F167">
        <v>14.999463081</v>
      </c>
      <c r="G167">
        <v>1343.1015625</v>
      </c>
      <c r="H167">
        <v>1340.0635986</v>
      </c>
      <c r="I167">
        <v>1320.1459961</v>
      </c>
      <c r="J167">
        <v>1315.6186522999999</v>
      </c>
      <c r="K167">
        <v>2750</v>
      </c>
      <c r="L167">
        <v>0</v>
      </c>
      <c r="M167">
        <v>0</v>
      </c>
      <c r="N167">
        <v>2750</v>
      </c>
    </row>
    <row r="168" spans="1:14" x14ac:dyDescent="0.25">
      <c r="A168">
        <v>6.0628820000000001</v>
      </c>
      <c r="B168" s="1">
        <f>DATE(2010,5,7) + TIME(1,30,32)</f>
        <v>40305.06287037037</v>
      </c>
      <c r="C168">
        <v>80</v>
      </c>
      <c r="D168">
        <v>79.953041076999995</v>
      </c>
      <c r="E168">
        <v>60</v>
      </c>
      <c r="F168">
        <v>14.999464035000001</v>
      </c>
      <c r="G168">
        <v>1343.0872803</v>
      </c>
      <c r="H168">
        <v>1340.0507812000001</v>
      </c>
      <c r="I168">
        <v>1320.1462402</v>
      </c>
      <c r="J168">
        <v>1315.6188964999999</v>
      </c>
      <c r="K168">
        <v>2750</v>
      </c>
      <c r="L168">
        <v>0</v>
      </c>
      <c r="M168">
        <v>0</v>
      </c>
      <c r="N168">
        <v>2750</v>
      </c>
    </row>
    <row r="169" spans="1:14" x14ac:dyDescent="0.25">
      <c r="A169">
        <v>6.1174239999999998</v>
      </c>
      <c r="B169" s="1">
        <f>DATE(2010,5,7) + TIME(2,49,5)</f>
        <v>40305.117418981485</v>
      </c>
      <c r="C169">
        <v>80</v>
      </c>
      <c r="D169">
        <v>79.953063964999998</v>
      </c>
      <c r="E169">
        <v>60</v>
      </c>
      <c r="F169">
        <v>14.999464989</v>
      </c>
      <c r="G169">
        <v>1343.0802002</v>
      </c>
      <c r="H169">
        <v>1340.0445557</v>
      </c>
      <c r="I169">
        <v>1320.1463623</v>
      </c>
      <c r="J169">
        <v>1315.6188964999999</v>
      </c>
      <c r="K169">
        <v>2750</v>
      </c>
      <c r="L169">
        <v>0</v>
      </c>
      <c r="M169">
        <v>0</v>
      </c>
      <c r="N169">
        <v>2750</v>
      </c>
    </row>
    <row r="170" spans="1:14" x14ac:dyDescent="0.25">
      <c r="A170">
        <v>6.1719650000000001</v>
      </c>
      <c r="B170" s="1">
        <f>DATE(2010,5,7) + TIME(4,7,37)</f>
        <v>40305.171956018516</v>
      </c>
      <c r="C170">
        <v>80</v>
      </c>
      <c r="D170">
        <v>79.953079224000007</v>
      </c>
      <c r="E170">
        <v>60</v>
      </c>
      <c r="F170">
        <v>14.999465942</v>
      </c>
      <c r="G170">
        <v>1343.0732422000001</v>
      </c>
      <c r="H170">
        <v>1340.0383300999999</v>
      </c>
      <c r="I170">
        <v>1320.1464844</v>
      </c>
      <c r="J170">
        <v>1315.6190185999999</v>
      </c>
      <c r="K170">
        <v>2750</v>
      </c>
      <c r="L170">
        <v>0</v>
      </c>
      <c r="M170">
        <v>0</v>
      </c>
      <c r="N170">
        <v>2750</v>
      </c>
    </row>
    <row r="171" spans="1:14" x14ac:dyDescent="0.25">
      <c r="A171">
        <v>6.2265069999999998</v>
      </c>
      <c r="B171" s="1">
        <f>DATE(2010,5,7) + TIME(5,26,10)</f>
        <v>40305.226504629631</v>
      </c>
      <c r="C171">
        <v>80</v>
      </c>
      <c r="D171">
        <v>79.953102111999996</v>
      </c>
      <c r="E171">
        <v>60</v>
      </c>
      <c r="F171">
        <v>14.999466895999999</v>
      </c>
      <c r="G171">
        <v>1343.0662841999999</v>
      </c>
      <c r="H171">
        <v>1340.0322266000001</v>
      </c>
      <c r="I171">
        <v>1320.1466064000001</v>
      </c>
      <c r="J171">
        <v>1315.6191406</v>
      </c>
      <c r="K171">
        <v>2750</v>
      </c>
      <c r="L171">
        <v>0</v>
      </c>
      <c r="M171">
        <v>0</v>
      </c>
      <c r="N171">
        <v>2750</v>
      </c>
    </row>
    <row r="172" spans="1:14" x14ac:dyDescent="0.25">
      <c r="A172">
        <v>6.2810490000000003</v>
      </c>
      <c r="B172" s="1">
        <f>DATE(2010,5,7) + TIME(6,44,42)</f>
        <v>40305.281041666669</v>
      </c>
      <c r="C172">
        <v>80</v>
      </c>
      <c r="D172">
        <v>79.953117371000005</v>
      </c>
      <c r="E172">
        <v>60</v>
      </c>
      <c r="F172">
        <v>14.99946785</v>
      </c>
      <c r="G172">
        <v>1343.0594481999999</v>
      </c>
      <c r="H172">
        <v>1340.0262451000001</v>
      </c>
      <c r="I172">
        <v>1320.1467285000001</v>
      </c>
      <c r="J172">
        <v>1315.6192627</v>
      </c>
      <c r="K172">
        <v>2750</v>
      </c>
      <c r="L172">
        <v>0</v>
      </c>
      <c r="M172">
        <v>0</v>
      </c>
      <c r="N172">
        <v>2750</v>
      </c>
    </row>
    <row r="173" spans="1:14" x14ac:dyDescent="0.25">
      <c r="A173">
        <v>6.335591</v>
      </c>
      <c r="B173" s="1">
        <f>DATE(2010,5,7) + TIME(8,3,15)</f>
        <v>40305.335590277777</v>
      </c>
      <c r="C173">
        <v>80</v>
      </c>
      <c r="D173">
        <v>79.953132628999995</v>
      </c>
      <c r="E173">
        <v>60</v>
      </c>
      <c r="F173">
        <v>14.999468802999999</v>
      </c>
      <c r="G173">
        <v>1343.0526123</v>
      </c>
      <c r="H173">
        <v>1340.0202637</v>
      </c>
      <c r="I173">
        <v>1320.1468506000001</v>
      </c>
      <c r="J173">
        <v>1315.6193848</v>
      </c>
      <c r="K173">
        <v>2750</v>
      </c>
      <c r="L173">
        <v>0</v>
      </c>
      <c r="M173">
        <v>0</v>
      </c>
      <c r="N173">
        <v>2750</v>
      </c>
    </row>
    <row r="174" spans="1:14" x14ac:dyDescent="0.25">
      <c r="A174">
        <v>6.3901329999999996</v>
      </c>
      <c r="B174" s="1">
        <f>DATE(2010,5,7) + TIME(9,21,47)</f>
        <v>40305.390127314815</v>
      </c>
      <c r="C174">
        <v>80</v>
      </c>
      <c r="D174">
        <v>79.953140258999994</v>
      </c>
      <c r="E174">
        <v>60</v>
      </c>
      <c r="F174">
        <v>14.999470711000001</v>
      </c>
      <c r="G174">
        <v>1343.0458983999999</v>
      </c>
      <c r="H174">
        <v>1340.0142822</v>
      </c>
      <c r="I174">
        <v>1320.1469727000001</v>
      </c>
      <c r="J174">
        <v>1315.6195068</v>
      </c>
      <c r="K174">
        <v>2750</v>
      </c>
      <c r="L174">
        <v>0</v>
      </c>
      <c r="M174">
        <v>0</v>
      </c>
      <c r="N174">
        <v>2750</v>
      </c>
    </row>
    <row r="175" spans="1:14" x14ac:dyDescent="0.25">
      <c r="A175">
        <v>6.4446750000000002</v>
      </c>
      <c r="B175" s="1">
        <f>DATE(2010,5,7) + TIME(10,40,19)</f>
        <v>40305.444664351853</v>
      </c>
      <c r="C175">
        <v>80</v>
      </c>
      <c r="D175">
        <v>79.953155518000003</v>
      </c>
      <c r="E175">
        <v>60</v>
      </c>
      <c r="F175">
        <v>14.999471664</v>
      </c>
      <c r="G175">
        <v>1343.0391846</v>
      </c>
      <c r="H175">
        <v>1340.0084228999999</v>
      </c>
      <c r="I175">
        <v>1320.1470947</v>
      </c>
      <c r="J175">
        <v>1315.6196289</v>
      </c>
      <c r="K175">
        <v>2750</v>
      </c>
      <c r="L175">
        <v>0</v>
      </c>
      <c r="M175">
        <v>0</v>
      </c>
      <c r="N175">
        <v>2750</v>
      </c>
    </row>
    <row r="176" spans="1:14" x14ac:dyDescent="0.25">
      <c r="A176">
        <v>6.4992169999999998</v>
      </c>
      <c r="B176" s="1">
        <f>DATE(2010,5,7) + TIME(11,58,52)</f>
        <v>40305.499212962961</v>
      </c>
      <c r="C176">
        <v>80</v>
      </c>
      <c r="D176">
        <v>79.953163146999998</v>
      </c>
      <c r="E176">
        <v>60</v>
      </c>
      <c r="F176">
        <v>14.999472618</v>
      </c>
      <c r="G176">
        <v>1343.0324707</v>
      </c>
      <c r="H176">
        <v>1340.0026855000001</v>
      </c>
      <c r="I176">
        <v>1320.1472168</v>
      </c>
      <c r="J176">
        <v>1315.6196289</v>
      </c>
      <c r="K176">
        <v>2750</v>
      </c>
      <c r="L176">
        <v>0</v>
      </c>
      <c r="M176">
        <v>0</v>
      </c>
      <c r="N176">
        <v>2750</v>
      </c>
    </row>
    <row r="177" spans="1:14" x14ac:dyDescent="0.25">
      <c r="A177">
        <v>6.5537590000000003</v>
      </c>
      <c r="B177" s="1">
        <f>DATE(2010,5,7) + TIME(13,17,24)</f>
        <v>40305.553749999999</v>
      </c>
      <c r="C177">
        <v>80</v>
      </c>
      <c r="D177">
        <v>79.953178406000006</v>
      </c>
      <c r="E177">
        <v>60</v>
      </c>
      <c r="F177">
        <v>14.999473571999999</v>
      </c>
      <c r="G177">
        <v>1343.0258789</v>
      </c>
      <c r="H177">
        <v>1339.9968262</v>
      </c>
      <c r="I177">
        <v>1320.1473389</v>
      </c>
      <c r="J177">
        <v>1315.619751</v>
      </c>
      <c r="K177">
        <v>2750</v>
      </c>
      <c r="L177">
        <v>0</v>
      </c>
      <c r="M177">
        <v>0</v>
      </c>
      <c r="N177">
        <v>2750</v>
      </c>
    </row>
    <row r="178" spans="1:14" x14ac:dyDescent="0.25">
      <c r="A178">
        <v>6.6628420000000004</v>
      </c>
      <c r="B178" s="1">
        <f>DATE(2010,5,7) + TIME(15,54,29)</f>
        <v>40305.662835648145</v>
      </c>
      <c r="C178">
        <v>80</v>
      </c>
      <c r="D178">
        <v>79.953193665000001</v>
      </c>
      <c r="E178">
        <v>60</v>
      </c>
      <c r="F178">
        <v>14.999475479000001</v>
      </c>
      <c r="G178">
        <v>1343.0194091999999</v>
      </c>
      <c r="H178">
        <v>1339.9914550999999</v>
      </c>
      <c r="I178">
        <v>1320.1475829999999</v>
      </c>
      <c r="J178">
        <v>1315.6198730000001</v>
      </c>
      <c r="K178">
        <v>2750</v>
      </c>
      <c r="L178">
        <v>0</v>
      </c>
      <c r="M178">
        <v>0</v>
      </c>
      <c r="N178">
        <v>2750</v>
      </c>
    </row>
    <row r="179" spans="1:14" x14ac:dyDescent="0.25">
      <c r="A179">
        <v>6.7720500000000001</v>
      </c>
      <c r="B179" s="1">
        <f>DATE(2010,5,7) + TIME(18,31,45)</f>
        <v>40305.772048611114</v>
      </c>
      <c r="C179">
        <v>80</v>
      </c>
      <c r="D179">
        <v>79.953208923000005</v>
      </c>
      <c r="E179">
        <v>60</v>
      </c>
      <c r="F179">
        <v>14.999477386000001</v>
      </c>
      <c r="G179">
        <v>1343.0064697</v>
      </c>
      <c r="H179">
        <v>1339.9802245999999</v>
      </c>
      <c r="I179">
        <v>1320.1478271000001</v>
      </c>
      <c r="J179">
        <v>1315.6201172000001</v>
      </c>
      <c r="K179">
        <v>2750</v>
      </c>
      <c r="L179">
        <v>0</v>
      </c>
      <c r="M179">
        <v>0</v>
      </c>
      <c r="N179">
        <v>2750</v>
      </c>
    </row>
    <row r="180" spans="1:14" x14ac:dyDescent="0.25">
      <c r="A180">
        <v>6.8819900000000001</v>
      </c>
      <c r="B180" s="1">
        <f>DATE(2010,5,7) + TIME(21,10,3)</f>
        <v>40305.881979166668</v>
      </c>
      <c r="C180">
        <v>80</v>
      </c>
      <c r="D180">
        <v>79.953216553000004</v>
      </c>
      <c r="E180">
        <v>60</v>
      </c>
      <c r="F180">
        <v>14.999479294</v>
      </c>
      <c r="G180">
        <v>1342.9935303</v>
      </c>
      <c r="H180">
        <v>1339.9691161999999</v>
      </c>
      <c r="I180">
        <v>1320.1480713000001</v>
      </c>
      <c r="J180">
        <v>1315.6203613</v>
      </c>
      <c r="K180">
        <v>2750</v>
      </c>
      <c r="L180">
        <v>0</v>
      </c>
      <c r="M180">
        <v>0</v>
      </c>
      <c r="N180">
        <v>2750</v>
      </c>
    </row>
    <row r="181" spans="1:14" x14ac:dyDescent="0.25">
      <c r="A181">
        <v>6.992839</v>
      </c>
      <c r="B181" s="1">
        <f>DATE(2010,5,7) + TIME(23,49,41)</f>
        <v>40305.992835648147</v>
      </c>
      <c r="C181">
        <v>80</v>
      </c>
      <c r="D181">
        <v>79.953224182</v>
      </c>
      <c r="E181">
        <v>60</v>
      </c>
      <c r="F181">
        <v>14.999481201</v>
      </c>
      <c r="G181">
        <v>1342.9807129000001</v>
      </c>
      <c r="H181">
        <v>1339.9581298999999</v>
      </c>
      <c r="I181">
        <v>1320.1483154</v>
      </c>
      <c r="J181">
        <v>1315.6206055</v>
      </c>
      <c r="K181">
        <v>2750</v>
      </c>
      <c r="L181">
        <v>0</v>
      </c>
      <c r="M181">
        <v>0</v>
      </c>
      <c r="N181">
        <v>2750</v>
      </c>
    </row>
    <row r="182" spans="1:14" x14ac:dyDescent="0.25">
      <c r="A182">
        <v>7.1047799999999999</v>
      </c>
      <c r="B182" s="1">
        <f>DATE(2010,5,8) + TIME(2,30,52)</f>
        <v>40306.104768518519</v>
      </c>
      <c r="C182">
        <v>80</v>
      </c>
      <c r="D182">
        <v>79.953224182</v>
      </c>
      <c r="E182">
        <v>60</v>
      </c>
      <c r="F182">
        <v>14.999483109</v>
      </c>
      <c r="G182">
        <v>1342.9680175999999</v>
      </c>
      <c r="H182">
        <v>1339.9472656</v>
      </c>
      <c r="I182">
        <v>1320.1485596</v>
      </c>
      <c r="J182">
        <v>1315.6207274999999</v>
      </c>
      <c r="K182">
        <v>2750</v>
      </c>
      <c r="L182">
        <v>0</v>
      </c>
      <c r="M182">
        <v>0</v>
      </c>
      <c r="N182">
        <v>2750</v>
      </c>
    </row>
    <row r="183" spans="1:14" x14ac:dyDescent="0.25">
      <c r="A183">
        <v>7.218</v>
      </c>
      <c r="B183" s="1">
        <f>DATE(2010,5,8) + TIME(5,13,55)</f>
        <v>40306.217997685184</v>
      </c>
      <c r="C183">
        <v>80</v>
      </c>
      <c r="D183">
        <v>79.953224182</v>
      </c>
      <c r="E183">
        <v>60</v>
      </c>
      <c r="F183">
        <v>14.999485016</v>
      </c>
      <c r="G183">
        <v>1342.9553223</v>
      </c>
      <c r="H183">
        <v>1339.9365233999999</v>
      </c>
      <c r="I183">
        <v>1320.1488036999999</v>
      </c>
      <c r="J183">
        <v>1315.6209716999999</v>
      </c>
      <c r="K183">
        <v>2750</v>
      </c>
      <c r="L183">
        <v>0</v>
      </c>
      <c r="M183">
        <v>0</v>
      </c>
      <c r="N183">
        <v>2750</v>
      </c>
    </row>
    <row r="184" spans="1:14" x14ac:dyDescent="0.25">
      <c r="A184">
        <v>7.3326929999999999</v>
      </c>
      <c r="B184" s="1">
        <f>DATE(2010,5,8) + TIME(7,59,4)</f>
        <v>40306.332685185182</v>
      </c>
      <c r="C184">
        <v>80</v>
      </c>
      <c r="D184">
        <v>79.953224182</v>
      </c>
      <c r="E184">
        <v>60</v>
      </c>
      <c r="F184">
        <v>14.999486922999999</v>
      </c>
      <c r="G184">
        <v>1342.9426269999999</v>
      </c>
      <c r="H184">
        <v>1339.9257812000001</v>
      </c>
      <c r="I184">
        <v>1320.1490478999999</v>
      </c>
      <c r="J184">
        <v>1315.6212158000001</v>
      </c>
      <c r="K184">
        <v>2750</v>
      </c>
      <c r="L184">
        <v>0</v>
      </c>
      <c r="M184">
        <v>0</v>
      </c>
      <c r="N184">
        <v>2750</v>
      </c>
    </row>
    <row r="185" spans="1:14" x14ac:dyDescent="0.25">
      <c r="A185">
        <v>7.4490610000000004</v>
      </c>
      <c r="B185" s="1">
        <f>DATE(2010,5,8) + TIME(10,46,38)</f>
        <v>40306.449050925927</v>
      </c>
      <c r="C185">
        <v>80</v>
      </c>
      <c r="D185">
        <v>79.953216553000004</v>
      </c>
      <c r="E185">
        <v>60</v>
      </c>
      <c r="F185">
        <v>14.999488831000001</v>
      </c>
      <c r="G185">
        <v>1342.9299315999999</v>
      </c>
      <c r="H185">
        <v>1339.9150391000001</v>
      </c>
      <c r="I185">
        <v>1320.1494141000001</v>
      </c>
      <c r="J185">
        <v>1315.6214600000001</v>
      </c>
      <c r="K185">
        <v>2750</v>
      </c>
      <c r="L185">
        <v>0</v>
      </c>
      <c r="M185">
        <v>0</v>
      </c>
      <c r="N185">
        <v>2750</v>
      </c>
    </row>
    <row r="186" spans="1:14" x14ac:dyDescent="0.25">
      <c r="A186">
        <v>7.5673320000000004</v>
      </c>
      <c r="B186" s="1">
        <f>DATE(2010,5,8) + TIME(13,36,57)</f>
        <v>40306.567326388889</v>
      </c>
      <c r="C186">
        <v>80</v>
      </c>
      <c r="D186">
        <v>79.953208923000005</v>
      </c>
      <c r="E186">
        <v>60</v>
      </c>
      <c r="F186">
        <v>14.999490738</v>
      </c>
      <c r="G186">
        <v>1342.9172363</v>
      </c>
      <c r="H186">
        <v>1339.9044189000001</v>
      </c>
      <c r="I186">
        <v>1320.1496582</v>
      </c>
      <c r="J186">
        <v>1315.621582</v>
      </c>
      <c r="K186">
        <v>2750</v>
      </c>
      <c r="L186">
        <v>0</v>
      </c>
      <c r="M186">
        <v>0</v>
      </c>
      <c r="N186">
        <v>2750</v>
      </c>
    </row>
    <row r="187" spans="1:14" x14ac:dyDescent="0.25">
      <c r="A187">
        <v>7.6877560000000003</v>
      </c>
      <c r="B187" s="1">
        <f>DATE(2010,5,8) + TIME(16,30,22)</f>
        <v>40306.687754629631</v>
      </c>
      <c r="C187">
        <v>80</v>
      </c>
      <c r="D187">
        <v>79.953201293999996</v>
      </c>
      <c r="E187">
        <v>60</v>
      </c>
      <c r="F187">
        <v>14.999492645</v>
      </c>
      <c r="G187">
        <v>1342.9045410000001</v>
      </c>
      <c r="H187">
        <v>1339.8936768000001</v>
      </c>
      <c r="I187">
        <v>1320.1499022999999</v>
      </c>
      <c r="J187">
        <v>1315.6218262</v>
      </c>
      <c r="K187">
        <v>2750</v>
      </c>
      <c r="L187">
        <v>0</v>
      </c>
      <c r="M187">
        <v>0</v>
      </c>
      <c r="N187">
        <v>2750</v>
      </c>
    </row>
    <row r="188" spans="1:14" x14ac:dyDescent="0.25">
      <c r="A188">
        <v>7.8105409999999997</v>
      </c>
      <c r="B188" s="1">
        <f>DATE(2010,5,8) + TIME(19,27,10)</f>
        <v>40306.810532407406</v>
      </c>
      <c r="C188">
        <v>80</v>
      </c>
      <c r="D188">
        <v>79.953193665000001</v>
      </c>
      <c r="E188">
        <v>60</v>
      </c>
      <c r="F188">
        <v>14.999494553</v>
      </c>
      <c r="G188">
        <v>1342.8918457</v>
      </c>
      <c r="H188">
        <v>1339.8830565999999</v>
      </c>
      <c r="I188">
        <v>1320.1501464999999</v>
      </c>
      <c r="J188">
        <v>1315.6220702999999</v>
      </c>
      <c r="K188">
        <v>2750</v>
      </c>
      <c r="L188">
        <v>0</v>
      </c>
      <c r="M188">
        <v>0</v>
      </c>
      <c r="N188">
        <v>2750</v>
      </c>
    </row>
    <row r="189" spans="1:14" x14ac:dyDescent="0.25">
      <c r="A189">
        <v>7.9359460000000004</v>
      </c>
      <c r="B189" s="1">
        <f>DATE(2010,5,8) + TIME(22,27,45)</f>
        <v>40306.935937499999</v>
      </c>
      <c r="C189">
        <v>80</v>
      </c>
      <c r="D189">
        <v>79.953178406000006</v>
      </c>
      <c r="E189">
        <v>60</v>
      </c>
      <c r="F189">
        <v>14.99949646</v>
      </c>
      <c r="G189">
        <v>1342.8789062000001</v>
      </c>
      <c r="H189">
        <v>1339.8724365</v>
      </c>
      <c r="I189">
        <v>1320.1505127</v>
      </c>
      <c r="J189">
        <v>1315.6223144999999</v>
      </c>
      <c r="K189">
        <v>2750</v>
      </c>
      <c r="L189">
        <v>0</v>
      </c>
      <c r="M189">
        <v>0</v>
      </c>
      <c r="N189">
        <v>2750</v>
      </c>
    </row>
    <row r="190" spans="1:14" x14ac:dyDescent="0.25">
      <c r="A190">
        <v>8.0639540000000007</v>
      </c>
      <c r="B190" s="1">
        <f>DATE(2010,5,9) + TIME(1,32,5)</f>
        <v>40307.063946759263</v>
      </c>
      <c r="C190">
        <v>80</v>
      </c>
      <c r="D190">
        <v>79.953163146999998</v>
      </c>
      <c r="E190">
        <v>60</v>
      </c>
      <c r="F190">
        <v>14.999498366999999</v>
      </c>
      <c r="G190">
        <v>1342.8660889</v>
      </c>
      <c r="H190">
        <v>1339.8616943</v>
      </c>
      <c r="I190">
        <v>1320.1507568</v>
      </c>
      <c r="J190">
        <v>1315.6225586</v>
      </c>
      <c r="K190">
        <v>2750</v>
      </c>
      <c r="L190">
        <v>0</v>
      </c>
      <c r="M190">
        <v>0</v>
      </c>
      <c r="N190">
        <v>2750</v>
      </c>
    </row>
    <row r="191" spans="1:14" x14ac:dyDescent="0.25">
      <c r="A191">
        <v>8.194331</v>
      </c>
      <c r="B191" s="1">
        <f>DATE(2010,5,9) + TIME(4,39,50)</f>
        <v>40307.194328703707</v>
      </c>
      <c r="C191">
        <v>80</v>
      </c>
      <c r="D191">
        <v>79.953147888000004</v>
      </c>
      <c r="E191">
        <v>60</v>
      </c>
      <c r="F191">
        <v>14.999500275000001</v>
      </c>
      <c r="G191">
        <v>1342.8530272999999</v>
      </c>
      <c r="H191">
        <v>1339.8509521000001</v>
      </c>
      <c r="I191">
        <v>1320.151001</v>
      </c>
      <c r="J191">
        <v>1315.6228027</v>
      </c>
      <c r="K191">
        <v>2750</v>
      </c>
      <c r="L191">
        <v>0</v>
      </c>
      <c r="M191">
        <v>0</v>
      </c>
      <c r="N191">
        <v>2750</v>
      </c>
    </row>
    <row r="192" spans="1:14" x14ac:dyDescent="0.25">
      <c r="A192">
        <v>8.3273279999999996</v>
      </c>
      <c r="B192" s="1">
        <f>DATE(2010,5,9) + TIME(7,51,21)</f>
        <v>40307.327326388891</v>
      </c>
      <c r="C192">
        <v>80</v>
      </c>
      <c r="D192">
        <v>79.953125</v>
      </c>
      <c r="E192">
        <v>60</v>
      </c>
      <c r="F192">
        <v>14.999502182000001</v>
      </c>
      <c r="G192">
        <v>1342.8399658000001</v>
      </c>
      <c r="H192">
        <v>1339.8402100000001</v>
      </c>
      <c r="I192">
        <v>1320.1513672000001</v>
      </c>
      <c r="J192">
        <v>1315.6230469</v>
      </c>
      <c r="K192">
        <v>2750</v>
      </c>
      <c r="L192">
        <v>0</v>
      </c>
      <c r="M192">
        <v>0</v>
      </c>
      <c r="N192">
        <v>2750</v>
      </c>
    </row>
    <row r="193" spans="1:14" x14ac:dyDescent="0.25">
      <c r="A193">
        <v>8.3952799999999996</v>
      </c>
      <c r="B193" s="1">
        <f>DATE(2010,5,9) + TIME(9,29,12)</f>
        <v>40307.395277777781</v>
      </c>
      <c r="C193">
        <v>80</v>
      </c>
      <c r="D193">
        <v>79.953117371000005</v>
      </c>
      <c r="E193">
        <v>60</v>
      </c>
      <c r="F193">
        <v>14.999503136</v>
      </c>
      <c r="G193">
        <v>1342.8265381000001</v>
      </c>
      <c r="H193">
        <v>1339.8291016000001</v>
      </c>
      <c r="I193">
        <v>1320.1516113</v>
      </c>
      <c r="J193">
        <v>1315.6232910000001</v>
      </c>
      <c r="K193">
        <v>2750</v>
      </c>
      <c r="L193">
        <v>0</v>
      </c>
      <c r="M193">
        <v>0</v>
      </c>
      <c r="N193">
        <v>2750</v>
      </c>
    </row>
    <row r="194" spans="1:14" x14ac:dyDescent="0.25">
      <c r="A194">
        <v>8.4632330000000007</v>
      </c>
      <c r="B194" s="1">
        <f>DATE(2010,5,9) + TIME(11,7,3)</f>
        <v>40307.463229166664</v>
      </c>
      <c r="C194">
        <v>80</v>
      </c>
      <c r="D194">
        <v>79.953102111999996</v>
      </c>
      <c r="E194">
        <v>60</v>
      </c>
      <c r="F194">
        <v>14.999504089</v>
      </c>
      <c r="G194">
        <v>1342.8198242000001</v>
      </c>
      <c r="H194">
        <v>1339.8236084</v>
      </c>
      <c r="I194">
        <v>1320.1517334</v>
      </c>
      <c r="J194">
        <v>1315.6234131000001</v>
      </c>
      <c r="K194">
        <v>2750</v>
      </c>
      <c r="L194">
        <v>0</v>
      </c>
      <c r="M194">
        <v>0</v>
      </c>
      <c r="N194">
        <v>2750</v>
      </c>
    </row>
    <row r="195" spans="1:14" x14ac:dyDescent="0.25">
      <c r="A195">
        <v>8.5311859999999999</v>
      </c>
      <c r="B195" s="1">
        <f>DATE(2010,5,9) + TIME(12,44,54)</f>
        <v>40307.531180555554</v>
      </c>
      <c r="C195">
        <v>80</v>
      </c>
      <c r="D195">
        <v>79.953086853000002</v>
      </c>
      <c r="E195">
        <v>60</v>
      </c>
      <c r="F195">
        <v>14.999505042999999</v>
      </c>
      <c r="G195">
        <v>1342.8132324000001</v>
      </c>
      <c r="H195">
        <v>1339.8182373</v>
      </c>
      <c r="I195">
        <v>1320.1519774999999</v>
      </c>
      <c r="J195">
        <v>1315.6235352000001</v>
      </c>
      <c r="K195">
        <v>2750</v>
      </c>
      <c r="L195">
        <v>0</v>
      </c>
      <c r="M195">
        <v>0</v>
      </c>
      <c r="N195">
        <v>2750</v>
      </c>
    </row>
    <row r="196" spans="1:14" x14ac:dyDescent="0.25">
      <c r="A196">
        <v>8.5991389999999992</v>
      </c>
      <c r="B196" s="1">
        <f>DATE(2010,5,9) + TIME(14,22,45)</f>
        <v>40307.599131944444</v>
      </c>
      <c r="C196">
        <v>80</v>
      </c>
      <c r="D196">
        <v>79.953079224000007</v>
      </c>
      <c r="E196">
        <v>60</v>
      </c>
      <c r="F196">
        <v>14.999506950000001</v>
      </c>
      <c r="G196">
        <v>1342.8067627</v>
      </c>
      <c r="H196">
        <v>1339.8128661999999</v>
      </c>
      <c r="I196">
        <v>1320.1520995999999</v>
      </c>
      <c r="J196">
        <v>1315.6236572</v>
      </c>
      <c r="K196">
        <v>2750</v>
      </c>
      <c r="L196">
        <v>0</v>
      </c>
      <c r="M196">
        <v>0</v>
      </c>
      <c r="N196">
        <v>2750</v>
      </c>
    </row>
    <row r="197" spans="1:14" x14ac:dyDescent="0.25">
      <c r="A197">
        <v>8.6670920000000002</v>
      </c>
      <c r="B197" s="1">
        <f>DATE(2010,5,9) + TIME(16,0,36)</f>
        <v>40307.667083333334</v>
      </c>
      <c r="C197">
        <v>80</v>
      </c>
      <c r="D197">
        <v>79.953063964999998</v>
      </c>
      <c r="E197">
        <v>60</v>
      </c>
      <c r="F197">
        <v>14.999507904</v>
      </c>
      <c r="G197">
        <v>1342.8001709</v>
      </c>
      <c r="H197">
        <v>1339.8076172000001</v>
      </c>
      <c r="I197">
        <v>1320.1522216999999</v>
      </c>
      <c r="J197">
        <v>1315.6237793</v>
      </c>
      <c r="K197">
        <v>2750</v>
      </c>
      <c r="L197">
        <v>0</v>
      </c>
      <c r="M197">
        <v>0</v>
      </c>
      <c r="N197">
        <v>2750</v>
      </c>
    </row>
    <row r="198" spans="1:14" x14ac:dyDescent="0.25">
      <c r="A198">
        <v>8.7350449999999995</v>
      </c>
      <c r="B198" s="1">
        <f>DATE(2010,5,9) + TIME(17,38,27)</f>
        <v>40307.735034722224</v>
      </c>
      <c r="C198">
        <v>80</v>
      </c>
      <c r="D198">
        <v>79.953048706000004</v>
      </c>
      <c r="E198">
        <v>60</v>
      </c>
      <c r="F198">
        <v>14.999508858</v>
      </c>
      <c r="G198">
        <v>1342.7937012</v>
      </c>
      <c r="H198">
        <v>1339.8022461</v>
      </c>
      <c r="I198">
        <v>1320.1523437999999</v>
      </c>
      <c r="J198">
        <v>1315.6239014</v>
      </c>
      <c r="K198">
        <v>2750</v>
      </c>
      <c r="L198">
        <v>0</v>
      </c>
      <c r="M198">
        <v>0</v>
      </c>
      <c r="N198">
        <v>2750</v>
      </c>
    </row>
    <row r="199" spans="1:14" x14ac:dyDescent="0.25">
      <c r="A199">
        <v>8.8029980000000005</v>
      </c>
      <c r="B199" s="1">
        <f>DATE(2010,5,9) + TIME(19,16,19)</f>
        <v>40307.802997685183</v>
      </c>
      <c r="C199">
        <v>80</v>
      </c>
      <c r="D199">
        <v>79.953041076999995</v>
      </c>
      <c r="E199">
        <v>60</v>
      </c>
      <c r="F199">
        <v>14.999509810999999</v>
      </c>
      <c r="G199">
        <v>1342.7873535000001</v>
      </c>
      <c r="H199">
        <v>1339.7971190999999</v>
      </c>
      <c r="I199">
        <v>1320.1525879000001</v>
      </c>
      <c r="J199">
        <v>1315.6240233999999</v>
      </c>
      <c r="K199">
        <v>2750</v>
      </c>
      <c r="L199">
        <v>0</v>
      </c>
      <c r="M199">
        <v>0</v>
      </c>
      <c r="N199">
        <v>2750</v>
      </c>
    </row>
    <row r="200" spans="1:14" x14ac:dyDescent="0.25">
      <c r="A200">
        <v>8.8709509999999998</v>
      </c>
      <c r="B200" s="1">
        <f>DATE(2010,5,9) + TIME(20,54,10)</f>
        <v>40307.870949074073</v>
      </c>
      <c r="C200">
        <v>80</v>
      </c>
      <c r="D200">
        <v>79.953025818</v>
      </c>
      <c r="E200">
        <v>60</v>
      </c>
      <c r="F200">
        <v>14.999510765</v>
      </c>
      <c r="G200">
        <v>1342.7808838000001</v>
      </c>
      <c r="H200">
        <v>1339.7918701000001</v>
      </c>
      <c r="I200">
        <v>1320.1527100000001</v>
      </c>
      <c r="J200">
        <v>1315.6241454999999</v>
      </c>
      <c r="K200">
        <v>2750</v>
      </c>
      <c r="L200">
        <v>0</v>
      </c>
      <c r="M200">
        <v>0</v>
      </c>
      <c r="N200">
        <v>2750</v>
      </c>
    </row>
    <row r="201" spans="1:14" x14ac:dyDescent="0.25">
      <c r="A201">
        <v>8.9389040000000008</v>
      </c>
      <c r="B201" s="1">
        <f>DATE(2010,5,9) + TIME(22,32,1)</f>
        <v>40307.938900462963</v>
      </c>
      <c r="C201">
        <v>80</v>
      </c>
      <c r="D201">
        <v>79.953010559000006</v>
      </c>
      <c r="E201">
        <v>60</v>
      </c>
      <c r="F201">
        <v>14.999511718999999</v>
      </c>
      <c r="G201">
        <v>1342.7746582</v>
      </c>
      <c r="H201">
        <v>1339.7867432</v>
      </c>
      <c r="I201">
        <v>1320.152832</v>
      </c>
      <c r="J201">
        <v>1315.6242675999999</v>
      </c>
      <c r="K201">
        <v>2750</v>
      </c>
      <c r="L201">
        <v>0</v>
      </c>
      <c r="M201">
        <v>0</v>
      </c>
      <c r="N201">
        <v>2750</v>
      </c>
    </row>
    <row r="202" spans="1:14" x14ac:dyDescent="0.25">
      <c r="A202">
        <v>9.0068570000000001</v>
      </c>
      <c r="B202" s="1">
        <f>DATE(2010,5,10) + TIME(0,9,52)</f>
        <v>40308.006851851853</v>
      </c>
      <c r="C202">
        <v>80</v>
      </c>
      <c r="D202">
        <v>79.953002929999997</v>
      </c>
      <c r="E202">
        <v>60</v>
      </c>
      <c r="F202">
        <v>14.999512672</v>
      </c>
      <c r="G202">
        <v>1342.7683105000001</v>
      </c>
      <c r="H202">
        <v>1339.7816161999999</v>
      </c>
      <c r="I202">
        <v>1320.1529541</v>
      </c>
      <c r="J202">
        <v>1315.6243896000001</v>
      </c>
      <c r="K202">
        <v>2750</v>
      </c>
      <c r="L202">
        <v>0</v>
      </c>
      <c r="M202">
        <v>0</v>
      </c>
      <c r="N202">
        <v>2750</v>
      </c>
    </row>
    <row r="203" spans="1:14" x14ac:dyDescent="0.25">
      <c r="A203">
        <v>9.0748099999999994</v>
      </c>
      <c r="B203" s="1">
        <f>DATE(2010,5,10) + TIME(1,47,43)</f>
        <v>40308.074803240743</v>
      </c>
      <c r="C203">
        <v>80</v>
      </c>
      <c r="D203">
        <v>79.952987671000002</v>
      </c>
      <c r="E203">
        <v>60</v>
      </c>
      <c r="F203">
        <v>14.999513626000001</v>
      </c>
      <c r="G203">
        <v>1342.7620850000001</v>
      </c>
      <c r="H203">
        <v>1339.7766113</v>
      </c>
      <c r="I203">
        <v>1320.1531981999999</v>
      </c>
      <c r="J203">
        <v>1315.6245117000001</v>
      </c>
      <c r="K203">
        <v>2750</v>
      </c>
      <c r="L203">
        <v>0</v>
      </c>
      <c r="M203">
        <v>0</v>
      </c>
      <c r="N203">
        <v>2750</v>
      </c>
    </row>
    <row r="204" spans="1:14" x14ac:dyDescent="0.25">
      <c r="A204">
        <v>9.1427630000000004</v>
      </c>
      <c r="B204" s="1">
        <f>DATE(2010,5,10) + TIME(3,25,34)</f>
        <v>40308.142754629633</v>
      </c>
      <c r="C204">
        <v>80</v>
      </c>
      <c r="D204">
        <v>79.952972411999994</v>
      </c>
      <c r="E204">
        <v>60</v>
      </c>
      <c r="F204">
        <v>14.99951458</v>
      </c>
      <c r="G204">
        <v>1342.7558594</v>
      </c>
      <c r="H204">
        <v>1339.7716064000001</v>
      </c>
      <c r="I204">
        <v>1320.1533202999999</v>
      </c>
      <c r="J204">
        <v>1315.6246338000001</v>
      </c>
      <c r="K204">
        <v>2750</v>
      </c>
      <c r="L204">
        <v>0</v>
      </c>
      <c r="M204">
        <v>0</v>
      </c>
      <c r="N204">
        <v>2750</v>
      </c>
    </row>
    <row r="205" spans="1:14" x14ac:dyDescent="0.25">
      <c r="A205">
        <v>9.2107159999999997</v>
      </c>
      <c r="B205" s="1">
        <f>DATE(2010,5,10) + TIME(5,3,25)</f>
        <v>40308.210706018515</v>
      </c>
      <c r="C205">
        <v>80</v>
      </c>
      <c r="D205">
        <v>79.952964782999999</v>
      </c>
      <c r="E205">
        <v>60</v>
      </c>
      <c r="F205">
        <v>14.999515533</v>
      </c>
      <c r="G205">
        <v>1342.7496338000001</v>
      </c>
      <c r="H205">
        <v>1339.7666016000001</v>
      </c>
      <c r="I205">
        <v>1320.1534423999999</v>
      </c>
      <c r="J205">
        <v>1315.6247559000001</v>
      </c>
      <c r="K205">
        <v>2750</v>
      </c>
      <c r="L205">
        <v>0</v>
      </c>
      <c r="M205">
        <v>0</v>
      </c>
      <c r="N205">
        <v>2750</v>
      </c>
    </row>
    <row r="206" spans="1:14" x14ac:dyDescent="0.25">
      <c r="A206">
        <v>9.2786690000000007</v>
      </c>
      <c r="B206" s="1">
        <f>DATE(2010,5,10) + TIME(6,41,17)</f>
        <v>40308.278668981482</v>
      </c>
      <c r="C206">
        <v>80</v>
      </c>
      <c r="D206">
        <v>79.952949524000005</v>
      </c>
      <c r="E206">
        <v>60</v>
      </c>
      <c r="F206">
        <v>14.999516486999999</v>
      </c>
      <c r="G206">
        <v>1342.7435303</v>
      </c>
      <c r="H206">
        <v>1339.7615966999999</v>
      </c>
      <c r="I206">
        <v>1320.1536865</v>
      </c>
      <c r="J206">
        <v>1315.6248779</v>
      </c>
      <c r="K206">
        <v>2750</v>
      </c>
      <c r="L206">
        <v>0</v>
      </c>
      <c r="M206">
        <v>0</v>
      </c>
      <c r="N206">
        <v>2750</v>
      </c>
    </row>
    <row r="207" spans="1:14" x14ac:dyDescent="0.25">
      <c r="A207">
        <v>9.4145749999999992</v>
      </c>
      <c r="B207" s="1">
        <f>DATE(2010,5,10) + TIME(9,56,59)</f>
        <v>40308.414571759262</v>
      </c>
      <c r="C207">
        <v>80</v>
      </c>
      <c r="D207">
        <v>79.952934264999996</v>
      </c>
      <c r="E207">
        <v>60</v>
      </c>
      <c r="F207">
        <v>14.999518394000001</v>
      </c>
      <c r="G207">
        <v>1342.7376709</v>
      </c>
      <c r="H207">
        <v>1339.7570800999999</v>
      </c>
      <c r="I207">
        <v>1320.1538086</v>
      </c>
      <c r="J207">
        <v>1315.6251221</v>
      </c>
      <c r="K207">
        <v>2750</v>
      </c>
      <c r="L207">
        <v>0</v>
      </c>
      <c r="M207">
        <v>0</v>
      </c>
      <c r="N207">
        <v>2750</v>
      </c>
    </row>
    <row r="208" spans="1:14" x14ac:dyDescent="0.25">
      <c r="A208">
        <v>9.5508430000000004</v>
      </c>
      <c r="B208" s="1">
        <f>DATE(2010,5,10) + TIME(13,13,12)</f>
        <v>40308.550833333335</v>
      </c>
      <c r="C208">
        <v>80</v>
      </c>
      <c r="D208">
        <v>79.952911377000007</v>
      </c>
      <c r="E208">
        <v>60</v>
      </c>
      <c r="F208">
        <v>14.999519348</v>
      </c>
      <c r="G208">
        <v>1342.7255858999999</v>
      </c>
      <c r="H208">
        <v>1339.7474365</v>
      </c>
      <c r="I208">
        <v>1320.1541748</v>
      </c>
      <c r="J208">
        <v>1315.6253661999999</v>
      </c>
      <c r="K208">
        <v>2750</v>
      </c>
      <c r="L208">
        <v>0</v>
      </c>
      <c r="M208">
        <v>0</v>
      </c>
      <c r="N208">
        <v>2750</v>
      </c>
    </row>
    <row r="209" spans="1:14" x14ac:dyDescent="0.25">
      <c r="A209">
        <v>9.688326</v>
      </c>
      <c r="B209" s="1">
        <f>DATE(2010,5,10) + TIME(16,31,11)</f>
        <v>40308.688321759262</v>
      </c>
      <c r="C209">
        <v>80</v>
      </c>
      <c r="D209">
        <v>79.952880859000004</v>
      </c>
      <c r="E209">
        <v>60</v>
      </c>
      <c r="F209">
        <v>14.999521254999999</v>
      </c>
      <c r="G209">
        <v>1342.7137451000001</v>
      </c>
      <c r="H209">
        <v>1339.7379149999999</v>
      </c>
      <c r="I209">
        <v>1320.1544189000001</v>
      </c>
      <c r="J209">
        <v>1315.6256103999999</v>
      </c>
      <c r="K209">
        <v>2750</v>
      </c>
      <c r="L209">
        <v>0</v>
      </c>
      <c r="M209">
        <v>0</v>
      </c>
      <c r="N209">
        <v>2750</v>
      </c>
    </row>
    <row r="210" spans="1:14" x14ac:dyDescent="0.25">
      <c r="A210">
        <v>9.8272600000000008</v>
      </c>
      <c r="B210" s="1">
        <f>DATE(2010,5,10) + TIME(19,51,15)</f>
        <v>40308.827256944445</v>
      </c>
      <c r="C210">
        <v>80</v>
      </c>
      <c r="D210">
        <v>79.952857971</v>
      </c>
      <c r="E210">
        <v>60</v>
      </c>
      <c r="F210">
        <v>14.999523162999999</v>
      </c>
      <c r="G210">
        <v>1342.7017822</v>
      </c>
      <c r="H210">
        <v>1339.7283935999999</v>
      </c>
      <c r="I210">
        <v>1320.1547852000001</v>
      </c>
      <c r="J210">
        <v>1315.6258545000001</v>
      </c>
      <c r="K210">
        <v>2750</v>
      </c>
      <c r="L210">
        <v>0</v>
      </c>
      <c r="M210">
        <v>0</v>
      </c>
      <c r="N210">
        <v>2750</v>
      </c>
    </row>
    <row r="211" spans="1:14" x14ac:dyDescent="0.25">
      <c r="A211">
        <v>9.9678950000000004</v>
      </c>
      <c r="B211" s="1">
        <f>DATE(2010,5,10) + TIME(23,13,46)</f>
        <v>40308.967893518522</v>
      </c>
      <c r="C211">
        <v>80</v>
      </c>
      <c r="D211">
        <v>79.952835082999997</v>
      </c>
      <c r="E211">
        <v>60</v>
      </c>
      <c r="F211">
        <v>14.999525070000001</v>
      </c>
      <c r="G211">
        <v>1342.6899414</v>
      </c>
      <c r="H211">
        <v>1339.7189940999999</v>
      </c>
      <c r="I211">
        <v>1320.1550293</v>
      </c>
      <c r="J211">
        <v>1315.6260986</v>
      </c>
      <c r="K211">
        <v>2750</v>
      </c>
      <c r="L211">
        <v>0</v>
      </c>
      <c r="M211">
        <v>0</v>
      </c>
      <c r="N211">
        <v>2750</v>
      </c>
    </row>
    <row r="212" spans="1:14" x14ac:dyDescent="0.25">
      <c r="A212">
        <v>10.110488999999999</v>
      </c>
      <c r="B212" s="1">
        <f>DATE(2010,5,11) + TIME(2,39,6)</f>
        <v>40309.110486111109</v>
      </c>
      <c r="C212">
        <v>80</v>
      </c>
      <c r="D212">
        <v>79.952804564999994</v>
      </c>
      <c r="E212">
        <v>60</v>
      </c>
      <c r="F212">
        <v>14.999526978</v>
      </c>
      <c r="G212">
        <v>1342.6781006000001</v>
      </c>
      <c r="H212">
        <v>1339.7095947</v>
      </c>
      <c r="I212">
        <v>1320.1553954999999</v>
      </c>
      <c r="J212">
        <v>1315.6263428</v>
      </c>
      <c r="K212">
        <v>2750</v>
      </c>
      <c r="L212">
        <v>0</v>
      </c>
      <c r="M212">
        <v>0</v>
      </c>
      <c r="N212">
        <v>2750</v>
      </c>
    </row>
    <row r="213" spans="1:14" x14ac:dyDescent="0.25">
      <c r="A213">
        <v>10.255316000000001</v>
      </c>
      <c r="B213" s="1">
        <f>DATE(2010,5,11) + TIME(6,7,39)</f>
        <v>40309.255312499998</v>
      </c>
      <c r="C213">
        <v>80</v>
      </c>
      <c r="D213">
        <v>79.952781677000004</v>
      </c>
      <c r="E213">
        <v>60</v>
      </c>
      <c r="F213">
        <v>14.999528885</v>
      </c>
      <c r="G213">
        <v>1342.6662598</v>
      </c>
      <c r="H213">
        <v>1339.7001952999999</v>
      </c>
      <c r="I213">
        <v>1320.1557617000001</v>
      </c>
      <c r="J213">
        <v>1315.6267089999999</v>
      </c>
      <c r="K213">
        <v>2750</v>
      </c>
      <c r="L213">
        <v>0</v>
      </c>
      <c r="M213">
        <v>0</v>
      </c>
      <c r="N213">
        <v>2750</v>
      </c>
    </row>
    <row r="214" spans="1:14" x14ac:dyDescent="0.25">
      <c r="A214">
        <v>10.402725999999999</v>
      </c>
      <c r="B214" s="1">
        <f>DATE(2010,5,11) + TIME(9,39,55)</f>
        <v>40309.402719907404</v>
      </c>
      <c r="C214">
        <v>80</v>
      </c>
      <c r="D214">
        <v>79.952751160000005</v>
      </c>
      <c r="E214">
        <v>60</v>
      </c>
      <c r="F214">
        <v>14.999529838999999</v>
      </c>
      <c r="G214">
        <v>1342.6542969</v>
      </c>
      <c r="H214">
        <v>1339.6907959</v>
      </c>
      <c r="I214">
        <v>1320.1561279</v>
      </c>
      <c r="J214">
        <v>1315.6269531</v>
      </c>
      <c r="K214">
        <v>2750</v>
      </c>
      <c r="L214">
        <v>0</v>
      </c>
      <c r="M214">
        <v>0</v>
      </c>
      <c r="N214">
        <v>2750</v>
      </c>
    </row>
    <row r="215" spans="1:14" x14ac:dyDescent="0.25">
      <c r="A215">
        <v>10.552967000000001</v>
      </c>
      <c r="B215" s="1">
        <f>DATE(2010,5,11) + TIME(13,16,16)</f>
        <v>40309.55296296296</v>
      </c>
      <c r="C215">
        <v>80</v>
      </c>
      <c r="D215">
        <v>79.952720642000003</v>
      </c>
      <c r="E215">
        <v>60</v>
      </c>
      <c r="F215">
        <v>14.999531746000001</v>
      </c>
      <c r="G215">
        <v>1342.6423339999999</v>
      </c>
      <c r="H215">
        <v>1339.6813964999999</v>
      </c>
      <c r="I215">
        <v>1320.1563721</v>
      </c>
      <c r="J215">
        <v>1315.6271973</v>
      </c>
      <c r="K215">
        <v>2750</v>
      </c>
      <c r="L215">
        <v>0</v>
      </c>
      <c r="M215">
        <v>0</v>
      </c>
      <c r="N215">
        <v>2750</v>
      </c>
    </row>
    <row r="216" spans="1:14" x14ac:dyDescent="0.25">
      <c r="A216">
        <v>10.706367999999999</v>
      </c>
      <c r="B216" s="1">
        <f>DATE(2010,5,11) + TIME(16,57,10)</f>
        <v>40309.706365740742</v>
      </c>
      <c r="C216">
        <v>80</v>
      </c>
      <c r="D216">
        <v>79.952690125000004</v>
      </c>
      <c r="E216">
        <v>60</v>
      </c>
      <c r="F216">
        <v>14.999533653</v>
      </c>
      <c r="G216">
        <v>1342.630249</v>
      </c>
      <c r="H216">
        <v>1339.6719971</v>
      </c>
      <c r="I216">
        <v>1320.1567382999999</v>
      </c>
      <c r="J216">
        <v>1315.6274414</v>
      </c>
      <c r="K216">
        <v>2750</v>
      </c>
      <c r="L216">
        <v>0</v>
      </c>
      <c r="M216">
        <v>0</v>
      </c>
      <c r="N216">
        <v>2750</v>
      </c>
    </row>
    <row r="217" spans="1:14" x14ac:dyDescent="0.25">
      <c r="A217">
        <v>10.862489999999999</v>
      </c>
      <c r="B217" s="1">
        <f>DATE(2010,5,11) + TIME(20,41,59)</f>
        <v>40309.862488425926</v>
      </c>
      <c r="C217">
        <v>80</v>
      </c>
      <c r="D217">
        <v>79.952659607000001</v>
      </c>
      <c r="E217">
        <v>60</v>
      </c>
      <c r="F217">
        <v>14.999535561</v>
      </c>
      <c r="G217">
        <v>1342.6181641000001</v>
      </c>
      <c r="H217">
        <v>1339.6624756000001</v>
      </c>
      <c r="I217">
        <v>1320.1571045000001</v>
      </c>
      <c r="J217">
        <v>1315.6278076000001</v>
      </c>
      <c r="K217">
        <v>2750</v>
      </c>
      <c r="L217">
        <v>0</v>
      </c>
      <c r="M217">
        <v>0</v>
      </c>
      <c r="N217">
        <v>2750</v>
      </c>
    </row>
    <row r="218" spans="1:14" x14ac:dyDescent="0.25">
      <c r="A218">
        <v>11.020985</v>
      </c>
      <c r="B218" s="1">
        <f>DATE(2010,5,12) + TIME(0,30,13)</f>
        <v>40310.020983796298</v>
      </c>
      <c r="C218">
        <v>80</v>
      </c>
      <c r="D218">
        <v>79.952629088999998</v>
      </c>
      <c r="E218">
        <v>60</v>
      </c>
      <c r="F218">
        <v>14.999537468</v>
      </c>
      <c r="G218">
        <v>1342.605957</v>
      </c>
      <c r="H218">
        <v>1339.6529541</v>
      </c>
      <c r="I218">
        <v>1320.1574707</v>
      </c>
      <c r="J218">
        <v>1315.6280518000001</v>
      </c>
      <c r="K218">
        <v>2750</v>
      </c>
      <c r="L218">
        <v>0</v>
      </c>
      <c r="M218">
        <v>0</v>
      </c>
      <c r="N218">
        <v>2750</v>
      </c>
    </row>
    <row r="219" spans="1:14" x14ac:dyDescent="0.25">
      <c r="A219">
        <v>11.101610000000001</v>
      </c>
      <c r="B219" s="1">
        <f>DATE(2010,5,12) + TIME(2,26,19)</f>
        <v>40310.1016087963</v>
      </c>
      <c r="C219">
        <v>80</v>
      </c>
      <c r="D219">
        <v>79.952606200999995</v>
      </c>
      <c r="E219">
        <v>60</v>
      </c>
      <c r="F219">
        <v>14.999538422000001</v>
      </c>
      <c r="G219">
        <v>1342.5935059000001</v>
      </c>
      <c r="H219">
        <v>1339.6433105000001</v>
      </c>
      <c r="I219">
        <v>1320.1578368999999</v>
      </c>
      <c r="J219">
        <v>1315.6282959</v>
      </c>
      <c r="K219">
        <v>2750</v>
      </c>
      <c r="L219">
        <v>0</v>
      </c>
      <c r="M219">
        <v>0</v>
      </c>
      <c r="N219">
        <v>2750</v>
      </c>
    </row>
    <row r="220" spans="1:14" x14ac:dyDescent="0.25">
      <c r="A220">
        <v>11.182235</v>
      </c>
      <c r="B220" s="1">
        <f>DATE(2010,5,12) + TIME(4,22,25)</f>
        <v>40310.182233796295</v>
      </c>
      <c r="C220">
        <v>80</v>
      </c>
      <c r="D220">
        <v>79.952590942</v>
      </c>
      <c r="E220">
        <v>60</v>
      </c>
      <c r="F220">
        <v>14.999539374999999</v>
      </c>
      <c r="G220">
        <v>1342.5874022999999</v>
      </c>
      <c r="H220">
        <v>1339.6384277</v>
      </c>
      <c r="I220">
        <v>1320.1579589999999</v>
      </c>
      <c r="J220">
        <v>1315.628418</v>
      </c>
      <c r="K220">
        <v>2750</v>
      </c>
      <c r="L220">
        <v>0</v>
      </c>
      <c r="M220">
        <v>0</v>
      </c>
      <c r="N220">
        <v>2750</v>
      </c>
    </row>
    <row r="221" spans="1:14" x14ac:dyDescent="0.25">
      <c r="A221">
        <v>11.262860999999999</v>
      </c>
      <c r="B221" s="1">
        <f>DATE(2010,5,12) + TIME(6,18,31)</f>
        <v>40310.262858796297</v>
      </c>
      <c r="C221">
        <v>80</v>
      </c>
      <c r="D221">
        <v>79.952568053999997</v>
      </c>
      <c r="E221">
        <v>60</v>
      </c>
      <c r="F221">
        <v>14.999540329</v>
      </c>
      <c r="G221">
        <v>1342.5812988</v>
      </c>
      <c r="H221">
        <v>1339.6336670000001</v>
      </c>
      <c r="I221">
        <v>1320.1582031</v>
      </c>
      <c r="J221">
        <v>1315.6286620999999</v>
      </c>
      <c r="K221">
        <v>2750</v>
      </c>
      <c r="L221">
        <v>0</v>
      </c>
      <c r="M221">
        <v>0</v>
      </c>
      <c r="N221">
        <v>2750</v>
      </c>
    </row>
    <row r="222" spans="1:14" x14ac:dyDescent="0.25">
      <c r="A222">
        <v>11.343486</v>
      </c>
      <c r="B222" s="1">
        <f>DATE(2010,5,12) + TIME(8,14,37)</f>
        <v>40310.3434837963</v>
      </c>
      <c r="C222">
        <v>80</v>
      </c>
      <c r="D222">
        <v>79.952552795000003</v>
      </c>
      <c r="E222">
        <v>60</v>
      </c>
      <c r="F222">
        <v>14.999541282999999</v>
      </c>
      <c r="G222">
        <v>1342.5751952999999</v>
      </c>
      <c r="H222">
        <v>1339.6290283000001</v>
      </c>
      <c r="I222">
        <v>1320.1583252</v>
      </c>
      <c r="J222">
        <v>1315.6287841999999</v>
      </c>
      <c r="K222">
        <v>2750</v>
      </c>
      <c r="L222">
        <v>0</v>
      </c>
      <c r="M222">
        <v>0</v>
      </c>
      <c r="N222">
        <v>2750</v>
      </c>
    </row>
    <row r="223" spans="1:14" x14ac:dyDescent="0.25">
      <c r="A223">
        <v>11.424111</v>
      </c>
      <c r="B223" s="1">
        <f>DATE(2010,5,12) + TIME(10,10,43)</f>
        <v>40310.424108796295</v>
      </c>
      <c r="C223">
        <v>80</v>
      </c>
      <c r="D223">
        <v>79.952537536999998</v>
      </c>
      <c r="E223">
        <v>60</v>
      </c>
      <c r="F223">
        <v>14.999542236</v>
      </c>
      <c r="G223">
        <v>1342.5690918</v>
      </c>
      <c r="H223">
        <v>1339.6242675999999</v>
      </c>
      <c r="I223">
        <v>1320.1585693</v>
      </c>
      <c r="J223">
        <v>1315.6289062000001</v>
      </c>
      <c r="K223">
        <v>2750</v>
      </c>
      <c r="L223">
        <v>0</v>
      </c>
      <c r="M223">
        <v>0</v>
      </c>
      <c r="N223">
        <v>2750</v>
      </c>
    </row>
    <row r="224" spans="1:14" x14ac:dyDescent="0.25">
      <c r="A224">
        <v>11.504737</v>
      </c>
      <c r="B224" s="1">
        <f>DATE(2010,5,12) + TIME(12,6,49)</f>
        <v>40310.504733796297</v>
      </c>
      <c r="C224">
        <v>80</v>
      </c>
      <c r="D224">
        <v>79.952514648000005</v>
      </c>
      <c r="E224">
        <v>60</v>
      </c>
      <c r="F224">
        <v>14.999543190000001</v>
      </c>
      <c r="G224">
        <v>1342.5631103999999</v>
      </c>
      <c r="H224">
        <v>1339.6196289</v>
      </c>
      <c r="I224">
        <v>1320.1586914</v>
      </c>
      <c r="J224">
        <v>1315.6290283000001</v>
      </c>
      <c r="K224">
        <v>2750</v>
      </c>
      <c r="L224">
        <v>0</v>
      </c>
      <c r="M224">
        <v>0</v>
      </c>
      <c r="N224">
        <v>2750</v>
      </c>
    </row>
    <row r="225" spans="1:14" x14ac:dyDescent="0.25">
      <c r="A225">
        <v>11.585362</v>
      </c>
      <c r="B225" s="1">
        <f>DATE(2010,5,12) + TIME(14,2,55)</f>
        <v>40310.585358796299</v>
      </c>
      <c r="C225">
        <v>80</v>
      </c>
      <c r="D225">
        <v>79.95249939</v>
      </c>
      <c r="E225">
        <v>60</v>
      </c>
      <c r="F225">
        <v>14.999544144</v>
      </c>
      <c r="G225">
        <v>1342.5571289</v>
      </c>
      <c r="H225">
        <v>1339.6151123</v>
      </c>
      <c r="I225">
        <v>1320.1589355000001</v>
      </c>
      <c r="J225">
        <v>1315.6292725000001</v>
      </c>
      <c r="K225">
        <v>2750</v>
      </c>
      <c r="L225">
        <v>0</v>
      </c>
      <c r="M225">
        <v>0</v>
      </c>
      <c r="N225">
        <v>2750</v>
      </c>
    </row>
    <row r="226" spans="1:14" x14ac:dyDescent="0.25">
      <c r="A226">
        <v>11.665986999999999</v>
      </c>
      <c r="B226" s="1">
        <f>DATE(2010,5,12) + TIME(15,59,1)</f>
        <v>40310.665983796294</v>
      </c>
      <c r="C226">
        <v>80</v>
      </c>
      <c r="D226">
        <v>79.952484131000006</v>
      </c>
      <c r="E226">
        <v>60</v>
      </c>
      <c r="F226">
        <v>14.999545097</v>
      </c>
      <c r="G226">
        <v>1342.5512695</v>
      </c>
      <c r="H226">
        <v>1339.6104736</v>
      </c>
      <c r="I226">
        <v>1320.1590576000001</v>
      </c>
      <c r="J226">
        <v>1315.6293945</v>
      </c>
      <c r="K226">
        <v>2750</v>
      </c>
      <c r="L226">
        <v>0</v>
      </c>
      <c r="M226">
        <v>0</v>
      </c>
      <c r="N226">
        <v>2750</v>
      </c>
    </row>
    <row r="227" spans="1:14" x14ac:dyDescent="0.25">
      <c r="A227">
        <v>11.746613</v>
      </c>
      <c r="B227" s="1">
        <f>DATE(2010,5,12) + TIME(17,55,7)</f>
        <v>40310.746608796297</v>
      </c>
      <c r="C227">
        <v>80</v>
      </c>
      <c r="D227">
        <v>79.952468871999997</v>
      </c>
      <c r="E227">
        <v>60</v>
      </c>
      <c r="F227">
        <v>14.999546050999999</v>
      </c>
      <c r="G227">
        <v>1342.5454102000001</v>
      </c>
      <c r="H227">
        <v>1339.605957</v>
      </c>
      <c r="I227">
        <v>1320.1593018000001</v>
      </c>
      <c r="J227">
        <v>1315.6295166</v>
      </c>
      <c r="K227">
        <v>2750</v>
      </c>
      <c r="L227">
        <v>0</v>
      </c>
      <c r="M227">
        <v>0</v>
      </c>
      <c r="N227">
        <v>2750</v>
      </c>
    </row>
    <row r="228" spans="1:14" x14ac:dyDescent="0.25">
      <c r="A228">
        <v>11.827237999999999</v>
      </c>
      <c r="B228" s="1">
        <f>DATE(2010,5,12) + TIME(19,51,13)</f>
        <v>40310.827233796299</v>
      </c>
      <c r="C228">
        <v>80</v>
      </c>
      <c r="D228">
        <v>79.952445983999993</v>
      </c>
      <c r="E228">
        <v>60</v>
      </c>
      <c r="F228">
        <v>14.999547005</v>
      </c>
      <c r="G228">
        <v>1342.5395507999999</v>
      </c>
      <c r="H228">
        <v>1339.6014404</v>
      </c>
      <c r="I228">
        <v>1320.1594238</v>
      </c>
      <c r="J228">
        <v>1315.6296387</v>
      </c>
      <c r="K228">
        <v>2750</v>
      </c>
      <c r="L228">
        <v>0</v>
      </c>
      <c r="M228">
        <v>0</v>
      </c>
      <c r="N228">
        <v>2750</v>
      </c>
    </row>
    <row r="229" spans="1:14" x14ac:dyDescent="0.25">
      <c r="A229">
        <v>11.907863000000001</v>
      </c>
      <c r="B229" s="1">
        <f>DATE(2010,5,12) + TIME(21,47,19)</f>
        <v>40310.907858796294</v>
      </c>
      <c r="C229">
        <v>80</v>
      </c>
      <c r="D229">
        <v>79.952430724999999</v>
      </c>
      <c r="E229">
        <v>60</v>
      </c>
      <c r="F229">
        <v>14.999547958000001</v>
      </c>
      <c r="G229">
        <v>1342.5336914</v>
      </c>
      <c r="H229">
        <v>1339.5969238</v>
      </c>
      <c r="I229">
        <v>1320.159668</v>
      </c>
      <c r="J229">
        <v>1315.6298827999999</v>
      </c>
      <c r="K229">
        <v>2750</v>
      </c>
      <c r="L229">
        <v>0</v>
      </c>
      <c r="M229">
        <v>0</v>
      </c>
      <c r="N229">
        <v>2750</v>
      </c>
    </row>
    <row r="230" spans="1:14" x14ac:dyDescent="0.25">
      <c r="A230">
        <v>11.988489</v>
      </c>
      <c r="B230" s="1">
        <f>DATE(2010,5,12) + TIME(23,43,25)</f>
        <v>40310.988483796296</v>
      </c>
      <c r="C230">
        <v>80</v>
      </c>
      <c r="D230">
        <v>79.952415466000005</v>
      </c>
      <c r="E230">
        <v>60</v>
      </c>
      <c r="F230">
        <v>14.999548912</v>
      </c>
      <c r="G230">
        <v>1342.5279541</v>
      </c>
      <c r="H230">
        <v>1339.5925293</v>
      </c>
      <c r="I230">
        <v>1320.1597899999999</v>
      </c>
      <c r="J230">
        <v>1315.6300048999999</v>
      </c>
      <c r="K230">
        <v>2750</v>
      </c>
      <c r="L230">
        <v>0</v>
      </c>
      <c r="M230">
        <v>0</v>
      </c>
      <c r="N230">
        <v>2750</v>
      </c>
    </row>
    <row r="231" spans="1:14" x14ac:dyDescent="0.25">
      <c r="A231">
        <v>12.069114000000001</v>
      </c>
      <c r="B231" s="1">
        <f>DATE(2010,5,13) + TIME(1,39,31)</f>
        <v>40311.069108796299</v>
      </c>
      <c r="C231">
        <v>80</v>
      </c>
      <c r="D231">
        <v>79.952400208</v>
      </c>
      <c r="E231">
        <v>60</v>
      </c>
      <c r="F231">
        <v>14.999549866000001</v>
      </c>
      <c r="G231">
        <v>1342.5222168</v>
      </c>
      <c r="H231">
        <v>1339.5881348</v>
      </c>
      <c r="I231">
        <v>1320.1600341999999</v>
      </c>
      <c r="J231">
        <v>1315.6301269999999</v>
      </c>
      <c r="K231">
        <v>2750</v>
      </c>
      <c r="L231">
        <v>0</v>
      </c>
      <c r="M231">
        <v>0</v>
      </c>
      <c r="N231">
        <v>2750</v>
      </c>
    </row>
    <row r="232" spans="1:14" x14ac:dyDescent="0.25">
      <c r="A232">
        <v>12.14974</v>
      </c>
      <c r="B232" s="1">
        <f>DATE(2010,5,13) + TIME(3,35,37)</f>
        <v>40311.149733796294</v>
      </c>
      <c r="C232">
        <v>80</v>
      </c>
      <c r="D232">
        <v>79.952384949000006</v>
      </c>
      <c r="E232">
        <v>60</v>
      </c>
      <c r="F232">
        <v>14.999550819</v>
      </c>
      <c r="G232">
        <v>1342.5164795000001</v>
      </c>
      <c r="H232">
        <v>1339.5837402</v>
      </c>
      <c r="I232">
        <v>1320.1601562000001</v>
      </c>
      <c r="J232">
        <v>1315.630249</v>
      </c>
      <c r="K232">
        <v>2750</v>
      </c>
      <c r="L232">
        <v>0</v>
      </c>
      <c r="M232">
        <v>0</v>
      </c>
      <c r="N232">
        <v>2750</v>
      </c>
    </row>
    <row r="233" spans="1:14" x14ac:dyDescent="0.25">
      <c r="A233">
        <v>12.31099</v>
      </c>
      <c r="B233" s="1">
        <f>DATE(2010,5,13) + TIME(7,27,49)</f>
        <v>40311.310983796298</v>
      </c>
      <c r="C233">
        <v>80</v>
      </c>
      <c r="D233">
        <v>79.952362061000002</v>
      </c>
      <c r="E233">
        <v>60</v>
      </c>
      <c r="F233">
        <v>14.999551773</v>
      </c>
      <c r="G233">
        <v>1342.5109863</v>
      </c>
      <c r="H233">
        <v>1339.5795897999999</v>
      </c>
      <c r="I233">
        <v>1320.1604004000001</v>
      </c>
      <c r="J233">
        <v>1315.6304932</v>
      </c>
      <c r="K233">
        <v>2750</v>
      </c>
      <c r="L233">
        <v>0</v>
      </c>
      <c r="M233">
        <v>0</v>
      </c>
      <c r="N233">
        <v>2750</v>
      </c>
    </row>
    <row r="234" spans="1:14" x14ac:dyDescent="0.25">
      <c r="A234">
        <v>12.472519999999999</v>
      </c>
      <c r="B234" s="1">
        <f>DATE(2010,5,13) + TIME(11,20,25)</f>
        <v>40311.472511574073</v>
      </c>
      <c r="C234">
        <v>80</v>
      </c>
      <c r="D234">
        <v>79.952331543</v>
      </c>
      <c r="E234">
        <v>60</v>
      </c>
      <c r="F234">
        <v>14.99955368</v>
      </c>
      <c r="G234">
        <v>1342.4997559000001</v>
      </c>
      <c r="H234">
        <v>1339.5710449000001</v>
      </c>
      <c r="I234">
        <v>1320.1607666</v>
      </c>
      <c r="J234">
        <v>1315.6307373</v>
      </c>
      <c r="K234">
        <v>2750</v>
      </c>
      <c r="L234">
        <v>0</v>
      </c>
      <c r="M234">
        <v>0</v>
      </c>
      <c r="N234">
        <v>2750</v>
      </c>
    </row>
    <row r="235" spans="1:14" x14ac:dyDescent="0.25">
      <c r="A235">
        <v>12.635569</v>
      </c>
      <c r="B235" s="1">
        <f>DATE(2010,5,13) + TIME(15,15,13)</f>
        <v>40311.635567129626</v>
      </c>
      <c r="C235">
        <v>80</v>
      </c>
      <c r="D235">
        <v>79.952301024999997</v>
      </c>
      <c r="E235">
        <v>60</v>
      </c>
      <c r="F235">
        <v>14.999555588</v>
      </c>
      <c r="G235">
        <v>1342.4886475000001</v>
      </c>
      <c r="H235">
        <v>1339.5625</v>
      </c>
      <c r="I235">
        <v>1320.1611327999999</v>
      </c>
      <c r="J235">
        <v>1315.6311035000001</v>
      </c>
      <c r="K235">
        <v>2750</v>
      </c>
      <c r="L235">
        <v>0</v>
      </c>
      <c r="M235">
        <v>0</v>
      </c>
      <c r="N235">
        <v>2750</v>
      </c>
    </row>
    <row r="236" spans="1:14" x14ac:dyDescent="0.25">
      <c r="A236">
        <v>12.800440999999999</v>
      </c>
      <c r="B236" s="1">
        <f>DATE(2010,5,13) + TIME(19,12,38)</f>
        <v>40311.800439814811</v>
      </c>
      <c r="C236">
        <v>80</v>
      </c>
      <c r="D236">
        <v>79.952270507999998</v>
      </c>
      <c r="E236">
        <v>60</v>
      </c>
      <c r="F236">
        <v>14.999556541</v>
      </c>
      <c r="G236">
        <v>1342.4775391000001</v>
      </c>
      <c r="H236">
        <v>1339.5540771000001</v>
      </c>
      <c r="I236">
        <v>1320.161499</v>
      </c>
      <c r="J236">
        <v>1315.6313477000001</v>
      </c>
      <c r="K236">
        <v>2750</v>
      </c>
      <c r="L236">
        <v>0</v>
      </c>
      <c r="M236">
        <v>0</v>
      </c>
      <c r="N236">
        <v>2750</v>
      </c>
    </row>
    <row r="237" spans="1:14" x14ac:dyDescent="0.25">
      <c r="A237">
        <v>12.967453000000001</v>
      </c>
      <c r="B237" s="1">
        <f>DATE(2010,5,13) + TIME(23,13,7)</f>
        <v>40311.967442129629</v>
      </c>
      <c r="C237">
        <v>80</v>
      </c>
      <c r="D237">
        <v>79.952239989999995</v>
      </c>
      <c r="E237">
        <v>60</v>
      </c>
      <c r="F237">
        <v>14.999558449</v>
      </c>
      <c r="G237">
        <v>1342.4664307</v>
      </c>
      <c r="H237">
        <v>1339.5457764</v>
      </c>
      <c r="I237">
        <v>1320.1619873</v>
      </c>
      <c r="J237">
        <v>1315.6317139</v>
      </c>
      <c r="K237">
        <v>2750</v>
      </c>
      <c r="L237">
        <v>0</v>
      </c>
      <c r="M237">
        <v>0</v>
      </c>
      <c r="N237">
        <v>2750</v>
      </c>
    </row>
    <row r="238" spans="1:14" x14ac:dyDescent="0.25">
      <c r="A238">
        <v>13.136939999999999</v>
      </c>
      <c r="B238" s="1">
        <f>DATE(2010,5,14) + TIME(3,17,11)</f>
        <v>40312.136932870373</v>
      </c>
      <c r="C238">
        <v>80</v>
      </c>
      <c r="D238">
        <v>79.952209472999996</v>
      </c>
      <c r="E238">
        <v>60</v>
      </c>
      <c r="F238">
        <v>14.999560356</v>
      </c>
      <c r="G238">
        <v>1342.4553223</v>
      </c>
      <c r="H238">
        <v>1339.5373535000001</v>
      </c>
      <c r="I238">
        <v>1320.1623535000001</v>
      </c>
      <c r="J238">
        <v>1315.6319579999999</v>
      </c>
      <c r="K238">
        <v>2750</v>
      </c>
      <c r="L238">
        <v>0</v>
      </c>
      <c r="M238">
        <v>0</v>
      </c>
      <c r="N238">
        <v>2750</v>
      </c>
    </row>
    <row r="239" spans="1:14" x14ac:dyDescent="0.25">
      <c r="A239">
        <v>13.309298</v>
      </c>
      <c r="B239" s="1">
        <f>DATE(2010,5,14) + TIME(7,25,23)</f>
        <v>40312.309293981481</v>
      </c>
      <c r="C239">
        <v>80</v>
      </c>
      <c r="D239">
        <v>79.952178954999994</v>
      </c>
      <c r="E239">
        <v>60</v>
      </c>
      <c r="F239">
        <v>14.999562263</v>
      </c>
      <c r="G239">
        <v>1342.4440918</v>
      </c>
      <c r="H239">
        <v>1339.5289307</v>
      </c>
      <c r="I239">
        <v>1320.1627197</v>
      </c>
      <c r="J239">
        <v>1315.6323242000001</v>
      </c>
      <c r="K239">
        <v>2750</v>
      </c>
      <c r="L239">
        <v>0</v>
      </c>
      <c r="M239">
        <v>0</v>
      </c>
      <c r="N239">
        <v>2750</v>
      </c>
    </row>
    <row r="240" spans="1:14" x14ac:dyDescent="0.25">
      <c r="A240">
        <v>13.484890999999999</v>
      </c>
      <c r="B240" s="1">
        <f>DATE(2010,5,14) + TIME(11,38,14)</f>
        <v>40312.484884259262</v>
      </c>
      <c r="C240">
        <v>80</v>
      </c>
      <c r="D240">
        <v>79.952148437999995</v>
      </c>
      <c r="E240">
        <v>60</v>
      </c>
      <c r="F240">
        <v>14.999563217</v>
      </c>
      <c r="G240">
        <v>1342.4329834</v>
      </c>
      <c r="H240">
        <v>1339.5205077999999</v>
      </c>
      <c r="I240">
        <v>1320.1630858999999</v>
      </c>
      <c r="J240">
        <v>1315.6326904</v>
      </c>
      <c r="K240">
        <v>2750</v>
      </c>
      <c r="L240">
        <v>0</v>
      </c>
      <c r="M240">
        <v>0</v>
      </c>
      <c r="N240">
        <v>2750</v>
      </c>
    </row>
    <row r="241" spans="1:14" x14ac:dyDescent="0.25">
      <c r="A241">
        <v>13.664092999999999</v>
      </c>
      <c r="B241" s="1">
        <f>DATE(2010,5,14) + TIME(15,56,17)</f>
        <v>40312.664085648146</v>
      </c>
      <c r="C241">
        <v>80</v>
      </c>
      <c r="D241">
        <v>79.952117920000006</v>
      </c>
      <c r="E241">
        <v>60</v>
      </c>
      <c r="F241">
        <v>14.999565125</v>
      </c>
      <c r="G241">
        <v>1342.4216309000001</v>
      </c>
      <c r="H241">
        <v>1339.5119629000001</v>
      </c>
      <c r="I241">
        <v>1320.1635742000001</v>
      </c>
      <c r="J241">
        <v>1315.6329346</v>
      </c>
      <c r="K241">
        <v>2750</v>
      </c>
      <c r="L241">
        <v>0</v>
      </c>
      <c r="M241">
        <v>0</v>
      </c>
      <c r="N241">
        <v>2750</v>
      </c>
    </row>
    <row r="242" spans="1:14" x14ac:dyDescent="0.25">
      <c r="A242">
        <v>13.845424</v>
      </c>
      <c r="B242" s="1">
        <f>DATE(2010,5,14) + TIME(20,17,24)</f>
        <v>40312.845416666663</v>
      </c>
      <c r="C242">
        <v>80</v>
      </c>
      <c r="D242">
        <v>79.952079772999994</v>
      </c>
      <c r="E242">
        <v>60</v>
      </c>
      <c r="F242">
        <v>14.999567032</v>
      </c>
      <c r="G242">
        <v>1342.4102783000001</v>
      </c>
      <c r="H242">
        <v>1339.5035399999999</v>
      </c>
      <c r="I242">
        <v>1320.1639404</v>
      </c>
      <c r="J242">
        <v>1315.6333007999999</v>
      </c>
      <c r="K242">
        <v>2750</v>
      </c>
      <c r="L242">
        <v>0</v>
      </c>
      <c r="M242">
        <v>0</v>
      </c>
      <c r="N242">
        <v>2750</v>
      </c>
    </row>
    <row r="243" spans="1:14" x14ac:dyDescent="0.25">
      <c r="A243">
        <v>14.029120000000001</v>
      </c>
      <c r="B243" s="1">
        <f>DATE(2010,5,15) + TIME(0,41,55)</f>
        <v>40313.029108796298</v>
      </c>
      <c r="C243">
        <v>80</v>
      </c>
      <c r="D243">
        <v>79.952049255000006</v>
      </c>
      <c r="E243">
        <v>60</v>
      </c>
      <c r="F243">
        <v>14.999568939</v>
      </c>
      <c r="G243">
        <v>1342.3989257999999</v>
      </c>
      <c r="H243">
        <v>1339.4949951000001</v>
      </c>
      <c r="I243">
        <v>1320.1643065999999</v>
      </c>
      <c r="J243">
        <v>1315.6336670000001</v>
      </c>
      <c r="K243">
        <v>2750</v>
      </c>
      <c r="L243">
        <v>0</v>
      </c>
      <c r="M243">
        <v>0</v>
      </c>
      <c r="N243">
        <v>2750</v>
      </c>
    </row>
    <row r="244" spans="1:14" x14ac:dyDescent="0.25">
      <c r="A244">
        <v>14.121598000000001</v>
      </c>
      <c r="B244" s="1">
        <f>DATE(2010,5,15) + TIME(2,55,6)</f>
        <v>40313.12159722222</v>
      </c>
      <c r="C244">
        <v>80</v>
      </c>
      <c r="D244">
        <v>79.952026367000002</v>
      </c>
      <c r="E244">
        <v>60</v>
      </c>
      <c r="F244">
        <v>14.999569893</v>
      </c>
      <c r="G244">
        <v>1342.3873291</v>
      </c>
      <c r="H244">
        <v>1339.4862060999999</v>
      </c>
      <c r="I244">
        <v>1320.1647949000001</v>
      </c>
      <c r="J244">
        <v>1315.6340332</v>
      </c>
      <c r="K244">
        <v>2750</v>
      </c>
      <c r="L244">
        <v>0</v>
      </c>
      <c r="M244">
        <v>0</v>
      </c>
      <c r="N244">
        <v>2750</v>
      </c>
    </row>
    <row r="245" spans="1:14" x14ac:dyDescent="0.25">
      <c r="A245">
        <v>14.214076</v>
      </c>
      <c r="B245" s="1">
        <f>DATE(2010,5,15) + TIME(5,8,16)</f>
        <v>40313.214074074072</v>
      </c>
      <c r="C245">
        <v>80</v>
      </c>
      <c r="D245">
        <v>79.952003478999998</v>
      </c>
      <c r="E245">
        <v>60</v>
      </c>
      <c r="F245">
        <v>14.999570846999999</v>
      </c>
      <c r="G245">
        <v>1342.3817139</v>
      </c>
      <c r="H245">
        <v>1339.4819336</v>
      </c>
      <c r="I245">
        <v>1320.1649170000001</v>
      </c>
      <c r="J245">
        <v>1315.6341553</v>
      </c>
      <c r="K245">
        <v>2750</v>
      </c>
      <c r="L245">
        <v>0</v>
      </c>
      <c r="M245">
        <v>0</v>
      </c>
      <c r="N245">
        <v>2750</v>
      </c>
    </row>
    <row r="246" spans="1:14" x14ac:dyDescent="0.25">
      <c r="A246">
        <v>14.306554</v>
      </c>
      <c r="B246" s="1">
        <f>DATE(2010,5,15) + TIME(7,21,26)</f>
        <v>40313.306550925925</v>
      </c>
      <c r="C246">
        <v>80</v>
      </c>
      <c r="D246">
        <v>79.951988220000004</v>
      </c>
      <c r="E246">
        <v>60</v>
      </c>
      <c r="F246">
        <v>14.9995718</v>
      </c>
      <c r="G246">
        <v>1342.3759766000001</v>
      </c>
      <c r="H246">
        <v>1339.4776611</v>
      </c>
      <c r="I246">
        <v>1320.1651611</v>
      </c>
      <c r="J246">
        <v>1315.6342772999999</v>
      </c>
      <c r="K246">
        <v>2750</v>
      </c>
      <c r="L246">
        <v>0</v>
      </c>
      <c r="M246">
        <v>0</v>
      </c>
      <c r="N246">
        <v>2750</v>
      </c>
    </row>
    <row r="247" spans="1:14" x14ac:dyDescent="0.25">
      <c r="A247">
        <v>14.399032</v>
      </c>
      <c r="B247" s="1">
        <f>DATE(2010,5,15) + TIME(9,34,36)</f>
        <v>40313.399027777778</v>
      </c>
      <c r="C247">
        <v>80</v>
      </c>
      <c r="D247">
        <v>79.951965332</v>
      </c>
      <c r="E247">
        <v>60</v>
      </c>
      <c r="F247">
        <v>14.999572754000001</v>
      </c>
      <c r="G247">
        <v>1342.3703613</v>
      </c>
      <c r="H247">
        <v>1339.4735106999999</v>
      </c>
      <c r="I247">
        <v>1320.1654053</v>
      </c>
      <c r="J247">
        <v>1315.6345214999999</v>
      </c>
      <c r="K247">
        <v>2750</v>
      </c>
      <c r="L247">
        <v>0</v>
      </c>
      <c r="M247">
        <v>0</v>
      </c>
      <c r="N247">
        <v>2750</v>
      </c>
    </row>
    <row r="248" spans="1:14" x14ac:dyDescent="0.25">
      <c r="A248">
        <v>14.49151</v>
      </c>
      <c r="B248" s="1">
        <f>DATE(2010,5,15) + TIME(11,47,46)</f>
        <v>40313.49150462963</v>
      </c>
      <c r="C248">
        <v>80</v>
      </c>
      <c r="D248">
        <v>79.951950073000006</v>
      </c>
      <c r="E248">
        <v>60</v>
      </c>
      <c r="F248">
        <v>14.999572754000001</v>
      </c>
      <c r="G248">
        <v>1342.3648682</v>
      </c>
      <c r="H248">
        <v>1339.4693603999999</v>
      </c>
      <c r="I248">
        <v>1320.1656493999999</v>
      </c>
      <c r="J248">
        <v>1315.6346435999999</v>
      </c>
      <c r="K248">
        <v>2750</v>
      </c>
      <c r="L248">
        <v>0</v>
      </c>
      <c r="M248">
        <v>0</v>
      </c>
      <c r="N248">
        <v>2750</v>
      </c>
    </row>
    <row r="249" spans="1:14" x14ac:dyDescent="0.25">
      <c r="A249">
        <v>14.583989000000001</v>
      </c>
      <c r="B249" s="1">
        <f>DATE(2010,5,15) + TIME(14,0,56)</f>
        <v>40313.583981481483</v>
      </c>
      <c r="C249">
        <v>80</v>
      </c>
      <c r="D249">
        <v>79.951927185000002</v>
      </c>
      <c r="E249">
        <v>60</v>
      </c>
      <c r="F249">
        <v>14.999573708</v>
      </c>
      <c r="G249">
        <v>1342.3592529</v>
      </c>
      <c r="H249">
        <v>1339.4652100000001</v>
      </c>
      <c r="I249">
        <v>1320.1657714999999</v>
      </c>
      <c r="J249">
        <v>1315.6348877</v>
      </c>
      <c r="K249">
        <v>2750</v>
      </c>
      <c r="L249">
        <v>0</v>
      </c>
      <c r="M249">
        <v>0</v>
      </c>
      <c r="N249">
        <v>2750</v>
      </c>
    </row>
    <row r="250" spans="1:14" x14ac:dyDescent="0.25">
      <c r="A250">
        <v>14.676467000000001</v>
      </c>
      <c r="B250" s="1">
        <f>DATE(2010,5,15) + TIME(16,14,6)</f>
        <v>40313.676458333335</v>
      </c>
      <c r="C250">
        <v>80</v>
      </c>
      <c r="D250">
        <v>79.951911925999994</v>
      </c>
      <c r="E250">
        <v>60</v>
      </c>
      <c r="F250">
        <v>14.999574661</v>
      </c>
      <c r="G250">
        <v>1342.3537598</v>
      </c>
      <c r="H250">
        <v>1339.4610596</v>
      </c>
      <c r="I250">
        <v>1320.1660156</v>
      </c>
      <c r="J250">
        <v>1315.6350098</v>
      </c>
      <c r="K250">
        <v>2750</v>
      </c>
      <c r="L250">
        <v>0</v>
      </c>
      <c r="M250">
        <v>0</v>
      </c>
      <c r="N250">
        <v>2750</v>
      </c>
    </row>
    <row r="251" spans="1:14" x14ac:dyDescent="0.25">
      <c r="A251">
        <v>14.768945</v>
      </c>
      <c r="B251" s="1">
        <f>DATE(2010,5,15) + TIME(18,27,16)</f>
        <v>40313.768935185188</v>
      </c>
      <c r="C251">
        <v>80</v>
      </c>
      <c r="D251">
        <v>79.951896667</v>
      </c>
      <c r="E251">
        <v>60</v>
      </c>
      <c r="F251">
        <v>14.999575614999999</v>
      </c>
      <c r="G251">
        <v>1342.3482666</v>
      </c>
      <c r="H251">
        <v>1339.4570312000001</v>
      </c>
      <c r="I251">
        <v>1320.1662598</v>
      </c>
      <c r="J251">
        <v>1315.6352539</v>
      </c>
      <c r="K251">
        <v>2750</v>
      </c>
      <c r="L251">
        <v>0</v>
      </c>
      <c r="M251">
        <v>0</v>
      </c>
      <c r="N251">
        <v>2750</v>
      </c>
    </row>
    <row r="252" spans="1:14" x14ac:dyDescent="0.25">
      <c r="A252">
        <v>14.861423</v>
      </c>
      <c r="B252" s="1">
        <f>DATE(2010,5,15) + TIME(20,40,26)</f>
        <v>40313.86141203704</v>
      </c>
      <c r="C252">
        <v>80</v>
      </c>
      <c r="D252">
        <v>79.951873778999996</v>
      </c>
      <c r="E252">
        <v>60</v>
      </c>
      <c r="F252">
        <v>14.999576569</v>
      </c>
      <c r="G252">
        <v>1342.3428954999999</v>
      </c>
      <c r="H252">
        <v>1339.4530029</v>
      </c>
      <c r="I252">
        <v>1320.1665039</v>
      </c>
      <c r="J252">
        <v>1315.635376</v>
      </c>
      <c r="K252">
        <v>2750</v>
      </c>
      <c r="L252">
        <v>0</v>
      </c>
      <c r="M252">
        <v>0</v>
      </c>
      <c r="N252">
        <v>2750</v>
      </c>
    </row>
    <row r="253" spans="1:14" x14ac:dyDescent="0.25">
      <c r="A253">
        <v>14.953901</v>
      </c>
      <c r="B253" s="1">
        <f>DATE(2010,5,15) + TIME(22,53,37)</f>
        <v>40313.953900462962</v>
      </c>
      <c r="C253">
        <v>80</v>
      </c>
      <c r="D253">
        <v>79.951858521000005</v>
      </c>
      <c r="E253">
        <v>60</v>
      </c>
      <c r="F253">
        <v>14.999577521999999</v>
      </c>
      <c r="G253">
        <v>1342.3374022999999</v>
      </c>
      <c r="H253">
        <v>1339.4489745999999</v>
      </c>
      <c r="I253">
        <v>1320.166626</v>
      </c>
      <c r="J253">
        <v>1315.6354980000001</v>
      </c>
      <c r="K253">
        <v>2750</v>
      </c>
      <c r="L253">
        <v>0</v>
      </c>
      <c r="M253">
        <v>0</v>
      </c>
      <c r="N253">
        <v>2750</v>
      </c>
    </row>
    <row r="254" spans="1:14" x14ac:dyDescent="0.25">
      <c r="A254">
        <v>15.046379</v>
      </c>
      <c r="B254" s="1">
        <f>DATE(2010,5,16) + TIME(1,6,47)</f>
        <v>40314.046377314815</v>
      </c>
      <c r="C254">
        <v>80</v>
      </c>
      <c r="D254">
        <v>79.951843261999997</v>
      </c>
      <c r="E254">
        <v>60</v>
      </c>
      <c r="F254">
        <v>14.999578476</v>
      </c>
      <c r="G254">
        <v>1342.3320312000001</v>
      </c>
      <c r="H254">
        <v>1339.4449463000001</v>
      </c>
      <c r="I254">
        <v>1320.1668701000001</v>
      </c>
      <c r="J254">
        <v>1315.6357422000001</v>
      </c>
      <c r="K254">
        <v>2750</v>
      </c>
      <c r="L254">
        <v>0</v>
      </c>
      <c r="M254">
        <v>0</v>
      </c>
      <c r="N254">
        <v>2750</v>
      </c>
    </row>
    <row r="255" spans="1:14" x14ac:dyDescent="0.25">
      <c r="A255">
        <v>15.138857</v>
      </c>
      <c r="B255" s="1">
        <f>DATE(2010,5,16) + TIME(3,19,57)</f>
        <v>40314.138854166667</v>
      </c>
      <c r="C255">
        <v>80</v>
      </c>
      <c r="D255">
        <v>79.951828003000003</v>
      </c>
      <c r="E255">
        <v>60</v>
      </c>
      <c r="F255">
        <v>14.999579430000001</v>
      </c>
      <c r="G255">
        <v>1342.3266602000001</v>
      </c>
      <c r="H255">
        <v>1339.440918</v>
      </c>
      <c r="I255">
        <v>1320.1671143000001</v>
      </c>
      <c r="J255">
        <v>1315.6358643000001</v>
      </c>
      <c r="K255">
        <v>2750</v>
      </c>
      <c r="L255">
        <v>0</v>
      </c>
      <c r="M255">
        <v>0</v>
      </c>
      <c r="N255">
        <v>2750</v>
      </c>
    </row>
    <row r="256" spans="1:14" x14ac:dyDescent="0.25">
      <c r="A256">
        <v>15.231335</v>
      </c>
      <c r="B256" s="1">
        <f>DATE(2010,5,16) + TIME(5,33,7)</f>
        <v>40314.23133101852</v>
      </c>
      <c r="C256">
        <v>80</v>
      </c>
      <c r="D256">
        <v>79.951812743999994</v>
      </c>
      <c r="E256">
        <v>60</v>
      </c>
      <c r="F256">
        <v>14.999580383</v>
      </c>
      <c r="G256">
        <v>1342.3214111</v>
      </c>
      <c r="H256">
        <v>1339.4370117000001</v>
      </c>
      <c r="I256">
        <v>1320.1673584</v>
      </c>
      <c r="J256">
        <v>1315.6361084</v>
      </c>
      <c r="K256">
        <v>2750</v>
      </c>
      <c r="L256">
        <v>0</v>
      </c>
      <c r="M256">
        <v>0</v>
      </c>
      <c r="N256">
        <v>2750</v>
      </c>
    </row>
    <row r="257" spans="1:14" x14ac:dyDescent="0.25">
      <c r="A257">
        <v>15.416292</v>
      </c>
      <c r="B257" s="1">
        <f>DATE(2010,5,16) + TIME(9,59,27)</f>
        <v>40314.416284722225</v>
      </c>
      <c r="C257">
        <v>80</v>
      </c>
      <c r="D257">
        <v>79.951789856000005</v>
      </c>
      <c r="E257">
        <v>60</v>
      </c>
      <c r="F257">
        <v>14.999581337</v>
      </c>
      <c r="G257">
        <v>1342.3162841999999</v>
      </c>
      <c r="H257">
        <v>1339.4333495999999</v>
      </c>
      <c r="I257">
        <v>1320.1676024999999</v>
      </c>
      <c r="J257">
        <v>1315.6363524999999</v>
      </c>
      <c r="K257">
        <v>2750</v>
      </c>
      <c r="L257">
        <v>0</v>
      </c>
      <c r="M257">
        <v>0</v>
      </c>
      <c r="N257">
        <v>2750</v>
      </c>
    </row>
    <row r="258" spans="1:14" x14ac:dyDescent="0.25">
      <c r="A258">
        <v>15.601495999999999</v>
      </c>
      <c r="B258" s="1">
        <f>DATE(2010,5,16) + TIME(14,26,9)</f>
        <v>40314.601493055554</v>
      </c>
      <c r="C258">
        <v>80</v>
      </c>
      <c r="D258">
        <v>79.951759338000002</v>
      </c>
      <c r="E258">
        <v>60</v>
      </c>
      <c r="F258">
        <v>14.999583244</v>
      </c>
      <c r="G258">
        <v>1342.3057861</v>
      </c>
      <c r="H258">
        <v>1339.4255370999999</v>
      </c>
      <c r="I258">
        <v>1320.1679687999999</v>
      </c>
      <c r="J258">
        <v>1315.6365966999999</v>
      </c>
      <c r="K258">
        <v>2750</v>
      </c>
      <c r="L258">
        <v>0</v>
      </c>
      <c r="M258">
        <v>0</v>
      </c>
      <c r="N258">
        <v>2750</v>
      </c>
    </row>
    <row r="259" spans="1:14" x14ac:dyDescent="0.25">
      <c r="A259">
        <v>15.788427</v>
      </c>
      <c r="B259" s="1">
        <f>DATE(2010,5,16) + TIME(18,55,20)</f>
        <v>40314.788425925923</v>
      </c>
      <c r="C259">
        <v>80</v>
      </c>
      <c r="D259">
        <v>79.951728821000003</v>
      </c>
      <c r="E259">
        <v>60</v>
      </c>
      <c r="F259">
        <v>14.999584198000001</v>
      </c>
      <c r="G259">
        <v>1342.2954102000001</v>
      </c>
      <c r="H259">
        <v>1339.4179687999999</v>
      </c>
      <c r="I259">
        <v>1320.168457</v>
      </c>
      <c r="J259">
        <v>1315.6369629000001</v>
      </c>
      <c r="K259">
        <v>2750</v>
      </c>
      <c r="L259">
        <v>0</v>
      </c>
      <c r="M259">
        <v>0</v>
      </c>
      <c r="N259">
        <v>2750</v>
      </c>
    </row>
    <row r="260" spans="1:14" x14ac:dyDescent="0.25">
      <c r="A260">
        <v>15.977434000000001</v>
      </c>
      <c r="B260" s="1">
        <f>DATE(2010,5,16) + TIME(23,27,30)</f>
        <v>40314.977430555555</v>
      </c>
      <c r="C260">
        <v>80</v>
      </c>
      <c r="D260">
        <v>79.951698303000001</v>
      </c>
      <c r="E260">
        <v>60</v>
      </c>
      <c r="F260">
        <v>14.999586105000001</v>
      </c>
      <c r="G260">
        <v>1342.2850341999999</v>
      </c>
      <c r="H260">
        <v>1339.4102783000001</v>
      </c>
      <c r="I260">
        <v>1320.1689452999999</v>
      </c>
      <c r="J260">
        <v>1315.6373291</v>
      </c>
      <c r="K260">
        <v>2750</v>
      </c>
      <c r="L260">
        <v>0</v>
      </c>
      <c r="M260">
        <v>0</v>
      </c>
      <c r="N260">
        <v>2750</v>
      </c>
    </row>
    <row r="261" spans="1:14" x14ac:dyDescent="0.25">
      <c r="A261">
        <v>16.168918000000001</v>
      </c>
      <c r="B261" s="1">
        <f>DATE(2010,5,17) + TIME(4,3,14)</f>
        <v>40315.168912037036</v>
      </c>
      <c r="C261">
        <v>80</v>
      </c>
      <c r="D261">
        <v>79.951667786000002</v>
      </c>
      <c r="E261">
        <v>60</v>
      </c>
      <c r="F261">
        <v>14.999587059</v>
      </c>
      <c r="G261">
        <v>1342.2746582</v>
      </c>
      <c r="H261">
        <v>1339.4027100000001</v>
      </c>
      <c r="I261">
        <v>1320.1693115</v>
      </c>
      <c r="J261">
        <v>1315.6376952999999</v>
      </c>
      <c r="K261">
        <v>2750</v>
      </c>
      <c r="L261">
        <v>0</v>
      </c>
      <c r="M261">
        <v>0</v>
      </c>
      <c r="N261">
        <v>2750</v>
      </c>
    </row>
    <row r="262" spans="1:14" x14ac:dyDescent="0.25">
      <c r="A262">
        <v>16.363292999999999</v>
      </c>
      <c r="B262" s="1">
        <f>DATE(2010,5,17) + TIME(8,43,8)</f>
        <v>40315.363287037035</v>
      </c>
      <c r="C262">
        <v>80</v>
      </c>
      <c r="D262">
        <v>79.951637267999999</v>
      </c>
      <c r="E262">
        <v>60</v>
      </c>
      <c r="F262">
        <v>14.999588965999999</v>
      </c>
      <c r="G262">
        <v>1342.2642822</v>
      </c>
      <c r="H262">
        <v>1339.3950195</v>
      </c>
      <c r="I262">
        <v>1320.1697998</v>
      </c>
      <c r="J262">
        <v>1315.6380615</v>
      </c>
      <c r="K262">
        <v>2750</v>
      </c>
      <c r="L262">
        <v>0</v>
      </c>
      <c r="M262">
        <v>0</v>
      </c>
      <c r="N262">
        <v>2750</v>
      </c>
    </row>
    <row r="263" spans="1:14" x14ac:dyDescent="0.25">
      <c r="A263">
        <v>16.561063999999998</v>
      </c>
      <c r="B263" s="1">
        <f>DATE(2010,5,17) + TIME(13,27,55)</f>
        <v>40315.561053240737</v>
      </c>
      <c r="C263">
        <v>80</v>
      </c>
      <c r="D263">
        <v>79.951606749999996</v>
      </c>
      <c r="E263">
        <v>60</v>
      </c>
      <c r="F263">
        <v>14.999590874000001</v>
      </c>
      <c r="G263">
        <v>1342.2537841999999</v>
      </c>
      <c r="H263">
        <v>1339.3873291</v>
      </c>
      <c r="I263">
        <v>1320.1702881000001</v>
      </c>
      <c r="J263">
        <v>1315.6384277</v>
      </c>
      <c r="K263">
        <v>2750</v>
      </c>
      <c r="L263">
        <v>0</v>
      </c>
      <c r="M263">
        <v>0</v>
      </c>
      <c r="N263">
        <v>2750</v>
      </c>
    </row>
    <row r="264" spans="1:14" x14ac:dyDescent="0.25">
      <c r="A264">
        <v>16.762656</v>
      </c>
      <c r="B264" s="1">
        <f>DATE(2010,5,17) + TIME(18,18,13)</f>
        <v>40315.762650462966</v>
      </c>
      <c r="C264">
        <v>80</v>
      </c>
      <c r="D264">
        <v>79.951576232999997</v>
      </c>
      <c r="E264">
        <v>60</v>
      </c>
      <c r="F264">
        <v>14.999591827</v>
      </c>
      <c r="G264">
        <v>1342.2432861</v>
      </c>
      <c r="H264">
        <v>1339.3796387</v>
      </c>
      <c r="I264">
        <v>1320.1707764</v>
      </c>
      <c r="J264">
        <v>1315.6387939000001</v>
      </c>
      <c r="K264">
        <v>2750</v>
      </c>
      <c r="L264">
        <v>0</v>
      </c>
      <c r="M264">
        <v>0</v>
      </c>
      <c r="N264">
        <v>2750</v>
      </c>
    </row>
    <row r="265" spans="1:14" x14ac:dyDescent="0.25">
      <c r="A265">
        <v>16.96855</v>
      </c>
      <c r="B265" s="1">
        <f>DATE(2010,5,17) + TIME(23,14,42)</f>
        <v>40315.968541666669</v>
      </c>
      <c r="C265">
        <v>80</v>
      </c>
      <c r="D265">
        <v>79.951545714999995</v>
      </c>
      <c r="E265">
        <v>60</v>
      </c>
      <c r="F265">
        <v>14.999593734999999</v>
      </c>
      <c r="G265">
        <v>1342.2326660000001</v>
      </c>
      <c r="H265">
        <v>1339.3719481999999</v>
      </c>
      <c r="I265">
        <v>1320.1712646000001</v>
      </c>
      <c r="J265">
        <v>1315.6392822</v>
      </c>
      <c r="K265">
        <v>2750</v>
      </c>
      <c r="L265">
        <v>0</v>
      </c>
      <c r="M265">
        <v>0</v>
      </c>
      <c r="N265">
        <v>2750</v>
      </c>
    </row>
    <row r="266" spans="1:14" x14ac:dyDescent="0.25">
      <c r="A266">
        <v>17.176345000000001</v>
      </c>
      <c r="B266" s="1">
        <f>DATE(2010,5,18) + TIME(4,13,56)</f>
        <v>40316.176342592589</v>
      </c>
      <c r="C266">
        <v>80</v>
      </c>
      <c r="D266">
        <v>79.951515197999996</v>
      </c>
      <c r="E266">
        <v>60</v>
      </c>
      <c r="F266">
        <v>14.999595641999999</v>
      </c>
      <c r="G266">
        <v>1342.2219238</v>
      </c>
      <c r="H266">
        <v>1339.3640137</v>
      </c>
      <c r="I266">
        <v>1320.1717529</v>
      </c>
      <c r="J266">
        <v>1315.6396483999999</v>
      </c>
      <c r="K266">
        <v>2750</v>
      </c>
      <c r="L266">
        <v>0</v>
      </c>
      <c r="M266">
        <v>0</v>
      </c>
      <c r="N266">
        <v>2750</v>
      </c>
    </row>
    <row r="267" spans="1:14" x14ac:dyDescent="0.25">
      <c r="A267">
        <v>17.281002000000001</v>
      </c>
      <c r="B267" s="1">
        <f>DATE(2010,5,18) + TIME(6,44,38)</f>
        <v>40316.280995370369</v>
      </c>
      <c r="C267">
        <v>80</v>
      </c>
      <c r="D267">
        <v>79.951492310000006</v>
      </c>
      <c r="E267">
        <v>60</v>
      </c>
      <c r="F267">
        <v>14.999596596</v>
      </c>
      <c r="G267">
        <v>1342.2110596</v>
      </c>
      <c r="H267">
        <v>1339.3560791</v>
      </c>
      <c r="I267">
        <v>1320.1721190999999</v>
      </c>
      <c r="J267">
        <v>1315.6400146000001</v>
      </c>
      <c r="K267">
        <v>2750</v>
      </c>
      <c r="L267">
        <v>0</v>
      </c>
      <c r="M267">
        <v>0</v>
      </c>
      <c r="N267">
        <v>2750</v>
      </c>
    </row>
    <row r="268" spans="1:14" x14ac:dyDescent="0.25">
      <c r="A268">
        <v>17.385607</v>
      </c>
      <c r="B268" s="1">
        <f>DATE(2010,5,18) + TIME(9,15,16)</f>
        <v>40316.385601851849</v>
      </c>
      <c r="C268">
        <v>80</v>
      </c>
      <c r="D268">
        <v>79.951469420999999</v>
      </c>
      <c r="E268">
        <v>60</v>
      </c>
      <c r="F268">
        <v>14.999597549000001</v>
      </c>
      <c r="G268">
        <v>1342.2056885</v>
      </c>
      <c r="H268">
        <v>1339.3521728999999</v>
      </c>
      <c r="I268">
        <v>1320.1723632999999</v>
      </c>
      <c r="J268">
        <v>1315.6401367000001</v>
      </c>
      <c r="K268">
        <v>2750</v>
      </c>
      <c r="L268">
        <v>0</v>
      </c>
      <c r="M268">
        <v>0</v>
      </c>
      <c r="N268">
        <v>2750</v>
      </c>
    </row>
    <row r="269" spans="1:14" x14ac:dyDescent="0.25">
      <c r="A269">
        <v>17.489975999999999</v>
      </c>
      <c r="B269" s="1">
        <f>DATE(2010,5,18) + TIME(11,45,33)</f>
        <v>40316.489965277775</v>
      </c>
      <c r="C269">
        <v>80</v>
      </c>
      <c r="D269">
        <v>79.951446532999995</v>
      </c>
      <c r="E269">
        <v>60</v>
      </c>
      <c r="F269">
        <v>14.999598503</v>
      </c>
      <c r="G269">
        <v>1342.2004394999999</v>
      </c>
      <c r="H269">
        <v>1339.3482666</v>
      </c>
      <c r="I269">
        <v>1320.1726074000001</v>
      </c>
      <c r="J269">
        <v>1315.6403809000001</v>
      </c>
      <c r="K269">
        <v>2750</v>
      </c>
      <c r="L269">
        <v>0</v>
      </c>
      <c r="M269">
        <v>0</v>
      </c>
      <c r="N269">
        <v>2750</v>
      </c>
    </row>
    <row r="270" spans="1:14" x14ac:dyDescent="0.25">
      <c r="A270">
        <v>17.594163000000002</v>
      </c>
      <c r="B270" s="1">
        <f>DATE(2010,5,18) + TIME(14,15,35)</f>
        <v>40316.594155092593</v>
      </c>
      <c r="C270">
        <v>80</v>
      </c>
      <c r="D270">
        <v>79.951431274000001</v>
      </c>
      <c r="E270">
        <v>60</v>
      </c>
      <c r="F270">
        <v>14.999598503</v>
      </c>
      <c r="G270">
        <v>1342.1951904</v>
      </c>
      <c r="H270">
        <v>1339.3443603999999</v>
      </c>
      <c r="I270">
        <v>1320.1728516000001</v>
      </c>
      <c r="J270">
        <v>1315.640625</v>
      </c>
      <c r="K270">
        <v>2750</v>
      </c>
      <c r="L270">
        <v>0</v>
      </c>
      <c r="M270">
        <v>0</v>
      </c>
      <c r="N270">
        <v>2750</v>
      </c>
    </row>
    <row r="271" spans="1:14" x14ac:dyDescent="0.25">
      <c r="A271">
        <v>17.698225000000001</v>
      </c>
      <c r="B271" s="1">
        <f>DATE(2010,5,18) + TIME(16,45,26)</f>
        <v>40316.698217592595</v>
      </c>
      <c r="C271">
        <v>80</v>
      </c>
      <c r="D271">
        <v>79.951416015999996</v>
      </c>
      <c r="E271">
        <v>60</v>
      </c>
      <c r="F271">
        <v>14.999599457</v>
      </c>
      <c r="G271">
        <v>1342.1899414</v>
      </c>
      <c r="H271">
        <v>1339.3405762</v>
      </c>
      <c r="I271">
        <v>1320.1732178</v>
      </c>
      <c r="J271">
        <v>1315.6407471</v>
      </c>
      <c r="K271">
        <v>2750</v>
      </c>
      <c r="L271">
        <v>0</v>
      </c>
      <c r="M271">
        <v>0</v>
      </c>
      <c r="N271">
        <v>2750</v>
      </c>
    </row>
    <row r="272" spans="1:14" x14ac:dyDescent="0.25">
      <c r="A272">
        <v>17.802192999999999</v>
      </c>
      <c r="B272" s="1">
        <f>DATE(2010,5,18) + TIME(19,15,9)</f>
        <v>40316.802187499998</v>
      </c>
      <c r="C272">
        <v>80</v>
      </c>
      <c r="D272">
        <v>79.951393127000003</v>
      </c>
      <c r="E272">
        <v>60</v>
      </c>
      <c r="F272">
        <v>14.999600409999999</v>
      </c>
      <c r="G272">
        <v>1342.1846923999999</v>
      </c>
      <c r="H272">
        <v>1339.3367920000001</v>
      </c>
      <c r="I272">
        <v>1320.1734618999999</v>
      </c>
      <c r="J272">
        <v>1315.6409911999999</v>
      </c>
      <c r="K272">
        <v>2750</v>
      </c>
      <c r="L272">
        <v>0</v>
      </c>
      <c r="M272">
        <v>0</v>
      </c>
      <c r="N272">
        <v>2750</v>
      </c>
    </row>
    <row r="273" spans="1:14" x14ac:dyDescent="0.25">
      <c r="A273">
        <v>17.906139</v>
      </c>
      <c r="B273" s="1">
        <f>DATE(2010,5,18) + TIME(21,44,50)</f>
        <v>40316.906134259261</v>
      </c>
      <c r="C273">
        <v>80</v>
      </c>
      <c r="D273">
        <v>79.951377868999998</v>
      </c>
      <c r="E273">
        <v>60</v>
      </c>
      <c r="F273">
        <v>14.999601364</v>
      </c>
      <c r="G273">
        <v>1342.1795654</v>
      </c>
      <c r="H273">
        <v>1339.3330077999999</v>
      </c>
      <c r="I273">
        <v>1320.1737060999999</v>
      </c>
      <c r="J273">
        <v>1315.6412353999999</v>
      </c>
      <c r="K273">
        <v>2750</v>
      </c>
      <c r="L273">
        <v>0</v>
      </c>
      <c r="M273">
        <v>0</v>
      </c>
      <c r="N273">
        <v>2750</v>
      </c>
    </row>
    <row r="274" spans="1:14" x14ac:dyDescent="0.25">
      <c r="A274">
        <v>18.010085</v>
      </c>
      <c r="B274" s="1">
        <f>DATE(2010,5,19) + TIME(0,14,31)</f>
        <v>40317.010081018518</v>
      </c>
      <c r="C274">
        <v>80</v>
      </c>
      <c r="D274">
        <v>79.951362610000004</v>
      </c>
      <c r="E274">
        <v>60</v>
      </c>
      <c r="F274">
        <v>14.999602318000001</v>
      </c>
      <c r="G274">
        <v>1342.1744385</v>
      </c>
      <c r="H274">
        <v>1339.3292236</v>
      </c>
      <c r="I274">
        <v>1320.1739502</v>
      </c>
      <c r="J274">
        <v>1315.6413574000001</v>
      </c>
      <c r="K274">
        <v>2750</v>
      </c>
      <c r="L274">
        <v>0</v>
      </c>
      <c r="M274">
        <v>0</v>
      </c>
      <c r="N274">
        <v>2750</v>
      </c>
    </row>
    <row r="275" spans="1:14" x14ac:dyDescent="0.25">
      <c r="A275">
        <v>18.114031000000001</v>
      </c>
      <c r="B275" s="1">
        <f>DATE(2010,5,19) + TIME(2,44,12)</f>
        <v>40317.114027777781</v>
      </c>
      <c r="C275">
        <v>80</v>
      </c>
      <c r="D275">
        <v>79.951347350999995</v>
      </c>
      <c r="E275">
        <v>60</v>
      </c>
      <c r="F275">
        <v>14.999603271</v>
      </c>
      <c r="G275">
        <v>1342.1693115</v>
      </c>
      <c r="H275">
        <v>1339.3255615</v>
      </c>
      <c r="I275">
        <v>1320.1741943</v>
      </c>
      <c r="J275">
        <v>1315.6416016000001</v>
      </c>
      <c r="K275">
        <v>2750</v>
      </c>
      <c r="L275">
        <v>0</v>
      </c>
      <c r="M275">
        <v>0</v>
      </c>
      <c r="N275">
        <v>2750</v>
      </c>
    </row>
    <row r="276" spans="1:14" x14ac:dyDescent="0.25">
      <c r="A276">
        <v>18.217977000000001</v>
      </c>
      <c r="B276" s="1">
        <f>DATE(2010,5,19) + TIME(5,13,53)</f>
        <v>40317.217974537038</v>
      </c>
      <c r="C276">
        <v>80</v>
      </c>
      <c r="D276">
        <v>79.951332092000001</v>
      </c>
      <c r="E276">
        <v>60</v>
      </c>
      <c r="F276">
        <v>14.999604225000001</v>
      </c>
      <c r="G276">
        <v>1342.1643065999999</v>
      </c>
      <c r="H276">
        <v>1339.3217772999999</v>
      </c>
      <c r="I276">
        <v>1320.1744385</v>
      </c>
      <c r="J276">
        <v>1315.6418457</v>
      </c>
      <c r="K276">
        <v>2750</v>
      </c>
      <c r="L276">
        <v>0</v>
      </c>
      <c r="M276">
        <v>0</v>
      </c>
      <c r="N276">
        <v>2750</v>
      </c>
    </row>
    <row r="277" spans="1:14" x14ac:dyDescent="0.25">
      <c r="A277">
        <v>18.321922000000001</v>
      </c>
      <c r="B277" s="1">
        <f>DATE(2010,5,19) + TIME(7,43,34)</f>
        <v>40317.321921296294</v>
      </c>
      <c r="C277">
        <v>80</v>
      </c>
      <c r="D277">
        <v>79.951316833000007</v>
      </c>
      <c r="E277">
        <v>60</v>
      </c>
      <c r="F277">
        <v>14.999604225000001</v>
      </c>
      <c r="G277">
        <v>1342.1591797000001</v>
      </c>
      <c r="H277">
        <v>1339.3181152</v>
      </c>
      <c r="I277">
        <v>1320.1746826000001</v>
      </c>
      <c r="J277">
        <v>1315.6419678</v>
      </c>
      <c r="K277">
        <v>2750</v>
      </c>
      <c r="L277">
        <v>0</v>
      </c>
      <c r="M277">
        <v>0</v>
      </c>
      <c r="N277">
        <v>2750</v>
      </c>
    </row>
    <row r="278" spans="1:14" x14ac:dyDescent="0.25">
      <c r="A278">
        <v>18.425868000000001</v>
      </c>
      <c r="B278" s="1">
        <f>DATE(2010,5,19) + TIME(10,13,15)</f>
        <v>40317.425868055558</v>
      </c>
      <c r="C278">
        <v>80</v>
      </c>
      <c r="D278">
        <v>79.951301575000002</v>
      </c>
      <c r="E278">
        <v>60</v>
      </c>
      <c r="F278">
        <v>14.999605179</v>
      </c>
      <c r="G278">
        <v>1342.1541748</v>
      </c>
      <c r="H278">
        <v>1339.3144531</v>
      </c>
      <c r="I278">
        <v>1320.1749268000001</v>
      </c>
      <c r="J278">
        <v>1315.6422118999999</v>
      </c>
      <c r="K278">
        <v>2750</v>
      </c>
      <c r="L278">
        <v>0</v>
      </c>
      <c r="M278">
        <v>0</v>
      </c>
      <c r="N278">
        <v>2750</v>
      </c>
    </row>
    <row r="279" spans="1:14" x14ac:dyDescent="0.25">
      <c r="A279">
        <v>18.633759999999999</v>
      </c>
      <c r="B279" s="1">
        <f>DATE(2010,5,19) + TIME(15,12,36)</f>
        <v>40317.633750000001</v>
      </c>
      <c r="C279">
        <v>80</v>
      </c>
      <c r="D279">
        <v>79.951278686999999</v>
      </c>
      <c r="E279">
        <v>60</v>
      </c>
      <c r="F279">
        <v>14.999607085999999</v>
      </c>
      <c r="G279">
        <v>1342.1494141000001</v>
      </c>
      <c r="H279">
        <v>1339.3110352000001</v>
      </c>
      <c r="I279">
        <v>1320.1751709</v>
      </c>
      <c r="J279">
        <v>1315.6424560999999</v>
      </c>
      <c r="K279">
        <v>2750</v>
      </c>
      <c r="L279">
        <v>0</v>
      </c>
      <c r="M279">
        <v>0</v>
      </c>
      <c r="N279">
        <v>2750</v>
      </c>
    </row>
    <row r="280" spans="1:14" x14ac:dyDescent="0.25">
      <c r="A280">
        <v>18.841746000000001</v>
      </c>
      <c r="B280" s="1">
        <f>DATE(2010,5,19) + TIME(20,12,6)</f>
        <v>40317.841736111113</v>
      </c>
      <c r="C280">
        <v>80</v>
      </c>
      <c r="D280">
        <v>79.951248168999996</v>
      </c>
      <c r="E280">
        <v>60</v>
      </c>
      <c r="F280">
        <v>14.99960804</v>
      </c>
      <c r="G280">
        <v>1342.1394043</v>
      </c>
      <c r="H280">
        <v>1339.3038329999999</v>
      </c>
      <c r="I280">
        <v>1320.1756591999999</v>
      </c>
      <c r="J280">
        <v>1315.6428223</v>
      </c>
      <c r="K280">
        <v>2750</v>
      </c>
      <c r="L280">
        <v>0</v>
      </c>
      <c r="M280">
        <v>0</v>
      </c>
      <c r="N280">
        <v>2750</v>
      </c>
    </row>
    <row r="281" spans="1:14" x14ac:dyDescent="0.25">
      <c r="A281">
        <v>19.051459999999999</v>
      </c>
      <c r="B281" s="1">
        <f>DATE(2010,5,20) + TIME(1,14,6)</f>
        <v>40318.051458333335</v>
      </c>
      <c r="C281">
        <v>80</v>
      </c>
      <c r="D281">
        <v>79.951225281000006</v>
      </c>
      <c r="E281">
        <v>60</v>
      </c>
      <c r="F281">
        <v>14.999609947</v>
      </c>
      <c r="G281">
        <v>1342.1296387</v>
      </c>
      <c r="H281">
        <v>1339.2967529</v>
      </c>
      <c r="I281">
        <v>1320.1762695</v>
      </c>
      <c r="J281">
        <v>1315.6433105000001</v>
      </c>
      <c r="K281">
        <v>2750</v>
      </c>
      <c r="L281">
        <v>0</v>
      </c>
      <c r="M281">
        <v>0</v>
      </c>
      <c r="N281">
        <v>2750</v>
      </c>
    </row>
    <row r="282" spans="1:14" x14ac:dyDescent="0.25">
      <c r="A282">
        <v>19.263286999999998</v>
      </c>
      <c r="B282" s="1">
        <f>DATE(2010,5,20) + TIME(6,19,7)</f>
        <v>40318.263275462959</v>
      </c>
      <c r="C282">
        <v>80</v>
      </c>
      <c r="D282">
        <v>79.951194763000004</v>
      </c>
      <c r="E282">
        <v>60</v>
      </c>
      <c r="F282">
        <v>14.999610901</v>
      </c>
      <c r="G282">
        <v>1342.1198730000001</v>
      </c>
      <c r="H282">
        <v>1339.2896728999999</v>
      </c>
      <c r="I282">
        <v>1320.1767577999999</v>
      </c>
      <c r="J282">
        <v>1315.6436768000001</v>
      </c>
      <c r="K282">
        <v>2750</v>
      </c>
      <c r="L282">
        <v>0</v>
      </c>
      <c r="M282">
        <v>0</v>
      </c>
      <c r="N282">
        <v>2750</v>
      </c>
    </row>
    <row r="283" spans="1:14" x14ac:dyDescent="0.25">
      <c r="A283">
        <v>19.477630999999999</v>
      </c>
      <c r="B283" s="1">
        <f>DATE(2010,5,20) + TIME(11,27,47)</f>
        <v>40318.477627314816</v>
      </c>
      <c r="C283">
        <v>80</v>
      </c>
      <c r="D283">
        <v>79.951164246000005</v>
      </c>
      <c r="E283">
        <v>60</v>
      </c>
      <c r="F283">
        <v>14.999612808</v>
      </c>
      <c r="G283">
        <v>1342.1099853999999</v>
      </c>
      <c r="H283">
        <v>1339.2825928</v>
      </c>
      <c r="I283">
        <v>1320.1772461</v>
      </c>
      <c r="J283">
        <v>1315.644043</v>
      </c>
      <c r="K283">
        <v>2750</v>
      </c>
      <c r="L283">
        <v>0</v>
      </c>
      <c r="M283">
        <v>0</v>
      </c>
      <c r="N283">
        <v>2750</v>
      </c>
    </row>
    <row r="284" spans="1:14" x14ac:dyDescent="0.25">
      <c r="A284">
        <v>19.694918999999999</v>
      </c>
      <c r="B284" s="1">
        <f>DATE(2010,5,20) + TIME(16,40,40)</f>
        <v>40318.694907407407</v>
      </c>
      <c r="C284">
        <v>80</v>
      </c>
      <c r="D284">
        <v>79.951141356999997</v>
      </c>
      <c r="E284">
        <v>60</v>
      </c>
      <c r="F284">
        <v>14.999613761999999</v>
      </c>
      <c r="G284">
        <v>1342.1002197</v>
      </c>
      <c r="H284">
        <v>1339.2755127</v>
      </c>
      <c r="I284">
        <v>1320.1777344</v>
      </c>
      <c r="J284">
        <v>1315.6445312000001</v>
      </c>
      <c r="K284">
        <v>2750</v>
      </c>
      <c r="L284">
        <v>0</v>
      </c>
      <c r="M284">
        <v>0</v>
      </c>
      <c r="N284">
        <v>2750</v>
      </c>
    </row>
    <row r="285" spans="1:14" x14ac:dyDescent="0.25">
      <c r="A285">
        <v>19.915611999999999</v>
      </c>
      <c r="B285" s="1">
        <f>DATE(2010,5,20) + TIME(21,58,28)</f>
        <v>40318.915601851855</v>
      </c>
      <c r="C285">
        <v>80</v>
      </c>
      <c r="D285">
        <v>79.951110839999998</v>
      </c>
      <c r="E285">
        <v>60</v>
      </c>
      <c r="F285">
        <v>14.999615669000001</v>
      </c>
      <c r="G285">
        <v>1342.090332</v>
      </c>
      <c r="H285">
        <v>1339.2684326000001</v>
      </c>
      <c r="I285">
        <v>1320.1783447</v>
      </c>
      <c r="J285">
        <v>1315.6448975000001</v>
      </c>
      <c r="K285">
        <v>2750</v>
      </c>
      <c r="L285">
        <v>0</v>
      </c>
      <c r="M285">
        <v>0</v>
      </c>
      <c r="N285">
        <v>2750</v>
      </c>
    </row>
    <row r="286" spans="1:14" x14ac:dyDescent="0.25">
      <c r="A286">
        <v>20.140312000000002</v>
      </c>
      <c r="B286" s="1">
        <f>DATE(2010,5,21) + TIME(3,22,2)</f>
        <v>40319.140300925923</v>
      </c>
      <c r="C286">
        <v>80</v>
      </c>
      <c r="D286">
        <v>79.951080321999996</v>
      </c>
      <c r="E286">
        <v>60</v>
      </c>
      <c r="F286">
        <v>14.999616623</v>
      </c>
      <c r="G286">
        <v>1342.0804443</v>
      </c>
      <c r="H286">
        <v>1339.2612305</v>
      </c>
      <c r="I286">
        <v>1320.1788329999999</v>
      </c>
      <c r="J286">
        <v>1315.6453856999999</v>
      </c>
      <c r="K286">
        <v>2750</v>
      </c>
      <c r="L286">
        <v>0</v>
      </c>
      <c r="M286">
        <v>0</v>
      </c>
      <c r="N286">
        <v>2750</v>
      </c>
    </row>
    <row r="287" spans="1:14" x14ac:dyDescent="0.25">
      <c r="A287">
        <v>20.369503999999999</v>
      </c>
      <c r="B287" s="1">
        <f>DATE(2010,5,21) + TIME(8,52,5)</f>
        <v>40319.369502314818</v>
      </c>
      <c r="C287">
        <v>80</v>
      </c>
      <c r="D287">
        <v>79.951049804999997</v>
      </c>
      <c r="E287">
        <v>60</v>
      </c>
      <c r="F287">
        <v>14.999618529999999</v>
      </c>
      <c r="G287">
        <v>1342.0704346</v>
      </c>
      <c r="H287">
        <v>1339.2540283000001</v>
      </c>
      <c r="I287">
        <v>1320.1794434000001</v>
      </c>
      <c r="J287">
        <v>1315.6457519999999</v>
      </c>
      <c r="K287">
        <v>2750</v>
      </c>
      <c r="L287">
        <v>0</v>
      </c>
      <c r="M287">
        <v>0</v>
      </c>
      <c r="N287">
        <v>2750</v>
      </c>
    </row>
    <row r="288" spans="1:14" x14ac:dyDescent="0.25">
      <c r="A288">
        <v>20.485257000000001</v>
      </c>
      <c r="B288" s="1">
        <f>DATE(2010,5,21) + TIME(11,38,46)</f>
        <v>40319.485254629632</v>
      </c>
      <c r="C288">
        <v>80</v>
      </c>
      <c r="D288">
        <v>79.951026916999993</v>
      </c>
      <c r="E288">
        <v>60</v>
      </c>
      <c r="F288">
        <v>14.999619484</v>
      </c>
      <c r="G288">
        <v>1342.0603027</v>
      </c>
      <c r="H288">
        <v>1339.2467041</v>
      </c>
      <c r="I288">
        <v>1320.1799315999999</v>
      </c>
      <c r="J288">
        <v>1315.6462402</v>
      </c>
      <c r="K288">
        <v>2750</v>
      </c>
      <c r="L288">
        <v>0</v>
      </c>
      <c r="M288">
        <v>0</v>
      </c>
      <c r="N288">
        <v>2750</v>
      </c>
    </row>
    <row r="289" spans="1:14" x14ac:dyDescent="0.25">
      <c r="A289">
        <v>20.601011</v>
      </c>
      <c r="B289" s="1">
        <f>DATE(2010,5,21) + TIME(14,25,27)</f>
        <v>40319.601006944446</v>
      </c>
      <c r="C289">
        <v>80</v>
      </c>
      <c r="D289">
        <v>79.951004028</v>
      </c>
      <c r="E289">
        <v>60</v>
      </c>
      <c r="F289">
        <v>14.999620438000001</v>
      </c>
      <c r="G289">
        <v>1342.0551757999999</v>
      </c>
      <c r="H289">
        <v>1339.2429199000001</v>
      </c>
      <c r="I289">
        <v>1320.1801757999999</v>
      </c>
      <c r="J289">
        <v>1315.6464844</v>
      </c>
      <c r="K289">
        <v>2750</v>
      </c>
      <c r="L289">
        <v>0</v>
      </c>
      <c r="M289">
        <v>0</v>
      </c>
      <c r="N289">
        <v>2750</v>
      </c>
    </row>
    <row r="290" spans="1:14" x14ac:dyDescent="0.25">
      <c r="A290">
        <v>20.716764000000001</v>
      </c>
      <c r="B290" s="1">
        <f>DATE(2010,5,21) + TIME(17,12,8)</f>
        <v>40319.71675925926</v>
      </c>
      <c r="C290">
        <v>80</v>
      </c>
      <c r="D290">
        <v>79.950988769999995</v>
      </c>
      <c r="E290">
        <v>60</v>
      </c>
      <c r="F290">
        <v>14.999621391</v>
      </c>
      <c r="G290">
        <v>1342.0501709</v>
      </c>
      <c r="H290">
        <v>1339.2393798999999</v>
      </c>
      <c r="I290">
        <v>1320.1805420000001</v>
      </c>
      <c r="J290">
        <v>1315.6467285000001</v>
      </c>
      <c r="K290">
        <v>2750</v>
      </c>
      <c r="L290">
        <v>0</v>
      </c>
      <c r="M290">
        <v>0</v>
      </c>
      <c r="N290">
        <v>2750</v>
      </c>
    </row>
    <row r="291" spans="1:14" x14ac:dyDescent="0.25">
      <c r="A291">
        <v>20.832518</v>
      </c>
      <c r="B291" s="1">
        <f>DATE(2010,5,21) + TIME(19,58,49)</f>
        <v>40319.832511574074</v>
      </c>
      <c r="C291">
        <v>80</v>
      </c>
      <c r="D291">
        <v>79.950973511000001</v>
      </c>
      <c r="E291">
        <v>60</v>
      </c>
      <c r="F291">
        <v>14.999621391</v>
      </c>
      <c r="G291">
        <v>1342.0451660000001</v>
      </c>
      <c r="H291">
        <v>1339.2357178</v>
      </c>
      <c r="I291">
        <v>1320.1807861</v>
      </c>
      <c r="J291">
        <v>1315.6468506000001</v>
      </c>
      <c r="K291">
        <v>2750</v>
      </c>
      <c r="L291">
        <v>0</v>
      </c>
      <c r="M291">
        <v>0</v>
      </c>
      <c r="N291">
        <v>2750</v>
      </c>
    </row>
    <row r="292" spans="1:14" x14ac:dyDescent="0.25">
      <c r="A292">
        <v>20.948271999999999</v>
      </c>
      <c r="B292" s="1">
        <f>DATE(2010,5,21) + TIME(22,45,30)</f>
        <v>40319.948263888888</v>
      </c>
      <c r="C292">
        <v>80</v>
      </c>
      <c r="D292">
        <v>79.950958252000007</v>
      </c>
      <c r="E292">
        <v>60</v>
      </c>
      <c r="F292">
        <v>14.999622345000001</v>
      </c>
      <c r="G292">
        <v>1342.0401611</v>
      </c>
      <c r="H292">
        <v>1339.2321777</v>
      </c>
      <c r="I292">
        <v>1320.1810303</v>
      </c>
      <c r="J292">
        <v>1315.6470947</v>
      </c>
      <c r="K292">
        <v>2750</v>
      </c>
      <c r="L292">
        <v>0</v>
      </c>
      <c r="M292">
        <v>0</v>
      </c>
      <c r="N292">
        <v>2750</v>
      </c>
    </row>
    <row r="293" spans="1:14" x14ac:dyDescent="0.25">
      <c r="A293">
        <v>21.064025000000001</v>
      </c>
      <c r="B293" s="1">
        <f>DATE(2010,5,22) + TIME(1,32,11)</f>
        <v>40320.064016203702</v>
      </c>
      <c r="C293">
        <v>80</v>
      </c>
      <c r="D293">
        <v>79.950935364000003</v>
      </c>
      <c r="E293">
        <v>60</v>
      </c>
      <c r="F293">
        <v>14.999623299</v>
      </c>
      <c r="G293">
        <v>1342.0352783000001</v>
      </c>
      <c r="H293">
        <v>1339.2286377</v>
      </c>
      <c r="I293">
        <v>1320.1813964999999</v>
      </c>
      <c r="J293">
        <v>1315.6473389</v>
      </c>
      <c r="K293">
        <v>2750</v>
      </c>
      <c r="L293">
        <v>0</v>
      </c>
      <c r="M293">
        <v>0</v>
      </c>
      <c r="N293">
        <v>2750</v>
      </c>
    </row>
    <row r="294" spans="1:14" x14ac:dyDescent="0.25">
      <c r="A294">
        <v>21.179779</v>
      </c>
      <c r="B294" s="1">
        <f>DATE(2010,5,22) + TIME(4,18,52)</f>
        <v>40320.179768518516</v>
      </c>
      <c r="C294">
        <v>80</v>
      </c>
      <c r="D294">
        <v>79.950920104999994</v>
      </c>
      <c r="E294">
        <v>60</v>
      </c>
      <c r="F294">
        <v>14.999624252</v>
      </c>
      <c r="G294">
        <v>1342.0302733999999</v>
      </c>
      <c r="H294">
        <v>1339.2249756000001</v>
      </c>
      <c r="I294">
        <v>1320.1816406</v>
      </c>
      <c r="J294">
        <v>1315.6475829999999</v>
      </c>
      <c r="K294">
        <v>2750</v>
      </c>
      <c r="L294">
        <v>0</v>
      </c>
      <c r="M294">
        <v>0</v>
      </c>
      <c r="N294">
        <v>2750</v>
      </c>
    </row>
    <row r="295" spans="1:14" x14ac:dyDescent="0.25">
      <c r="A295">
        <v>21.295532000000001</v>
      </c>
      <c r="B295" s="1">
        <f>DATE(2010,5,22) + TIME(7,5,34)</f>
        <v>40320.295532407406</v>
      </c>
      <c r="C295">
        <v>80</v>
      </c>
      <c r="D295">
        <v>79.950904846</v>
      </c>
      <c r="E295">
        <v>60</v>
      </c>
      <c r="F295">
        <v>14.999625205999999</v>
      </c>
      <c r="G295">
        <v>1342.0253906</v>
      </c>
      <c r="H295">
        <v>1339.2215576000001</v>
      </c>
      <c r="I295">
        <v>1320.1818848</v>
      </c>
      <c r="J295">
        <v>1315.6478271000001</v>
      </c>
      <c r="K295">
        <v>2750</v>
      </c>
      <c r="L295">
        <v>0</v>
      </c>
      <c r="M295">
        <v>0</v>
      </c>
      <c r="N295">
        <v>2750</v>
      </c>
    </row>
    <row r="296" spans="1:14" x14ac:dyDescent="0.25">
      <c r="A296">
        <v>21.411286</v>
      </c>
      <c r="B296" s="1">
        <f>DATE(2010,5,22) + TIME(9,52,15)</f>
        <v>40320.41128472222</v>
      </c>
      <c r="C296">
        <v>80</v>
      </c>
      <c r="D296">
        <v>79.950889587000006</v>
      </c>
      <c r="E296">
        <v>60</v>
      </c>
      <c r="F296">
        <v>14.99962616</v>
      </c>
      <c r="G296">
        <v>1342.0205077999999</v>
      </c>
      <c r="H296">
        <v>1339.2180175999999</v>
      </c>
      <c r="I296">
        <v>1320.182251</v>
      </c>
      <c r="J296">
        <v>1315.6480713000001</v>
      </c>
      <c r="K296">
        <v>2750</v>
      </c>
      <c r="L296">
        <v>0</v>
      </c>
      <c r="M296">
        <v>0</v>
      </c>
      <c r="N296">
        <v>2750</v>
      </c>
    </row>
    <row r="297" spans="1:14" x14ac:dyDescent="0.25">
      <c r="A297">
        <v>21.52704</v>
      </c>
      <c r="B297" s="1">
        <f>DATE(2010,5,22) + TIME(12,38,56)</f>
        <v>40320.527037037034</v>
      </c>
      <c r="C297">
        <v>80</v>
      </c>
      <c r="D297">
        <v>79.950874329000001</v>
      </c>
      <c r="E297">
        <v>60</v>
      </c>
      <c r="F297">
        <v>14.99962616</v>
      </c>
      <c r="G297">
        <v>1342.0157471</v>
      </c>
      <c r="H297">
        <v>1339.2144774999999</v>
      </c>
      <c r="I297">
        <v>1320.1824951000001</v>
      </c>
      <c r="J297">
        <v>1315.6483154</v>
      </c>
      <c r="K297">
        <v>2750</v>
      </c>
      <c r="L297">
        <v>0</v>
      </c>
      <c r="M297">
        <v>0</v>
      </c>
      <c r="N297">
        <v>2750</v>
      </c>
    </row>
    <row r="298" spans="1:14" x14ac:dyDescent="0.25">
      <c r="A298">
        <v>21.642793000000001</v>
      </c>
      <c r="B298" s="1">
        <f>DATE(2010,5,22) + TIME(15,25,37)</f>
        <v>40320.642789351848</v>
      </c>
      <c r="C298">
        <v>80</v>
      </c>
      <c r="D298">
        <v>79.950859070000007</v>
      </c>
      <c r="E298">
        <v>60</v>
      </c>
      <c r="F298">
        <v>14.999627113000001</v>
      </c>
      <c r="G298">
        <v>1342.0108643000001</v>
      </c>
      <c r="H298">
        <v>1339.2110596</v>
      </c>
      <c r="I298">
        <v>1320.1828613</v>
      </c>
      <c r="J298">
        <v>1315.6485596</v>
      </c>
      <c r="K298">
        <v>2750</v>
      </c>
      <c r="L298">
        <v>0</v>
      </c>
      <c r="M298">
        <v>0</v>
      </c>
      <c r="N298">
        <v>2750</v>
      </c>
    </row>
    <row r="299" spans="1:14" x14ac:dyDescent="0.25">
      <c r="A299">
        <v>21.758547</v>
      </c>
      <c r="B299" s="1">
        <f>DATE(2010,5,22) + TIME(18,12,18)</f>
        <v>40320.75854166667</v>
      </c>
      <c r="C299">
        <v>80</v>
      </c>
      <c r="D299">
        <v>79.950851439999994</v>
      </c>
      <c r="E299">
        <v>60</v>
      </c>
      <c r="F299">
        <v>14.999628067</v>
      </c>
      <c r="G299">
        <v>1342.0061035000001</v>
      </c>
      <c r="H299">
        <v>1339.2075195</v>
      </c>
      <c r="I299">
        <v>1320.1831055</v>
      </c>
      <c r="J299">
        <v>1315.6488036999999</v>
      </c>
      <c r="K299">
        <v>2750</v>
      </c>
      <c r="L299">
        <v>0</v>
      </c>
      <c r="M299">
        <v>0</v>
      </c>
      <c r="N299">
        <v>2750</v>
      </c>
    </row>
    <row r="300" spans="1:14" x14ac:dyDescent="0.25">
      <c r="A300">
        <v>21.874300000000002</v>
      </c>
      <c r="B300" s="1">
        <f>DATE(2010,5,22) + TIME(20,58,59)</f>
        <v>40320.874293981484</v>
      </c>
      <c r="C300">
        <v>80</v>
      </c>
      <c r="D300">
        <v>79.950836182000003</v>
      </c>
      <c r="E300">
        <v>60</v>
      </c>
      <c r="F300">
        <v>14.999629021000001</v>
      </c>
      <c r="G300">
        <v>1342.0013428</v>
      </c>
      <c r="H300">
        <v>1339.2041016000001</v>
      </c>
      <c r="I300">
        <v>1320.1833495999999</v>
      </c>
      <c r="J300">
        <v>1315.6489257999999</v>
      </c>
      <c r="K300">
        <v>2750</v>
      </c>
      <c r="L300">
        <v>0</v>
      </c>
      <c r="M300">
        <v>0</v>
      </c>
      <c r="N300">
        <v>2750</v>
      </c>
    </row>
    <row r="301" spans="1:14" x14ac:dyDescent="0.25">
      <c r="A301">
        <v>21.990054000000001</v>
      </c>
      <c r="B301" s="1">
        <f>DATE(2010,5,22) + TIME(23,45,40)</f>
        <v>40320.990046296298</v>
      </c>
      <c r="C301">
        <v>80</v>
      </c>
      <c r="D301">
        <v>79.950820922999995</v>
      </c>
      <c r="E301">
        <v>60</v>
      </c>
      <c r="F301">
        <v>14.999629973999999</v>
      </c>
      <c r="G301">
        <v>1341.996582</v>
      </c>
      <c r="H301">
        <v>1339.2006836</v>
      </c>
      <c r="I301">
        <v>1320.1837158000001</v>
      </c>
      <c r="J301">
        <v>1315.6491699000001</v>
      </c>
      <c r="K301">
        <v>2750</v>
      </c>
      <c r="L301">
        <v>0</v>
      </c>
      <c r="M301">
        <v>0</v>
      </c>
      <c r="N301">
        <v>2750</v>
      </c>
    </row>
    <row r="302" spans="1:14" x14ac:dyDescent="0.25">
      <c r="A302">
        <v>22.105808</v>
      </c>
      <c r="B302" s="1">
        <f>DATE(2010,5,23) + TIME(2,32,21)</f>
        <v>40321.105798611112</v>
      </c>
      <c r="C302">
        <v>80</v>
      </c>
      <c r="D302">
        <v>79.950805664000001</v>
      </c>
      <c r="E302">
        <v>60</v>
      </c>
      <c r="F302">
        <v>14.999629973999999</v>
      </c>
      <c r="G302">
        <v>1341.9918213000001</v>
      </c>
      <c r="H302">
        <v>1339.1972656</v>
      </c>
      <c r="I302">
        <v>1320.1839600000001</v>
      </c>
      <c r="J302">
        <v>1315.6494141000001</v>
      </c>
      <c r="K302">
        <v>2750</v>
      </c>
      <c r="L302">
        <v>0</v>
      </c>
      <c r="M302">
        <v>0</v>
      </c>
      <c r="N302">
        <v>2750</v>
      </c>
    </row>
    <row r="303" spans="1:14" x14ac:dyDescent="0.25">
      <c r="A303">
        <v>22.221561000000001</v>
      </c>
      <c r="B303" s="1">
        <f>DATE(2010,5,23) + TIME(5,19,2)</f>
        <v>40321.221550925926</v>
      </c>
      <c r="C303">
        <v>80</v>
      </c>
      <c r="D303">
        <v>79.950790405000006</v>
      </c>
      <c r="E303">
        <v>60</v>
      </c>
      <c r="F303">
        <v>14.999630928</v>
      </c>
      <c r="G303">
        <v>1341.9870605000001</v>
      </c>
      <c r="H303">
        <v>1339.1938477000001</v>
      </c>
      <c r="I303">
        <v>1320.1842041</v>
      </c>
      <c r="J303">
        <v>1315.6496582</v>
      </c>
      <c r="K303">
        <v>2750</v>
      </c>
      <c r="L303">
        <v>0</v>
      </c>
      <c r="M303">
        <v>0</v>
      </c>
      <c r="N303">
        <v>2750</v>
      </c>
    </row>
    <row r="304" spans="1:14" x14ac:dyDescent="0.25">
      <c r="A304">
        <v>22.337315</v>
      </c>
      <c r="B304" s="1">
        <f>DATE(2010,5,23) + TIME(8,5,44)</f>
        <v>40321.337314814817</v>
      </c>
      <c r="C304">
        <v>80</v>
      </c>
      <c r="D304">
        <v>79.950775145999998</v>
      </c>
      <c r="E304">
        <v>60</v>
      </c>
      <c r="F304">
        <v>14.999631881999999</v>
      </c>
      <c r="G304">
        <v>1341.9824219</v>
      </c>
      <c r="H304">
        <v>1339.1905518000001</v>
      </c>
      <c r="I304">
        <v>1320.1845702999999</v>
      </c>
      <c r="J304">
        <v>1315.6499022999999</v>
      </c>
      <c r="K304">
        <v>2750</v>
      </c>
      <c r="L304">
        <v>0</v>
      </c>
      <c r="M304">
        <v>0</v>
      </c>
      <c r="N304">
        <v>2750</v>
      </c>
    </row>
    <row r="305" spans="1:14" x14ac:dyDescent="0.25">
      <c r="A305">
        <v>22.568822000000001</v>
      </c>
      <c r="B305" s="1">
        <f>DATE(2010,5,23) + TIME(13,39,6)</f>
        <v>40321.568819444445</v>
      </c>
      <c r="C305">
        <v>80</v>
      </c>
      <c r="D305">
        <v>79.950759887999993</v>
      </c>
      <c r="E305">
        <v>60</v>
      </c>
      <c r="F305">
        <v>14.999632835</v>
      </c>
      <c r="G305">
        <v>1341.9779053</v>
      </c>
      <c r="H305">
        <v>1339.1872559000001</v>
      </c>
      <c r="I305">
        <v>1320.1849365</v>
      </c>
      <c r="J305">
        <v>1315.6501464999999</v>
      </c>
      <c r="K305">
        <v>2750</v>
      </c>
      <c r="L305">
        <v>0</v>
      </c>
      <c r="M305">
        <v>0</v>
      </c>
      <c r="N305">
        <v>2750</v>
      </c>
    </row>
    <row r="306" spans="1:14" x14ac:dyDescent="0.25">
      <c r="A306">
        <v>22.801113999999998</v>
      </c>
      <c r="B306" s="1">
        <f>DATE(2010,5,23) + TIME(19,13,36)</f>
        <v>40321.801111111112</v>
      </c>
      <c r="C306">
        <v>80</v>
      </c>
      <c r="D306">
        <v>79.950737000000004</v>
      </c>
      <c r="E306">
        <v>60</v>
      </c>
      <c r="F306">
        <v>14.999634743</v>
      </c>
      <c r="G306">
        <v>1341.9686279</v>
      </c>
      <c r="H306">
        <v>1339.1806641000001</v>
      </c>
      <c r="I306">
        <v>1320.1854248</v>
      </c>
      <c r="J306">
        <v>1315.6506348</v>
      </c>
      <c r="K306">
        <v>2750</v>
      </c>
      <c r="L306">
        <v>0</v>
      </c>
      <c r="M306">
        <v>0</v>
      </c>
      <c r="N306">
        <v>2750</v>
      </c>
    </row>
    <row r="307" spans="1:14" x14ac:dyDescent="0.25">
      <c r="A307">
        <v>23.03633</v>
      </c>
      <c r="B307" s="1">
        <f>DATE(2010,5,24) + TIME(0,52,18)</f>
        <v>40322.036319444444</v>
      </c>
      <c r="C307">
        <v>80</v>
      </c>
      <c r="D307">
        <v>79.950714110999996</v>
      </c>
      <c r="E307">
        <v>60</v>
      </c>
      <c r="F307">
        <v>14.999635696</v>
      </c>
      <c r="G307">
        <v>1341.9594727000001</v>
      </c>
      <c r="H307">
        <v>1339.1740723</v>
      </c>
      <c r="I307">
        <v>1320.1860352000001</v>
      </c>
      <c r="J307">
        <v>1315.6511230000001</v>
      </c>
      <c r="K307">
        <v>2750</v>
      </c>
      <c r="L307">
        <v>0</v>
      </c>
      <c r="M307">
        <v>0</v>
      </c>
      <c r="N307">
        <v>2750</v>
      </c>
    </row>
    <row r="308" spans="1:14" x14ac:dyDescent="0.25">
      <c r="A308">
        <v>23.274934999999999</v>
      </c>
      <c r="B308" s="1">
        <f>DATE(2010,5,24) + TIME(6,35,54)</f>
        <v>40322.274930555555</v>
      </c>
      <c r="C308">
        <v>80</v>
      </c>
      <c r="D308">
        <v>79.950691223000007</v>
      </c>
      <c r="E308">
        <v>60</v>
      </c>
      <c r="F308">
        <v>14.999636649999999</v>
      </c>
      <c r="G308">
        <v>1341.9501952999999</v>
      </c>
      <c r="H308">
        <v>1339.1674805</v>
      </c>
      <c r="I308">
        <v>1320.1866454999999</v>
      </c>
      <c r="J308">
        <v>1315.6516113</v>
      </c>
      <c r="K308">
        <v>2750</v>
      </c>
      <c r="L308">
        <v>0</v>
      </c>
      <c r="M308">
        <v>0</v>
      </c>
      <c r="N308">
        <v>2750</v>
      </c>
    </row>
    <row r="309" spans="1:14" x14ac:dyDescent="0.25">
      <c r="A309">
        <v>23.517444000000001</v>
      </c>
      <c r="B309" s="1">
        <f>DATE(2010,5,24) + TIME(12,25,7)</f>
        <v>40322.517442129632</v>
      </c>
      <c r="C309">
        <v>80</v>
      </c>
      <c r="D309">
        <v>79.950668335000003</v>
      </c>
      <c r="E309">
        <v>60</v>
      </c>
      <c r="F309">
        <v>14.999638557000001</v>
      </c>
      <c r="G309">
        <v>1341.940918</v>
      </c>
      <c r="H309">
        <v>1339.1608887</v>
      </c>
      <c r="I309">
        <v>1320.1872559000001</v>
      </c>
      <c r="J309">
        <v>1315.6520995999999</v>
      </c>
      <c r="K309">
        <v>2750</v>
      </c>
      <c r="L309">
        <v>0</v>
      </c>
      <c r="M309">
        <v>0</v>
      </c>
      <c r="N309">
        <v>2750</v>
      </c>
    </row>
    <row r="310" spans="1:14" x14ac:dyDescent="0.25">
      <c r="A310">
        <v>23.764513000000001</v>
      </c>
      <c r="B310" s="1">
        <f>DATE(2010,5,24) + TIME(18,20,53)</f>
        <v>40322.764502314814</v>
      </c>
      <c r="C310">
        <v>80</v>
      </c>
      <c r="D310">
        <v>79.950637817</v>
      </c>
      <c r="E310">
        <v>60</v>
      </c>
      <c r="F310">
        <v>14.999639511</v>
      </c>
      <c r="G310">
        <v>1341.9316406</v>
      </c>
      <c r="H310">
        <v>1339.1541748</v>
      </c>
      <c r="I310">
        <v>1320.1878661999999</v>
      </c>
      <c r="J310">
        <v>1315.6525879000001</v>
      </c>
      <c r="K310">
        <v>2750</v>
      </c>
      <c r="L310">
        <v>0</v>
      </c>
      <c r="M310">
        <v>0</v>
      </c>
      <c r="N310">
        <v>2750</v>
      </c>
    </row>
    <row r="311" spans="1:14" x14ac:dyDescent="0.25">
      <c r="A311">
        <v>24.016635999999998</v>
      </c>
      <c r="B311" s="1">
        <f>DATE(2010,5,25) + TIME(0,23,57)</f>
        <v>40323.016631944447</v>
      </c>
      <c r="C311">
        <v>80</v>
      </c>
      <c r="D311">
        <v>79.950614928999997</v>
      </c>
      <c r="E311">
        <v>60</v>
      </c>
      <c r="F311">
        <v>14.999641418</v>
      </c>
      <c r="G311">
        <v>1341.9221190999999</v>
      </c>
      <c r="H311">
        <v>1339.1474608999999</v>
      </c>
      <c r="I311">
        <v>1320.1884766000001</v>
      </c>
      <c r="J311">
        <v>1315.6530762</v>
      </c>
      <c r="K311">
        <v>2750</v>
      </c>
      <c r="L311">
        <v>0</v>
      </c>
      <c r="M311">
        <v>0</v>
      </c>
      <c r="N311">
        <v>2750</v>
      </c>
    </row>
    <row r="312" spans="1:14" x14ac:dyDescent="0.25">
      <c r="A312">
        <v>24.144131999999999</v>
      </c>
      <c r="B312" s="1">
        <f>DATE(2010,5,25) + TIME(3,27,32)</f>
        <v>40323.144120370373</v>
      </c>
      <c r="C312">
        <v>80</v>
      </c>
      <c r="D312">
        <v>79.950592040999993</v>
      </c>
      <c r="E312">
        <v>60</v>
      </c>
      <c r="F312">
        <v>14.999642372</v>
      </c>
      <c r="G312">
        <v>1341.9124756000001</v>
      </c>
      <c r="H312">
        <v>1339.1403809000001</v>
      </c>
      <c r="I312">
        <v>1320.1890868999999</v>
      </c>
      <c r="J312">
        <v>1315.6535644999999</v>
      </c>
      <c r="K312">
        <v>2750</v>
      </c>
      <c r="L312">
        <v>0</v>
      </c>
      <c r="M312">
        <v>0</v>
      </c>
      <c r="N312">
        <v>2750</v>
      </c>
    </row>
    <row r="313" spans="1:14" x14ac:dyDescent="0.25">
      <c r="A313">
        <v>24.271339999999999</v>
      </c>
      <c r="B313" s="1">
        <f>DATE(2010,5,25) + TIME(6,30,43)</f>
        <v>40323.271331018521</v>
      </c>
      <c r="C313">
        <v>80</v>
      </c>
      <c r="D313">
        <v>79.950576781999999</v>
      </c>
      <c r="E313">
        <v>60</v>
      </c>
      <c r="F313">
        <v>14.999643325999999</v>
      </c>
      <c r="G313">
        <v>1341.9077147999999</v>
      </c>
      <c r="H313">
        <v>1339.1369629000001</v>
      </c>
      <c r="I313">
        <v>1320.1894531</v>
      </c>
      <c r="J313">
        <v>1315.6538086</v>
      </c>
      <c r="K313">
        <v>2750</v>
      </c>
      <c r="L313">
        <v>0</v>
      </c>
      <c r="M313">
        <v>0</v>
      </c>
      <c r="N313">
        <v>2750</v>
      </c>
    </row>
    <row r="314" spans="1:14" x14ac:dyDescent="0.25">
      <c r="A314">
        <v>24.398157999999999</v>
      </c>
      <c r="B314" s="1">
        <f>DATE(2010,5,25) + TIME(9,33,20)</f>
        <v>40323.398148148146</v>
      </c>
      <c r="C314">
        <v>80</v>
      </c>
      <c r="D314">
        <v>79.950561523000005</v>
      </c>
      <c r="E314">
        <v>60</v>
      </c>
      <c r="F314">
        <v>14.999643325999999</v>
      </c>
      <c r="G314">
        <v>1341.9029541</v>
      </c>
      <c r="H314">
        <v>1339.1335449000001</v>
      </c>
      <c r="I314">
        <v>1320.1898193</v>
      </c>
      <c r="J314">
        <v>1315.6540527</v>
      </c>
      <c r="K314">
        <v>2750</v>
      </c>
      <c r="L314">
        <v>0</v>
      </c>
      <c r="M314">
        <v>0</v>
      </c>
      <c r="N314">
        <v>2750</v>
      </c>
    </row>
    <row r="315" spans="1:14" x14ac:dyDescent="0.25">
      <c r="A315">
        <v>24.524659</v>
      </c>
      <c r="B315" s="1">
        <f>DATE(2010,5,25) + TIME(12,35,30)</f>
        <v>40323.524652777778</v>
      </c>
      <c r="C315">
        <v>80</v>
      </c>
      <c r="D315">
        <v>79.950546265</v>
      </c>
      <c r="E315">
        <v>60</v>
      </c>
      <c r="F315">
        <v>14.999644279</v>
      </c>
      <c r="G315">
        <v>1341.8981934000001</v>
      </c>
      <c r="H315">
        <v>1339.1301269999999</v>
      </c>
      <c r="I315">
        <v>1320.1900635</v>
      </c>
      <c r="J315">
        <v>1315.6542969</v>
      </c>
      <c r="K315">
        <v>2750</v>
      </c>
      <c r="L315">
        <v>0</v>
      </c>
      <c r="M315">
        <v>0</v>
      </c>
      <c r="N315">
        <v>2750</v>
      </c>
    </row>
    <row r="316" spans="1:14" x14ac:dyDescent="0.25">
      <c r="A316">
        <v>24.650915999999999</v>
      </c>
      <c r="B316" s="1">
        <f>DATE(2010,5,25) + TIME(15,37,19)</f>
        <v>40323.650914351849</v>
      </c>
      <c r="C316">
        <v>80</v>
      </c>
      <c r="D316">
        <v>79.950531006000006</v>
      </c>
      <c r="E316">
        <v>60</v>
      </c>
      <c r="F316">
        <v>14.999645233000001</v>
      </c>
      <c r="G316">
        <v>1341.8935547000001</v>
      </c>
      <c r="H316">
        <v>1339.1268310999999</v>
      </c>
      <c r="I316">
        <v>1320.1904297000001</v>
      </c>
      <c r="J316">
        <v>1315.6545410000001</v>
      </c>
      <c r="K316">
        <v>2750</v>
      </c>
      <c r="L316">
        <v>0</v>
      </c>
      <c r="M316">
        <v>0</v>
      </c>
      <c r="N316">
        <v>2750</v>
      </c>
    </row>
    <row r="317" spans="1:14" x14ac:dyDescent="0.25">
      <c r="A317">
        <v>24.776997999999999</v>
      </c>
      <c r="B317" s="1">
        <f>DATE(2010,5,25) + TIME(18,38,52)</f>
        <v>40323.776990740742</v>
      </c>
      <c r="C317">
        <v>80</v>
      </c>
      <c r="D317">
        <v>79.950515746999997</v>
      </c>
      <c r="E317">
        <v>60</v>
      </c>
      <c r="F317">
        <v>14.999646187</v>
      </c>
      <c r="G317">
        <v>1341.8889160000001</v>
      </c>
      <c r="H317">
        <v>1339.1234131000001</v>
      </c>
      <c r="I317">
        <v>1320.1907959</v>
      </c>
      <c r="J317">
        <v>1315.6549072</v>
      </c>
      <c r="K317">
        <v>2750</v>
      </c>
      <c r="L317">
        <v>0</v>
      </c>
      <c r="M317">
        <v>0</v>
      </c>
      <c r="N317">
        <v>2750</v>
      </c>
    </row>
    <row r="318" spans="1:14" x14ac:dyDescent="0.25">
      <c r="A318">
        <v>24.902949</v>
      </c>
      <c r="B318" s="1">
        <f>DATE(2010,5,25) + TIME(21,40,14)</f>
        <v>40323.902939814812</v>
      </c>
      <c r="C318">
        <v>80</v>
      </c>
      <c r="D318">
        <v>79.950500488000003</v>
      </c>
      <c r="E318">
        <v>60</v>
      </c>
      <c r="F318">
        <v>14.999647141000001</v>
      </c>
      <c r="G318">
        <v>1341.8842772999999</v>
      </c>
      <c r="H318">
        <v>1339.1201172000001</v>
      </c>
      <c r="I318">
        <v>1320.1910399999999</v>
      </c>
      <c r="J318">
        <v>1315.6551514</v>
      </c>
      <c r="K318">
        <v>2750</v>
      </c>
      <c r="L318">
        <v>0</v>
      </c>
      <c r="M318">
        <v>0</v>
      </c>
      <c r="N318">
        <v>2750</v>
      </c>
    </row>
    <row r="319" spans="1:14" x14ac:dyDescent="0.25">
      <c r="A319">
        <v>25.028866000000001</v>
      </c>
      <c r="B319" s="1">
        <f>DATE(2010,5,26) + TIME(0,41,34)</f>
        <v>40324.028865740744</v>
      </c>
      <c r="C319">
        <v>80</v>
      </c>
      <c r="D319">
        <v>79.950485228999995</v>
      </c>
      <c r="E319">
        <v>60</v>
      </c>
      <c r="F319">
        <v>14.999647141000001</v>
      </c>
      <c r="G319">
        <v>1341.8796387</v>
      </c>
      <c r="H319">
        <v>1339.1168213000001</v>
      </c>
      <c r="I319">
        <v>1320.1914062000001</v>
      </c>
      <c r="J319">
        <v>1315.6553954999999</v>
      </c>
      <c r="K319">
        <v>2750</v>
      </c>
      <c r="L319">
        <v>0</v>
      </c>
      <c r="M319">
        <v>0</v>
      </c>
      <c r="N319">
        <v>2750</v>
      </c>
    </row>
    <row r="320" spans="1:14" x14ac:dyDescent="0.25">
      <c r="A320">
        <v>25.154783999999999</v>
      </c>
      <c r="B320" s="1">
        <f>DATE(2010,5,26) + TIME(3,42,53)</f>
        <v>40324.154780092591</v>
      </c>
      <c r="C320">
        <v>80</v>
      </c>
      <c r="D320">
        <v>79.950469971000004</v>
      </c>
      <c r="E320">
        <v>60</v>
      </c>
      <c r="F320">
        <v>14.999648093999999</v>
      </c>
      <c r="G320">
        <v>1341.8751221</v>
      </c>
      <c r="H320">
        <v>1339.1135254000001</v>
      </c>
      <c r="I320">
        <v>1320.1917725000001</v>
      </c>
      <c r="J320">
        <v>1315.6556396000001</v>
      </c>
      <c r="K320">
        <v>2750</v>
      </c>
      <c r="L320">
        <v>0</v>
      </c>
      <c r="M320">
        <v>0</v>
      </c>
      <c r="N320">
        <v>2750</v>
      </c>
    </row>
    <row r="321" spans="1:14" x14ac:dyDescent="0.25">
      <c r="A321">
        <v>25.280701000000001</v>
      </c>
      <c r="B321" s="1">
        <f>DATE(2010,5,26) + TIME(6,44,12)</f>
        <v>40324.280694444446</v>
      </c>
      <c r="C321">
        <v>80</v>
      </c>
      <c r="D321">
        <v>79.950462341000005</v>
      </c>
      <c r="E321">
        <v>60</v>
      </c>
      <c r="F321">
        <v>14.999649048</v>
      </c>
      <c r="G321">
        <v>1341.8706055</v>
      </c>
      <c r="H321">
        <v>1339.1102295000001</v>
      </c>
      <c r="I321">
        <v>1320.1920166</v>
      </c>
      <c r="J321">
        <v>1315.6558838000001</v>
      </c>
      <c r="K321">
        <v>2750</v>
      </c>
      <c r="L321">
        <v>0</v>
      </c>
      <c r="M321">
        <v>0</v>
      </c>
      <c r="N321">
        <v>2750</v>
      </c>
    </row>
    <row r="322" spans="1:14" x14ac:dyDescent="0.25">
      <c r="A322">
        <v>25.406618000000002</v>
      </c>
      <c r="B322" s="1">
        <f>DATE(2010,5,26) + TIME(9,45,31)</f>
        <v>40324.406608796293</v>
      </c>
      <c r="C322">
        <v>80</v>
      </c>
      <c r="D322">
        <v>79.950447083</v>
      </c>
      <c r="E322">
        <v>60</v>
      </c>
      <c r="F322">
        <v>14.999650001999999</v>
      </c>
      <c r="G322">
        <v>1341.8659668</v>
      </c>
      <c r="H322">
        <v>1339.1070557</v>
      </c>
      <c r="I322">
        <v>1320.1923827999999</v>
      </c>
      <c r="J322">
        <v>1315.6561279</v>
      </c>
      <c r="K322">
        <v>2750</v>
      </c>
      <c r="L322">
        <v>0</v>
      </c>
      <c r="M322">
        <v>0</v>
      </c>
      <c r="N322">
        <v>2750</v>
      </c>
    </row>
    <row r="323" spans="1:14" x14ac:dyDescent="0.25">
      <c r="A323">
        <v>25.532536</v>
      </c>
      <c r="B323" s="1">
        <f>DATE(2010,5,26) + TIME(12,46,51)</f>
        <v>40324.532534722224</v>
      </c>
      <c r="C323">
        <v>80</v>
      </c>
      <c r="D323">
        <v>79.950431824000006</v>
      </c>
      <c r="E323">
        <v>60</v>
      </c>
      <c r="F323">
        <v>14.999650955</v>
      </c>
      <c r="G323">
        <v>1341.8614502</v>
      </c>
      <c r="H323">
        <v>1339.1037598</v>
      </c>
      <c r="I323">
        <v>1320.192749</v>
      </c>
      <c r="J323">
        <v>1315.6563721</v>
      </c>
      <c r="K323">
        <v>2750</v>
      </c>
      <c r="L323">
        <v>0</v>
      </c>
      <c r="M323">
        <v>0</v>
      </c>
      <c r="N323">
        <v>2750</v>
      </c>
    </row>
    <row r="324" spans="1:14" x14ac:dyDescent="0.25">
      <c r="A324">
        <v>25.658453000000002</v>
      </c>
      <c r="B324" s="1">
        <f>DATE(2010,5,26) + TIME(15,48,10)</f>
        <v>40324.658449074072</v>
      </c>
      <c r="C324">
        <v>80</v>
      </c>
      <c r="D324">
        <v>79.950424193999993</v>
      </c>
      <c r="E324">
        <v>60</v>
      </c>
      <c r="F324">
        <v>14.999650955</v>
      </c>
      <c r="G324">
        <v>1341.8570557</v>
      </c>
      <c r="H324">
        <v>1339.1005858999999</v>
      </c>
      <c r="I324">
        <v>1320.1931152</v>
      </c>
      <c r="J324">
        <v>1315.6567382999999</v>
      </c>
      <c r="K324">
        <v>2750</v>
      </c>
      <c r="L324">
        <v>0</v>
      </c>
      <c r="M324">
        <v>0</v>
      </c>
      <c r="N324">
        <v>2750</v>
      </c>
    </row>
    <row r="325" spans="1:14" x14ac:dyDescent="0.25">
      <c r="A325">
        <v>25.784369999999999</v>
      </c>
      <c r="B325" s="1">
        <f>DATE(2010,5,26) + TIME(18,49,29)</f>
        <v>40324.784363425926</v>
      </c>
      <c r="C325">
        <v>80</v>
      </c>
      <c r="D325">
        <v>79.950408936000002</v>
      </c>
      <c r="E325">
        <v>60</v>
      </c>
      <c r="F325">
        <v>14.999651909000001</v>
      </c>
      <c r="G325">
        <v>1341.8525391000001</v>
      </c>
      <c r="H325">
        <v>1339.0972899999999</v>
      </c>
      <c r="I325">
        <v>1320.1933594</v>
      </c>
      <c r="J325">
        <v>1315.6569824000001</v>
      </c>
      <c r="K325">
        <v>2750</v>
      </c>
      <c r="L325">
        <v>0</v>
      </c>
      <c r="M325">
        <v>0</v>
      </c>
      <c r="N325">
        <v>2750</v>
      </c>
    </row>
    <row r="326" spans="1:14" x14ac:dyDescent="0.25">
      <c r="A326">
        <v>26.036204999999999</v>
      </c>
      <c r="B326" s="1">
        <f>DATE(2010,5,27) + TIME(0,52,8)</f>
        <v>40325.036203703705</v>
      </c>
      <c r="C326">
        <v>80</v>
      </c>
      <c r="D326">
        <v>79.950393676999994</v>
      </c>
      <c r="E326">
        <v>60</v>
      </c>
      <c r="F326">
        <v>14.999652863</v>
      </c>
      <c r="G326">
        <v>1341.8482666</v>
      </c>
      <c r="H326">
        <v>1339.0942382999999</v>
      </c>
      <c r="I326">
        <v>1320.1937256000001</v>
      </c>
      <c r="J326">
        <v>1315.6572266000001</v>
      </c>
      <c r="K326">
        <v>2750</v>
      </c>
      <c r="L326">
        <v>0</v>
      </c>
      <c r="M326">
        <v>0</v>
      </c>
      <c r="N326">
        <v>2750</v>
      </c>
    </row>
    <row r="327" spans="1:14" x14ac:dyDescent="0.25">
      <c r="A327">
        <v>26.288366</v>
      </c>
      <c r="B327" s="1">
        <f>DATE(2010,5,27) + TIME(6,55,14)</f>
        <v>40325.288356481484</v>
      </c>
      <c r="C327">
        <v>80</v>
      </c>
      <c r="D327">
        <v>79.950378418</v>
      </c>
      <c r="E327">
        <v>60</v>
      </c>
      <c r="F327">
        <v>14.999654769999999</v>
      </c>
      <c r="G327">
        <v>1341.8393555</v>
      </c>
      <c r="H327">
        <v>1339.0880127</v>
      </c>
      <c r="I327">
        <v>1320.1944579999999</v>
      </c>
      <c r="J327">
        <v>1315.6577147999999</v>
      </c>
      <c r="K327">
        <v>2750</v>
      </c>
      <c r="L327">
        <v>0</v>
      </c>
      <c r="M327">
        <v>0</v>
      </c>
      <c r="N327">
        <v>2750</v>
      </c>
    </row>
    <row r="328" spans="1:14" x14ac:dyDescent="0.25">
      <c r="A328">
        <v>26.543051999999999</v>
      </c>
      <c r="B328" s="1">
        <f>DATE(2010,5,27) + TIME(13,1,59)</f>
        <v>40325.543043981481</v>
      </c>
      <c r="C328">
        <v>80</v>
      </c>
      <c r="D328">
        <v>79.950355529999996</v>
      </c>
      <c r="E328">
        <v>60</v>
      </c>
      <c r="F328">
        <v>14.999655724</v>
      </c>
      <c r="G328">
        <v>1341.8305664</v>
      </c>
      <c r="H328">
        <v>1339.0816649999999</v>
      </c>
      <c r="I328">
        <v>1320.1950684000001</v>
      </c>
      <c r="J328">
        <v>1315.6583252</v>
      </c>
      <c r="K328">
        <v>2750</v>
      </c>
      <c r="L328">
        <v>0</v>
      </c>
      <c r="M328">
        <v>0</v>
      </c>
      <c r="N328">
        <v>2750</v>
      </c>
    </row>
    <row r="329" spans="1:14" x14ac:dyDescent="0.25">
      <c r="A329">
        <v>26.800777</v>
      </c>
      <c r="B329" s="1">
        <f>DATE(2010,5,27) + TIME(19,13,7)</f>
        <v>40325.800775462965</v>
      </c>
      <c r="C329">
        <v>80</v>
      </c>
      <c r="D329">
        <v>79.950332642000006</v>
      </c>
      <c r="E329">
        <v>60</v>
      </c>
      <c r="F329">
        <v>14.999656677000001</v>
      </c>
      <c r="G329">
        <v>1341.8217772999999</v>
      </c>
      <c r="H329">
        <v>1339.0754394999999</v>
      </c>
      <c r="I329">
        <v>1320.1958007999999</v>
      </c>
      <c r="J329">
        <v>1315.6588135</v>
      </c>
      <c r="K329">
        <v>2750</v>
      </c>
      <c r="L329">
        <v>0</v>
      </c>
      <c r="M329">
        <v>0</v>
      </c>
      <c r="N329">
        <v>2750</v>
      </c>
    </row>
    <row r="330" spans="1:14" x14ac:dyDescent="0.25">
      <c r="A330">
        <v>27.062090000000001</v>
      </c>
      <c r="B330" s="1">
        <f>DATE(2010,5,28) + TIME(1,29,24)</f>
        <v>40326.062083333331</v>
      </c>
      <c r="C330">
        <v>80</v>
      </c>
      <c r="D330">
        <v>79.950309752999999</v>
      </c>
      <c r="E330">
        <v>60</v>
      </c>
      <c r="F330">
        <v>14.999658585000001</v>
      </c>
      <c r="G330">
        <v>1341.8129882999999</v>
      </c>
      <c r="H330">
        <v>1339.0690918</v>
      </c>
      <c r="I330">
        <v>1320.1964111</v>
      </c>
      <c r="J330">
        <v>1315.6594238</v>
      </c>
      <c r="K330">
        <v>2750</v>
      </c>
      <c r="L330">
        <v>0</v>
      </c>
      <c r="M330">
        <v>0</v>
      </c>
      <c r="N330">
        <v>2750</v>
      </c>
    </row>
    <row r="331" spans="1:14" x14ac:dyDescent="0.25">
      <c r="A331">
        <v>27.327570999999999</v>
      </c>
      <c r="B331" s="1">
        <f>DATE(2010,5,28) + TIME(7,51,42)</f>
        <v>40326.327569444446</v>
      </c>
      <c r="C331">
        <v>80</v>
      </c>
      <c r="D331">
        <v>79.950286864999995</v>
      </c>
      <c r="E331">
        <v>60</v>
      </c>
      <c r="F331">
        <v>14.999659538</v>
      </c>
      <c r="G331">
        <v>1341.8040771000001</v>
      </c>
      <c r="H331">
        <v>1339.0627440999999</v>
      </c>
      <c r="I331">
        <v>1320.1971435999999</v>
      </c>
      <c r="J331">
        <v>1315.6599120999999</v>
      </c>
      <c r="K331">
        <v>2750</v>
      </c>
      <c r="L331">
        <v>0</v>
      </c>
      <c r="M331">
        <v>0</v>
      </c>
      <c r="N331">
        <v>2750</v>
      </c>
    </row>
    <row r="332" spans="1:14" x14ac:dyDescent="0.25">
      <c r="A332">
        <v>27.597902999999999</v>
      </c>
      <c r="B332" s="1">
        <f>DATE(2010,5,28) + TIME(14,20,58)</f>
        <v>40326.597893518519</v>
      </c>
      <c r="C332">
        <v>80</v>
      </c>
      <c r="D332">
        <v>79.950263977000006</v>
      </c>
      <c r="E332">
        <v>60</v>
      </c>
      <c r="F332">
        <v>14.999661445999999</v>
      </c>
      <c r="G332">
        <v>1341.7951660000001</v>
      </c>
      <c r="H332">
        <v>1339.0563964999999</v>
      </c>
      <c r="I332">
        <v>1320.197876</v>
      </c>
      <c r="J332">
        <v>1315.6605225000001</v>
      </c>
      <c r="K332">
        <v>2750</v>
      </c>
      <c r="L332">
        <v>0</v>
      </c>
      <c r="M332">
        <v>0</v>
      </c>
      <c r="N332">
        <v>2750</v>
      </c>
    </row>
    <row r="333" spans="1:14" x14ac:dyDescent="0.25">
      <c r="A333">
        <v>27.735759000000002</v>
      </c>
      <c r="B333" s="1">
        <f>DATE(2010,5,28) + TIME(17,39,29)</f>
        <v>40326.735752314817</v>
      </c>
      <c r="C333">
        <v>80</v>
      </c>
      <c r="D333">
        <v>79.950248717999997</v>
      </c>
      <c r="E333">
        <v>60</v>
      </c>
      <c r="F333">
        <v>14.999661445999999</v>
      </c>
      <c r="G333">
        <v>1341.7860106999999</v>
      </c>
      <c r="H333">
        <v>1339.0498047000001</v>
      </c>
      <c r="I333">
        <v>1320.1984863</v>
      </c>
      <c r="J333">
        <v>1315.6610106999999</v>
      </c>
      <c r="K333">
        <v>2750</v>
      </c>
      <c r="L333">
        <v>0</v>
      </c>
      <c r="M333">
        <v>0</v>
      </c>
      <c r="N333">
        <v>2750</v>
      </c>
    </row>
    <row r="334" spans="1:14" x14ac:dyDescent="0.25">
      <c r="A334">
        <v>27.873615999999998</v>
      </c>
      <c r="B334" s="1">
        <f>DATE(2010,5,28) + TIME(20,58,0)</f>
        <v>40326.873611111114</v>
      </c>
      <c r="C334">
        <v>80</v>
      </c>
      <c r="D334">
        <v>79.950233459000003</v>
      </c>
      <c r="E334">
        <v>60</v>
      </c>
      <c r="F334">
        <v>14.999662399</v>
      </c>
      <c r="G334">
        <v>1341.7814940999999</v>
      </c>
      <c r="H334">
        <v>1339.0465088000001</v>
      </c>
      <c r="I334">
        <v>1320.1988524999999</v>
      </c>
      <c r="J334">
        <v>1315.6612548999999</v>
      </c>
      <c r="K334">
        <v>2750</v>
      </c>
      <c r="L334">
        <v>0</v>
      </c>
      <c r="M334">
        <v>0</v>
      </c>
      <c r="N334">
        <v>2750</v>
      </c>
    </row>
    <row r="335" spans="1:14" x14ac:dyDescent="0.25">
      <c r="A335">
        <v>28.011472000000001</v>
      </c>
      <c r="B335" s="1">
        <f>DATE(2010,5,29) + TIME(0,16,31)</f>
        <v>40327.011469907404</v>
      </c>
      <c r="C335">
        <v>80</v>
      </c>
      <c r="D335">
        <v>79.950218200999998</v>
      </c>
      <c r="E335">
        <v>60</v>
      </c>
      <c r="F335">
        <v>14.999663353000001</v>
      </c>
      <c r="G335">
        <v>1341.7768555</v>
      </c>
      <c r="H335">
        <v>1339.0432129000001</v>
      </c>
      <c r="I335">
        <v>1320.1992187999999</v>
      </c>
      <c r="J335">
        <v>1315.6616211</v>
      </c>
      <c r="K335">
        <v>2750</v>
      </c>
      <c r="L335">
        <v>0</v>
      </c>
      <c r="M335">
        <v>0</v>
      </c>
      <c r="N335">
        <v>2750</v>
      </c>
    </row>
    <row r="336" spans="1:14" x14ac:dyDescent="0.25">
      <c r="A336">
        <v>28.149328000000001</v>
      </c>
      <c r="B336" s="1">
        <f>DATE(2010,5,29) + TIME(3,35,1)</f>
        <v>40327.149317129632</v>
      </c>
      <c r="C336">
        <v>80</v>
      </c>
      <c r="D336">
        <v>79.950202942000004</v>
      </c>
      <c r="E336">
        <v>60</v>
      </c>
      <c r="F336">
        <v>14.999664307</v>
      </c>
      <c r="G336">
        <v>1341.7723389</v>
      </c>
      <c r="H336">
        <v>1339.0400391000001</v>
      </c>
      <c r="I336">
        <v>1320.1995850000001</v>
      </c>
      <c r="J336">
        <v>1315.6618652</v>
      </c>
      <c r="K336">
        <v>2750</v>
      </c>
      <c r="L336">
        <v>0</v>
      </c>
      <c r="M336">
        <v>0</v>
      </c>
      <c r="N336">
        <v>2750</v>
      </c>
    </row>
    <row r="337" spans="1:14" x14ac:dyDescent="0.25">
      <c r="A337">
        <v>28.287185000000001</v>
      </c>
      <c r="B337" s="1">
        <f>DATE(2010,5,29) + TIME(6,53,32)</f>
        <v>40327.287175925929</v>
      </c>
      <c r="C337">
        <v>80</v>
      </c>
      <c r="D337">
        <v>79.950187682999996</v>
      </c>
      <c r="E337">
        <v>60</v>
      </c>
      <c r="F337">
        <v>14.99966526</v>
      </c>
      <c r="G337">
        <v>1341.7678223</v>
      </c>
      <c r="H337">
        <v>1339.0367432</v>
      </c>
      <c r="I337">
        <v>1320.2000731999999</v>
      </c>
      <c r="J337">
        <v>1315.6622314000001</v>
      </c>
      <c r="K337">
        <v>2750</v>
      </c>
      <c r="L337">
        <v>0</v>
      </c>
      <c r="M337">
        <v>0</v>
      </c>
      <c r="N337">
        <v>2750</v>
      </c>
    </row>
    <row r="338" spans="1:14" x14ac:dyDescent="0.25">
      <c r="A338">
        <v>28.424859000000001</v>
      </c>
      <c r="B338" s="1">
        <f>DATE(2010,5,29) + TIME(10,11,47)</f>
        <v>40327.424849537034</v>
      </c>
      <c r="C338">
        <v>80</v>
      </c>
      <c r="D338">
        <v>79.950180054</v>
      </c>
      <c r="E338">
        <v>60</v>
      </c>
      <c r="F338">
        <v>14.99966526</v>
      </c>
      <c r="G338">
        <v>1341.7634277</v>
      </c>
      <c r="H338">
        <v>1339.0335693</v>
      </c>
      <c r="I338">
        <v>1320.2004394999999</v>
      </c>
      <c r="J338">
        <v>1315.6624756000001</v>
      </c>
      <c r="K338">
        <v>2750</v>
      </c>
      <c r="L338">
        <v>0</v>
      </c>
      <c r="M338">
        <v>0</v>
      </c>
      <c r="N338">
        <v>2750</v>
      </c>
    </row>
    <row r="339" spans="1:14" x14ac:dyDescent="0.25">
      <c r="A339">
        <v>28.562256999999999</v>
      </c>
      <c r="B339" s="1">
        <f>DATE(2010,5,29) + TIME(13,29,38)</f>
        <v>40327.562245370369</v>
      </c>
      <c r="C339">
        <v>80</v>
      </c>
      <c r="D339">
        <v>79.950164795000006</v>
      </c>
      <c r="E339">
        <v>60</v>
      </c>
      <c r="F339">
        <v>14.999666213999999</v>
      </c>
      <c r="G339">
        <v>1341.7589111</v>
      </c>
      <c r="H339">
        <v>1339.0303954999999</v>
      </c>
      <c r="I339">
        <v>1320.2008057</v>
      </c>
      <c r="J339">
        <v>1315.6627197</v>
      </c>
      <c r="K339">
        <v>2750</v>
      </c>
      <c r="L339">
        <v>0</v>
      </c>
      <c r="M339">
        <v>0</v>
      </c>
      <c r="N339">
        <v>2750</v>
      </c>
    </row>
    <row r="340" spans="1:14" x14ac:dyDescent="0.25">
      <c r="A340">
        <v>28.699459000000001</v>
      </c>
      <c r="B340" s="1">
        <f>DATE(2010,5,29) + TIME(16,47,13)</f>
        <v>40327.699456018519</v>
      </c>
      <c r="C340">
        <v>80</v>
      </c>
      <c r="D340">
        <v>79.950149535999998</v>
      </c>
      <c r="E340">
        <v>60</v>
      </c>
      <c r="F340">
        <v>14.999667168</v>
      </c>
      <c r="G340">
        <v>1341.7545166</v>
      </c>
      <c r="H340">
        <v>1339.0270995999999</v>
      </c>
      <c r="I340">
        <v>1320.2011719</v>
      </c>
      <c r="J340">
        <v>1315.6630858999999</v>
      </c>
      <c r="K340">
        <v>2750</v>
      </c>
      <c r="L340">
        <v>0</v>
      </c>
      <c r="M340">
        <v>0</v>
      </c>
      <c r="N340">
        <v>2750</v>
      </c>
    </row>
    <row r="341" spans="1:14" x14ac:dyDescent="0.25">
      <c r="A341">
        <v>28.836518999999999</v>
      </c>
      <c r="B341" s="1">
        <f>DATE(2010,5,29) + TIME(20,4,35)</f>
        <v>40327.836516203701</v>
      </c>
      <c r="C341">
        <v>80</v>
      </c>
      <c r="D341">
        <v>79.950141907000003</v>
      </c>
      <c r="E341">
        <v>60</v>
      </c>
      <c r="F341">
        <v>14.999668120999999</v>
      </c>
      <c r="G341">
        <v>1341.7501221</v>
      </c>
      <c r="H341">
        <v>1339.0239257999999</v>
      </c>
      <c r="I341">
        <v>1320.2015381000001</v>
      </c>
      <c r="J341">
        <v>1315.6633300999999</v>
      </c>
      <c r="K341">
        <v>2750</v>
      </c>
      <c r="L341">
        <v>0</v>
      </c>
      <c r="M341">
        <v>0</v>
      </c>
      <c r="N341">
        <v>2750</v>
      </c>
    </row>
    <row r="342" spans="1:14" x14ac:dyDescent="0.25">
      <c r="A342">
        <v>28.973534000000001</v>
      </c>
      <c r="B342" s="1">
        <f>DATE(2010,5,29) + TIME(23,21,53)</f>
        <v>40327.973530092589</v>
      </c>
      <c r="C342">
        <v>80</v>
      </c>
      <c r="D342">
        <v>79.950126647999994</v>
      </c>
      <c r="E342">
        <v>60</v>
      </c>
      <c r="F342">
        <v>14.999668120999999</v>
      </c>
      <c r="G342">
        <v>1341.7457274999999</v>
      </c>
      <c r="H342">
        <v>1339.020874</v>
      </c>
      <c r="I342">
        <v>1320.2019043</v>
      </c>
      <c r="J342">
        <v>1315.6636963000001</v>
      </c>
      <c r="K342">
        <v>2750</v>
      </c>
      <c r="L342">
        <v>0</v>
      </c>
      <c r="M342">
        <v>0</v>
      </c>
      <c r="N342">
        <v>2750</v>
      </c>
    </row>
    <row r="343" spans="1:14" x14ac:dyDescent="0.25">
      <c r="A343">
        <v>29.110548000000001</v>
      </c>
      <c r="B343" s="1">
        <f>DATE(2010,5,30) + TIME(2,39,11)</f>
        <v>40328.110543981478</v>
      </c>
      <c r="C343">
        <v>80</v>
      </c>
      <c r="D343">
        <v>79.950119018999999</v>
      </c>
      <c r="E343">
        <v>60</v>
      </c>
      <c r="F343">
        <v>14.999669075</v>
      </c>
      <c r="G343">
        <v>1341.7413329999999</v>
      </c>
      <c r="H343">
        <v>1339.0177002</v>
      </c>
      <c r="I343">
        <v>1320.2022704999999</v>
      </c>
      <c r="J343">
        <v>1315.6639404</v>
      </c>
      <c r="K343">
        <v>2750</v>
      </c>
      <c r="L343">
        <v>0</v>
      </c>
      <c r="M343">
        <v>0</v>
      </c>
      <c r="N343">
        <v>2750</v>
      </c>
    </row>
    <row r="344" spans="1:14" x14ac:dyDescent="0.25">
      <c r="A344">
        <v>29.247563</v>
      </c>
      <c r="B344" s="1">
        <f>DATE(2010,5,30) + TIME(5,56,29)</f>
        <v>40328.247557870367</v>
      </c>
      <c r="C344">
        <v>80</v>
      </c>
      <c r="D344">
        <v>79.950111389</v>
      </c>
      <c r="E344">
        <v>60</v>
      </c>
      <c r="F344">
        <v>14.999670029000001</v>
      </c>
      <c r="G344">
        <v>1341.7369385</v>
      </c>
      <c r="H344">
        <v>1339.0145264</v>
      </c>
      <c r="I344">
        <v>1320.2026367000001</v>
      </c>
      <c r="J344">
        <v>1315.6641846</v>
      </c>
      <c r="K344">
        <v>2750</v>
      </c>
      <c r="L344">
        <v>0</v>
      </c>
      <c r="M344">
        <v>0</v>
      </c>
      <c r="N344">
        <v>2750</v>
      </c>
    </row>
    <row r="345" spans="1:14" x14ac:dyDescent="0.25">
      <c r="A345">
        <v>29.384577</v>
      </c>
      <c r="B345" s="1">
        <f>DATE(2010,5,30) + TIME(9,13,47)</f>
        <v>40328.384571759256</v>
      </c>
      <c r="C345">
        <v>80</v>
      </c>
      <c r="D345">
        <v>79.950096130000006</v>
      </c>
      <c r="E345">
        <v>60</v>
      </c>
      <c r="F345">
        <v>14.999670982</v>
      </c>
      <c r="G345">
        <v>1341.7326660000001</v>
      </c>
      <c r="H345">
        <v>1339.0114745999999</v>
      </c>
      <c r="I345">
        <v>1320.2030029</v>
      </c>
      <c r="J345">
        <v>1315.6645507999999</v>
      </c>
      <c r="K345">
        <v>2750</v>
      </c>
      <c r="L345">
        <v>0</v>
      </c>
      <c r="M345">
        <v>0</v>
      </c>
      <c r="N345">
        <v>2750</v>
      </c>
    </row>
    <row r="346" spans="1:14" x14ac:dyDescent="0.25">
      <c r="A346">
        <v>29.521591999999998</v>
      </c>
      <c r="B346" s="1">
        <f>DATE(2010,5,30) + TIME(12,31,5)</f>
        <v>40328.521585648145</v>
      </c>
      <c r="C346">
        <v>80</v>
      </c>
      <c r="D346">
        <v>79.950088500999996</v>
      </c>
      <c r="E346">
        <v>60</v>
      </c>
      <c r="F346">
        <v>14.999670982</v>
      </c>
      <c r="G346">
        <v>1341.7283935999999</v>
      </c>
      <c r="H346">
        <v>1339.0083007999999</v>
      </c>
      <c r="I346">
        <v>1320.2033690999999</v>
      </c>
      <c r="J346">
        <v>1315.6647949000001</v>
      </c>
      <c r="K346">
        <v>2750</v>
      </c>
      <c r="L346">
        <v>0</v>
      </c>
      <c r="M346">
        <v>0</v>
      </c>
      <c r="N346">
        <v>2750</v>
      </c>
    </row>
    <row r="347" spans="1:14" x14ac:dyDescent="0.25">
      <c r="A347">
        <v>29.658605999999999</v>
      </c>
      <c r="B347" s="1">
        <f>DATE(2010,5,30) + TIME(15,48,23)</f>
        <v>40328.658599537041</v>
      </c>
      <c r="C347">
        <v>80</v>
      </c>
      <c r="D347">
        <v>79.950073242000002</v>
      </c>
      <c r="E347">
        <v>60</v>
      </c>
      <c r="F347">
        <v>14.999671936</v>
      </c>
      <c r="G347">
        <v>1341.7241211</v>
      </c>
      <c r="H347">
        <v>1339.005249</v>
      </c>
      <c r="I347">
        <v>1320.2037353999999</v>
      </c>
      <c r="J347">
        <v>1315.6651611</v>
      </c>
      <c r="K347">
        <v>2750</v>
      </c>
      <c r="L347">
        <v>0</v>
      </c>
      <c r="M347">
        <v>0</v>
      </c>
      <c r="N347">
        <v>2750</v>
      </c>
    </row>
    <row r="348" spans="1:14" x14ac:dyDescent="0.25">
      <c r="A348">
        <v>29.795621000000001</v>
      </c>
      <c r="B348" s="1">
        <f>DATE(2010,5,30) + TIME(19,5,41)</f>
        <v>40328.795613425929</v>
      </c>
      <c r="C348">
        <v>80</v>
      </c>
      <c r="D348">
        <v>79.950065613000007</v>
      </c>
      <c r="E348">
        <v>60</v>
      </c>
      <c r="F348">
        <v>14.999672889999999</v>
      </c>
      <c r="G348">
        <v>1341.7198486</v>
      </c>
      <c r="H348">
        <v>1339.0021973</v>
      </c>
      <c r="I348">
        <v>1320.2041016000001</v>
      </c>
      <c r="J348">
        <v>1315.6654053</v>
      </c>
      <c r="K348">
        <v>2750</v>
      </c>
      <c r="L348">
        <v>0</v>
      </c>
      <c r="M348">
        <v>0</v>
      </c>
      <c r="N348">
        <v>2750</v>
      </c>
    </row>
    <row r="349" spans="1:14" x14ac:dyDescent="0.25">
      <c r="A349">
        <v>29.932635000000001</v>
      </c>
      <c r="B349" s="1">
        <f>DATE(2010,5,30) + TIME(22,22,59)</f>
        <v>40328.932627314818</v>
      </c>
      <c r="C349">
        <v>80</v>
      </c>
      <c r="D349">
        <v>79.950057982999994</v>
      </c>
      <c r="E349">
        <v>60</v>
      </c>
      <c r="F349">
        <v>14.999673843</v>
      </c>
      <c r="G349">
        <v>1341.7155762</v>
      </c>
      <c r="H349">
        <v>1338.9991454999999</v>
      </c>
      <c r="I349">
        <v>1320.2044678</v>
      </c>
      <c r="J349">
        <v>1315.6657714999999</v>
      </c>
      <c r="K349">
        <v>2750</v>
      </c>
      <c r="L349">
        <v>0</v>
      </c>
      <c r="M349">
        <v>0</v>
      </c>
      <c r="N349">
        <v>2750</v>
      </c>
    </row>
    <row r="350" spans="1:14" x14ac:dyDescent="0.25">
      <c r="A350">
        <v>30.206664</v>
      </c>
      <c r="B350" s="1">
        <f>DATE(2010,5,31) + TIME(4,57,35)</f>
        <v>40329.206655092596</v>
      </c>
      <c r="C350">
        <v>80</v>
      </c>
      <c r="D350">
        <v>79.950042725000003</v>
      </c>
      <c r="E350">
        <v>60</v>
      </c>
      <c r="F350">
        <v>14.999674797000001</v>
      </c>
      <c r="G350">
        <v>1341.7114257999999</v>
      </c>
      <c r="H350">
        <v>1338.9962158000001</v>
      </c>
      <c r="I350">
        <v>1320.2049560999999</v>
      </c>
      <c r="J350">
        <v>1315.6660156</v>
      </c>
      <c r="K350">
        <v>2750</v>
      </c>
      <c r="L350">
        <v>0</v>
      </c>
      <c r="M350">
        <v>0</v>
      </c>
      <c r="N350">
        <v>2750</v>
      </c>
    </row>
    <row r="351" spans="1:14" x14ac:dyDescent="0.25">
      <c r="A351">
        <v>30.481158000000001</v>
      </c>
      <c r="B351" s="1">
        <f>DATE(2010,5,31) + TIME(11,32,52)</f>
        <v>40329.481157407405</v>
      </c>
      <c r="C351">
        <v>80</v>
      </c>
      <c r="D351">
        <v>79.950035095000004</v>
      </c>
      <c r="E351">
        <v>60</v>
      </c>
      <c r="F351">
        <v>14.999675751</v>
      </c>
      <c r="G351">
        <v>1341.7030029</v>
      </c>
      <c r="H351">
        <v>1338.9901123</v>
      </c>
      <c r="I351">
        <v>1320.2056885</v>
      </c>
      <c r="J351">
        <v>1315.666626</v>
      </c>
      <c r="K351">
        <v>2750</v>
      </c>
      <c r="L351">
        <v>0</v>
      </c>
      <c r="M351">
        <v>0</v>
      </c>
      <c r="N351">
        <v>2750</v>
      </c>
    </row>
    <row r="352" spans="1:14" x14ac:dyDescent="0.25">
      <c r="A352">
        <v>30.759086</v>
      </c>
      <c r="B352" s="1">
        <f>DATE(2010,5,31) + TIME(18,13,5)</f>
        <v>40329.759085648147</v>
      </c>
      <c r="C352">
        <v>80</v>
      </c>
      <c r="D352">
        <v>79.950012207</v>
      </c>
      <c r="E352">
        <v>60</v>
      </c>
      <c r="F352">
        <v>14.999676704000001</v>
      </c>
      <c r="G352">
        <v>1341.6945800999999</v>
      </c>
      <c r="H352">
        <v>1338.9841309000001</v>
      </c>
      <c r="I352">
        <v>1320.2064209</v>
      </c>
      <c r="J352">
        <v>1315.6672363</v>
      </c>
      <c r="K352">
        <v>2750</v>
      </c>
      <c r="L352">
        <v>0</v>
      </c>
      <c r="M352">
        <v>0</v>
      </c>
      <c r="N352">
        <v>2750</v>
      </c>
    </row>
    <row r="353" spans="1:14" x14ac:dyDescent="0.25">
      <c r="A353">
        <v>31</v>
      </c>
      <c r="B353" s="1">
        <f>DATE(2010,6,1) + TIME(0,0,0)</f>
        <v>40330</v>
      </c>
      <c r="C353">
        <v>80</v>
      </c>
      <c r="D353">
        <v>79.949996948000006</v>
      </c>
      <c r="E353">
        <v>60</v>
      </c>
      <c r="F353">
        <v>14.999678612</v>
      </c>
      <c r="G353">
        <v>1341.6861572</v>
      </c>
      <c r="H353">
        <v>1338.9780272999999</v>
      </c>
      <c r="I353">
        <v>1320.2071533000001</v>
      </c>
      <c r="J353">
        <v>1315.6678466999999</v>
      </c>
      <c r="K353">
        <v>2750</v>
      </c>
      <c r="L353">
        <v>0</v>
      </c>
      <c r="M353">
        <v>0</v>
      </c>
      <c r="N353">
        <v>2750</v>
      </c>
    </row>
    <row r="354" spans="1:14" x14ac:dyDescent="0.25">
      <c r="A354">
        <v>31.281943999999999</v>
      </c>
      <c r="B354" s="1">
        <f>DATE(2010,6,1) + TIME(6,45,59)</f>
        <v>40330.28193287037</v>
      </c>
      <c r="C354">
        <v>80</v>
      </c>
      <c r="D354">
        <v>79.949981688999998</v>
      </c>
      <c r="E354">
        <v>60</v>
      </c>
      <c r="F354">
        <v>14.999679564999999</v>
      </c>
      <c r="G354">
        <v>1341.6789550999999</v>
      </c>
      <c r="H354">
        <v>1338.9729004000001</v>
      </c>
      <c r="I354">
        <v>1320.2078856999999</v>
      </c>
      <c r="J354">
        <v>1315.6683350000001</v>
      </c>
      <c r="K354">
        <v>2750</v>
      </c>
      <c r="L354">
        <v>0</v>
      </c>
      <c r="M354">
        <v>0</v>
      </c>
      <c r="N354">
        <v>2750</v>
      </c>
    </row>
    <row r="355" spans="1:14" x14ac:dyDescent="0.25">
      <c r="A355">
        <v>31.573128000000001</v>
      </c>
      <c r="B355" s="1">
        <f>DATE(2010,6,1) + TIME(13,45,18)</f>
        <v>40330.573125000003</v>
      </c>
      <c r="C355">
        <v>80</v>
      </c>
      <c r="D355">
        <v>79.949958800999994</v>
      </c>
      <c r="E355">
        <v>60</v>
      </c>
      <c r="F355">
        <v>14.999680519</v>
      </c>
      <c r="G355">
        <v>1341.6705322</v>
      </c>
      <c r="H355">
        <v>1338.9667969</v>
      </c>
      <c r="I355">
        <v>1320.2087402</v>
      </c>
      <c r="J355">
        <v>1315.6689452999999</v>
      </c>
      <c r="K355">
        <v>2750</v>
      </c>
      <c r="L355">
        <v>0</v>
      </c>
      <c r="M355">
        <v>0</v>
      </c>
      <c r="N355">
        <v>2750</v>
      </c>
    </row>
    <row r="356" spans="1:14" x14ac:dyDescent="0.25">
      <c r="A356">
        <v>31.721629</v>
      </c>
      <c r="B356" s="1">
        <f>DATE(2010,6,1) + TIME(17,19,8)</f>
        <v>40330.721620370372</v>
      </c>
      <c r="C356">
        <v>80</v>
      </c>
      <c r="D356">
        <v>79.949943542</v>
      </c>
      <c r="E356">
        <v>60</v>
      </c>
      <c r="F356">
        <v>14.999681473000001</v>
      </c>
      <c r="G356">
        <v>1341.6618652</v>
      </c>
      <c r="H356">
        <v>1338.9605713000001</v>
      </c>
      <c r="I356">
        <v>1320.2094727000001</v>
      </c>
      <c r="J356">
        <v>1315.6695557</v>
      </c>
      <c r="K356">
        <v>2750</v>
      </c>
      <c r="L356">
        <v>0</v>
      </c>
      <c r="M356">
        <v>0</v>
      </c>
      <c r="N356">
        <v>2750</v>
      </c>
    </row>
    <row r="357" spans="1:14" x14ac:dyDescent="0.25">
      <c r="A357">
        <v>31.870128999999999</v>
      </c>
      <c r="B357" s="1">
        <f>DATE(2010,6,1) + TIME(20,52,59)</f>
        <v>40330.870127314818</v>
      </c>
      <c r="C357">
        <v>80</v>
      </c>
      <c r="D357">
        <v>79.949935913000004</v>
      </c>
      <c r="E357">
        <v>60</v>
      </c>
      <c r="F357">
        <v>14.999682426</v>
      </c>
      <c r="G357">
        <v>1341.6574707</v>
      </c>
      <c r="H357">
        <v>1338.9573975000001</v>
      </c>
      <c r="I357">
        <v>1320.2098389</v>
      </c>
      <c r="J357">
        <v>1315.6699219</v>
      </c>
      <c r="K357">
        <v>2750</v>
      </c>
      <c r="L357">
        <v>0</v>
      </c>
      <c r="M357">
        <v>0</v>
      </c>
      <c r="N357">
        <v>2750</v>
      </c>
    </row>
    <row r="358" spans="1:14" x14ac:dyDescent="0.25">
      <c r="A358">
        <v>32.018628999999997</v>
      </c>
      <c r="B358" s="1">
        <f>DATE(2010,6,2) + TIME(0,26,49)</f>
        <v>40331.018622685187</v>
      </c>
      <c r="C358">
        <v>80</v>
      </c>
      <c r="D358">
        <v>79.949920653999996</v>
      </c>
      <c r="E358">
        <v>60</v>
      </c>
      <c r="F358">
        <v>14.99968338</v>
      </c>
      <c r="G358">
        <v>1341.6530762</v>
      </c>
      <c r="H358">
        <v>1338.9542236</v>
      </c>
      <c r="I358">
        <v>1320.2103271000001</v>
      </c>
      <c r="J358">
        <v>1315.6702881000001</v>
      </c>
      <c r="K358">
        <v>2750</v>
      </c>
      <c r="L358">
        <v>0</v>
      </c>
      <c r="M358">
        <v>0</v>
      </c>
      <c r="N358">
        <v>2750</v>
      </c>
    </row>
    <row r="359" spans="1:14" x14ac:dyDescent="0.25">
      <c r="A359">
        <v>32.167129000000003</v>
      </c>
      <c r="B359" s="1">
        <f>DATE(2010,6,2) + TIME(4,0,39)</f>
        <v>40331.167118055557</v>
      </c>
      <c r="C359">
        <v>80</v>
      </c>
      <c r="D359">
        <v>79.949905396000005</v>
      </c>
      <c r="E359">
        <v>60</v>
      </c>
      <c r="F359">
        <v>14.99968338</v>
      </c>
      <c r="G359">
        <v>1341.6488036999999</v>
      </c>
      <c r="H359">
        <v>1338.9510498</v>
      </c>
      <c r="I359">
        <v>1320.2106934000001</v>
      </c>
      <c r="J359">
        <v>1315.6705322</v>
      </c>
      <c r="K359">
        <v>2750</v>
      </c>
      <c r="L359">
        <v>0</v>
      </c>
      <c r="M359">
        <v>0</v>
      </c>
      <c r="N359">
        <v>2750</v>
      </c>
    </row>
    <row r="360" spans="1:14" x14ac:dyDescent="0.25">
      <c r="A360">
        <v>32.315629999999999</v>
      </c>
      <c r="B360" s="1">
        <f>DATE(2010,6,2) + TIME(7,34,30)</f>
        <v>40331.315625000003</v>
      </c>
      <c r="C360">
        <v>80</v>
      </c>
      <c r="D360">
        <v>79.949897766000007</v>
      </c>
      <c r="E360">
        <v>60</v>
      </c>
      <c r="F360">
        <v>14.999684333999999</v>
      </c>
      <c r="G360">
        <v>1341.6445312000001</v>
      </c>
      <c r="H360">
        <v>1338.9479980000001</v>
      </c>
      <c r="I360">
        <v>1320.2111815999999</v>
      </c>
      <c r="J360">
        <v>1315.6708983999999</v>
      </c>
      <c r="K360">
        <v>2750</v>
      </c>
      <c r="L360">
        <v>0</v>
      </c>
      <c r="M360">
        <v>0</v>
      </c>
      <c r="N360">
        <v>2750</v>
      </c>
    </row>
    <row r="361" spans="1:14" x14ac:dyDescent="0.25">
      <c r="A361">
        <v>32.464008</v>
      </c>
      <c r="B361" s="1">
        <f>DATE(2010,6,2) + TIME(11,8,10)</f>
        <v>40331.464004629626</v>
      </c>
      <c r="C361">
        <v>80</v>
      </c>
      <c r="D361">
        <v>79.949890136999997</v>
      </c>
      <c r="E361">
        <v>60</v>
      </c>
      <c r="F361">
        <v>14.999685287</v>
      </c>
      <c r="G361">
        <v>1341.6402588000001</v>
      </c>
      <c r="H361">
        <v>1338.9449463000001</v>
      </c>
      <c r="I361">
        <v>1320.2115478999999</v>
      </c>
      <c r="J361">
        <v>1315.6712646000001</v>
      </c>
      <c r="K361">
        <v>2750</v>
      </c>
      <c r="L361">
        <v>0</v>
      </c>
      <c r="M361">
        <v>0</v>
      </c>
      <c r="N361">
        <v>2750</v>
      </c>
    </row>
    <row r="362" spans="1:14" x14ac:dyDescent="0.25">
      <c r="A362">
        <v>32.612099000000001</v>
      </c>
      <c r="B362" s="1">
        <f>DATE(2010,6,2) + TIME(14,41,25)</f>
        <v>40331.61209490741</v>
      </c>
      <c r="C362">
        <v>80</v>
      </c>
      <c r="D362">
        <v>79.949874878000003</v>
      </c>
      <c r="E362">
        <v>60</v>
      </c>
      <c r="F362">
        <v>14.999686240999999</v>
      </c>
      <c r="G362">
        <v>1341.6359863</v>
      </c>
      <c r="H362">
        <v>1338.9417725000001</v>
      </c>
      <c r="I362">
        <v>1320.2120361</v>
      </c>
      <c r="J362">
        <v>1315.6716309000001</v>
      </c>
      <c r="K362">
        <v>2750</v>
      </c>
      <c r="L362">
        <v>0</v>
      </c>
      <c r="M362">
        <v>0</v>
      </c>
      <c r="N362">
        <v>2750</v>
      </c>
    </row>
    <row r="363" spans="1:14" x14ac:dyDescent="0.25">
      <c r="A363">
        <v>32.759988999999997</v>
      </c>
      <c r="B363" s="1">
        <f>DATE(2010,6,2) + TIME(18,14,23)</f>
        <v>40331.759988425925</v>
      </c>
      <c r="C363">
        <v>80</v>
      </c>
      <c r="D363">
        <v>79.949867248999993</v>
      </c>
      <c r="E363">
        <v>60</v>
      </c>
      <c r="F363">
        <v>14.999686240999999</v>
      </c>
      <c r="G363">
        <v>1341.6317139</v>
      </c>
      <c r="H363">
        <v>1338.9387207</v>
      </c>
      <c r="I363">
        <v>1320.2124022999999</v>
      </c>
      <c r="J363">
        <v>1315.671875</v>
      </c>
      <c r="K363">
        <v>2750</v>
      </c>
      <c r="L363">
        <v>0</v>
      </c>
      <c r="M363">
        <v>0</v>
      </c>
      <c r="N363">
        <v>2750</v>
      </c>
    </row>
    <row r="364" spans="1:14" x14ac:dyDescent="0.25">
      <c r="A364">
        <v>32.907733</v>
      </c>
      <c r="B364" s="1">
        <f>DATE(2010,6,2) + TIME(21,47,8)</f>
        <v>40331.907731481479</v>
      </c>
      <c r="C364">
        <v>80</v>
      </c>
      <c r="D364">
        <v>79.949859618999994</v>
      </c>
      <c r="E364">
        <v>60</v>
      </c>
      <c r="F364">
        <v>14.999687195</v>
      </c>
      <c r="G364">
        <v>1341.6274414</v>
      </c>
      <c r="H364">
        <v>1338.9356689000001</v>
      </c>
      <c r="I364">
        <v>1320.2128906</v>
      </c>
      <c r="J364">
        <v>1315.6722411999999</v>
      </c>
      <c r="K364">
        <v>2750</v>
      </c>
      <c r="L364">
        <v>0</v>
      </c>
      <c r="M364">
        <v>0</v>
      </c>
      <c r="N364">
        <v>2750</v>
      </c>
    </row>
    <row r="365" spans="1:14" x14ac:dyDescent="0.25">
      <c r="A365">
        <v>33.055438000000002</v>
      </c>
      <c r="B365" s="1">
        <f>DATE(2010,6,3) + TIME(1,19,49)</f>
        <v>40332.055428240739</v>
      </c>
      <c r="C365">
        <v>80</v>
      </c>
      <c r="D365">
        <v>79.949851989999999</v>
      </c>
      <c r="E365">
        <v>60</v>
      </c>
      <c r="F365">
        <v>14.999688148000001</v>
      </c>
      <c r="G365">
        <v>1341.6232910000001</v>
      </c>
      <c r="H365">
        <v>1338.9326172000001</v>
      </c>
      <c r="I365">
        <v>1320.2132568</v>
      </c>
      <c r="J365">
        <v>1315.6726074000001</v>
      </c>
      <c r="K365">
        <v>2750</v>
      </c>
      <c r="L365">
        <v>0</v>
      </c>
      <c r="M365">
        <v>0</v>
      </c>
      <c r="N365">
        <v>2750</v>
      </c>
    </row>
    <row r="366" spans="1:14" x14ac:dyDescent="0.25">
      <c r="A366">
        <v>33.203142999999997</v>
      </c>
      <c r="B366" s="1">
        <f>DATE(2010,6,3) + TIME(4,52,31)</f>
        <v>40332.203136574077</v>
      </c>
      <c r="C366">
        <v>80</v>
      </c>
      <c r="D366">
        <v>79.949836731000005</v>
      </c>
      <c r="E366">
        <v>60</v>
      </c>
      <c r="F366">
        <v>14.999689102</v>
      </c>
      <c r="G366">
        <v>1341.6191406</v>
      </c>
      <c r="H366">
        <v>1338.9296875</v>
      </c>
      <c r="I366">
        <v>1320.2137451000001</v>
      </c>
      <c r="J366">
        <v>1315.6728516000001</v>
      </c>
      <c r="K366">
        <v>2750</v>
      </c>
      <c r="L366">
        <v>0</v>
      </c>
      <c r="M366">
        <v>0</v>
      </c>
      <c r="N366">
        <v>2750</v>
      </c>
    </row>
    <row r="367" spans="1:14" x14ac:dyDescent="0.25">
      <c r="A367">
        <v>33.350847999999999</v>
      </c>
      <c r="B367" s="1">
        <f>DATE(2010,6,3) + TIME(8,25,13)</f>
        <v>40332.350844907407</v>
      </c>
      <c r="C367">
        <v>80</v>
      </c>
      <c r="D367">
        <v>79.949829101999995</v>
      </c>
      <c r="E367">
        <v>60</v>
      </c>
      <c r="F367">
        <v>14.999689102</v>
      </c>
      <c r="G367">
        <v>1341.6148682</v>
      </c>
      <c r="H367">
        <v>1338.9266356999999</v>
      </c>
      <c r="I367">
        <v>1320.2141113</v>
      </c>
      <c r="J367">
        <v>1315.6732178</v>
      </c>
      <c r="K367">
        <v>2750</v>
      </c>
      <c r="L367">
        <v>0</v>
      </c>
      <c r="M367">
        <v>0</v>
      </c>
      <c r="N367">
        <v>2750</v>
      </c>
    </row>
    <row r="368" spans="1:14" x14ac:dyDescent="0.25">
      <c r="A368">
        <v>33.498553000000001</v>
      </c>
      <c r="B368" s="1">
        <f>DATE(2010,6,3) + TIME(11,57,55)</f>
        <v>40332.498553240737</v>
      </c>
      <c r="C368">
        <v>80</v>
      </c>
      <c r="D368">
        <v>79.949821471999996</v>
      </c>
      <c r="E368">
        <v>60</v>
      </c>
      <c r="F368">
        <v>14.999690056</v>
      </c>
      <c r="G368">
        <v>1341.6107178</v>
      </c>
      <c r="H368">
        <v>1338.9237060999999</v>
      </c>
      <c r="I368">
        <v>1320.2145995999999</v>
      </c>
      <c r="J368">
        <v>1315.6735839999999</v>
      </c>
      <c r="K368">
        <v>2750</v>
      </c>
      <c r="L368">
        <v>0</v>
      </c>
      <c r="M368">
        <v>0</v>
      </c>
      <c r="N368">
        <v>2750</v>
      </c>
    </row>
    <row r="369" spans="1:14" x14ac:dyDescent="0.25">
      <c r="A369">
        <v>33.646258000000003</v>
      </c>
      <c r="B369" s="1">
        <f>DATE(2010,6,3) + TIME(15,30,36)</f>
        <v>40332.646249999998</v>
      </c>
      <c r="C369">
        <v>80</v>
      </c>
      <c r="D369">
        <v>79.949813843000001</v>
      </c>
      <c r="E369">
        <v>60</v>
      </c>
      <c r="F369">
        <v>14.999691009999999</v>
      </c>
      <c r="G369">
        <v>1341.6066894999999</v>
      </c>
      <c r="H369">
        <v>1338.9206543</v>
      </c>
      <c r="I369">
        <v>1320.2149658000001</v>
      </c>
      <c r="J369">
        <v>1315.6739502</v>
      </c>
      <c r="K369">
        <v>2750</v>
      </c>
      <c r="L369">
        <v>0</v>
      </c>
      <c r="M369">
        <v>0</v>
      </c>
      <c r="N369">
        <v>2750</v>
      </c>
    </row>
    <row r="370" spans="1:14" x14ac:dyDescent="0.25">
      <c r="A370">
        <v>33.793962999999998</v>
      </c>
      <c r="B370" s="1">
        <f>DATE(2010,6,3) + TIME(19,3,18)</f>
        <v>40332.793958333335</v>
      </c>
      <c r="C370">
        <v>80</v>
      </c>
      <c r="D370">
        <v>79.949806213000002</v>
      </c>
      <c r="E370">
        <v>60</v>
      </c>
      <c r="F370">
        <v>14.999691009999999</v>
      </c>
      <c r="G370">
        <v>1341.6025391000001</v>
      </c>
      <c r="H370">
        <v>1338.9177245999999</v>
      </c>
      <c r="I370">
        <v>1320.2154541</v>
      </c>
      <c r="J370">
        <v>1315.6741943</v>
      </c>
      <c r="K370">
        <v>2750</v>
      </c>
      <c r="L370">
        <v>0</v>
      </c>
      <c r="M370">
        <v>0</v>
      </c>
      <c r="N370">
        <v>2750</v>
      </c>
    </row>
    <row r="371" spans="1:14" x14ac:dyDescent="0.25">
      <c r="A371">
        <v>33.941668</v>
      </c>
      <c r="B371" s="1">
        <f>DATE(2010,6,3) + TIME(22,36,0)</f>
        <v>40332.941666666666</v>
      </c>
      <c r="C371">
        <v>80</v>
      </c>
      <c r="D371">
        <v>79.949798584000007</v>
      </c>
      <c r="E371">
        <v>60</v>
      </c>
      <c r="F371">
        <v>14.999691963</v>
      </c>
      <c r="G371">
        <v>1341.5983887</v>
      </c>
      <c r="H371">
        <v>1338.9146728999999</v>
      </c>
      <c r="I371">
        <v>1320.2158202999999</v>
      </c>
      <c r="J371">
        <v>1315.6745605000001</v>
      </c>
      <c r="K371">
        <v>2750</v>
      </c>
      <c r="L371">
        <v>0</v>
      </c>
      <c r="M371">
        <v>0</v>
      </c>
      <c r="N371">
        <v>2750</v>
      </c>
    </row>
    <row r="372" spans="1:14" x14ac:dyDescent="0.25">
      <c r="A372">
        <v>34.089373000000002</v>
      </c>
      <c r="B372" s="1">
        <f>DATE(2010,6,4) + TIME(2,8,41)</f>
        <v>40333.089363425926</v>
      </c>
      <c r="C372">
        <v>80</v>
      </c>
      <c r="D372">
        <v>79.949790954999997</v>
      </c>
      <c r="E372">
        <v>60</v>
      </c>
      <c r="F372">
        <v>14.999692917000001</v>
      </c>
      <c r="G372">
        <v>1341.5943603999999</v>
      </c>
      <c r="H372">
        <v>1338.9117432</v>
      </c>
      <c r="I372">
        <v>1320.2163086</v>
      </c>
      <c r="J372">
        <v>1315.6749268000001</v>
      </c>
      <c r="K372">
        <v>2750</v>
      </c>
      <c r="L372">
        <v>0</v>
      </c>
      <c r="M372">
        <v>0</v>
      </c>
      <c r="N372">
        <v>2750</v>
      </c>
    </row>
    <row r="373" spans="1:14" x14ac:dyDescent="0.25">
      <c r="A373">
        <v>34.384782999999999</v>
      </c>
      <c r="B373" s="1">
        <f>DATE(2010,6,4) + TIME(9,14,5)</f>
        <v>40333.384780092594</v>
      </c>
      <c r="C373">
        <v>80</v>
      </c>
      <c r="D373">
        <v>79.949783324999999</v>
      </c>
      <c r="E373">
        <v>60</v>
      </c>
      <c r="F373">
        <v>14.999693871</v>
      </c>
      <c r="G373">
        <v>1341.590332</v>
      </c>
      <c r="H373">
        <v>1338.9089355000001</v>
      </c>
      <c r="I373">
        <v>1320.2166748</v>
      </c>
      <c r="J373">
        <v>1315.675293</v>
      </c>
      <c r="K373">
        <v>2750</v>
      </c>
      <c r="L373">
        <v>0</v>
      </c>
      <c r="M373">
        <v>0</v>
      </c>
      <c r="N373">
        <v>2750</v>
      </c>
    </row>
    <row r="374" spans="1:14" x14ac:dyDescent="0.25">
      <c r="A374">
        <v>34.681015000000002</v>
      </c>
      <c r="B374" s="1">
        <f>DATE(2010,6,4) + TIME(16,20,39)</f>
        <v>40333.681006944447</v>
      </c>
      <c r="C374">
        <v>80</v>
      </c>
      <c r="D374">
        <v>79.949768066000004</v>
      </c>
      <c r="E374">
        <v>60</v>
      </c>
      <c r="F374">
        <v>14.999694824000001</v>
      </c>
      <c r="G374">
        <v>1341.5822754000001</v>
      </c>
      <c r="H374">
        <v>1338.9030762</v>
      </c>
      <c r="I374">
        <v>1320.2175293</v>
      </c>
      <c r="J374">
        <v>1315.6759033000001</v>
      </c>
      <c r="K374">
        <v>2750</v>
      </c>
      <c r="L374">
        <v>0</v>
      </c>
      <c r="M374">
        <v>0</v>
      </c>
      <c r="N374">
        <v>2750</v>
      </c>
    </row>
    <row r="375" spans="1:14" x14ac:dyDescent="0.25">
      <c r="A375">
        <v>34.981028999999999</v>
      </c>
      <c r="B375" s="1">
        <f>DATE(2010,6,4) + TIME(23,32,40)</f>
        <v>40333.98101851852</v>
      </c>
      <c r="C375">
        <v>80</v>
      </c>
      <c r="D375">
        <v>79.949760436999995</v>
      </c>
      <c r="E375">
        <v>60</v>
      </c>
      <c r="F375">
        <v>14.999695778</v>
      </c>
      <c r="G375">
        <v>1341.5742187999999</v>
      </c>
      <c r="H375">
        <v>1338.8972168</v>
      </c>
      <c r="I375">
        <v>1320.2185059000001</v>
      </c>
      <c r="J375">
        <v>1315.6766356999999</v>
      </c>
      <c r="K375">
        <v>2750</v>
      </c>
      <c r="L375">
        <v>0</v>
      </c>
      <c r="M375">
        <v>0</v>
      </c>
      <c r="N375">
        <v>2750</v>
      </c>
    </row>
    <row r="376" spans="1:14" x14ac:dyDescent="0.25">
      <c r="A376">
        <v>35.285474999999998</v>
      </c>
      <c r="B376" s="1">
        <f>DATE(2010,6,5) + TIME(6,51,5)</f>
        <v>40334.285474537035</v>
      </c>
      <c r="C376">
        <v>80</v>
      </c>
      <c r="D376">
        <v>79.949745178000001</v>
      </c>
      <c r="E376">
        <v>60</v>
      </c>
      <c r="F376">
        <v>14.999697684999999</v>
      </c>
      <c r="G376">
        <v>1341.5661620999999</v>
      </c>
      <c r="H376">
        <v>1338.8913574000001</v>
      </c>
      <c r="I376">
        <v>1320.2193603999999</v>
      </c>
      <c r="J376">
        <v>1315.6772461</v>
      </c>
      <c r="K376">
        <v>2750</v>
      </c>
      <c r="L376">
        <v>0</v>
      </c>
      <c r="M376">
        <v>0</v>
      </c>
      <c r="N376">
        <v>2750</v>
      </c>
    </row>
    <row r="377" spans="1:14" x14ac:dyDescent="0.25">
      <c r="A377">
        <v>35.595073999999997</v>
      </c>
      <c r="B377" s="1">
        <f>DATE(2010,6,5) + TIME(14,16,54)</f>
        <v>40334.595069444447</v>
      </c>
      <c r="C377">
        <v>80</v>
      </c>
      <c r="D377">
        <v>79.949729919000006</v>
      </c>
      <c r="E377">
        <v>60</v>
      </c>
      <c r="F377">
        <v>14.999698639</v>
      </c>
      <c r="G377">
        <v>1341.5579834</v>
      </c>
      <c r="H377">
        <v>1338.8854980000001</v>
      </c>
      <c r="I377">
        <v>1320.2202147999999</v>
      </c>
      <c r="J377">
        <v>1315.6779785000001</v>
      </c>
      <c r="K377">
        <v>2750</v>
      </c>
      <c r="L377">
        <v>0</v>
      </c>
      <c r="M377">
        <v>0</v>
      </c>
      <c r="N377">
        <v>2750</v>
      </c>
    </row>
    <row r="378" spans="1:14" x14ac:dyDescent="0.25">
      <c r="A378">
        <v>35.910654000000001</v>
      </c>
      <c r="B378" s="1">
        <f>DATE(2010,6,5) + TIME(21,51,20)</f>
        <v>40334.91064814815</v>
      </c>
      <c r="C378">
        <v>80</v>
      </c>
      <c r="D378">
        <v>79.949714661000002</v>
      </c>
      <c r="E378">
        <v>60</v>
      </c>
      <c r="F378">
        <v>14.999699593000001</v>
      </c>
      <c r="G378">
        <v>1341.5498047000001</v>
      </c>
      <c r="H378">
        <v>1338.8795166</v>
      </c>
      <c r="I378">
        <v>1320.2211914</v>
      </c>
      <c r="J378">
        <v>1315.6787108999999</v>
      </c>
      <c r="K378">
        <v>2750</v>
      </c>
      <c r="L378">
        <v>0</v>
      </c>
      <c r="M378">
        <v>0</v>
      </c>
      <c r="N378">
        <v>2750</v>
      </c>
    </row>
    <row r="379" spans="1:14" x14ac:dyDescent="0.25">
      <c r="A379">
        <v>36.070765999999999</v>
      </c>
      <c r="B379" s="1">
        <f>DATE(2010,6,6) + TIME(1,41,54)</f>
        <v>40335.070763888885</v>
      </c>
      <c r="C379">
        <v>80</v>
      </c>
      <c r="D379">
        <v>79.949699401999993</v>
      </c>
      <c r="E379">
        <v>60</v>
      </c>
      <c r="F379">
        <v>14.999700546</v>
      </c>
      <c r="G379">
        <v>1341.5413818</v>
      </c>
      <c r="H379">
        <v>1338.8734131000001</v>
      </c>
      <c r="I379">
        <v>1320.2220459</v>
      </c>
      <c r="J379">
        <v>1315.6794434000001</v>
      </c>
      <c r="K379">
        <v>2750</v>
      </c>
      <c r="L379">
        <v>0</v>
      </c>
      <c r="M379">
        <v>0</v>
      </c>
      <c r="N379">
        <v>2750</v>
      </c>
    </row>
    <row r="380" spans="1:14" x14ac:dyDescent="0.25">
      <c r="A380">
        <v>36.230352000000003</v>
      </c>
      <c r="B380" s="1">
        <f>DATE(2010,6,6) + TIME(5,31,42)</f>
        <v>40335.230347222219</v>
      </c>
      <c r="C380">
        <v>80</v>
      </c>
      <c r="D380">
        <v>79.949691771999994</v>
      </c>
      <c r="E380">
        <v>60</v>
      </c>
      <c r="F380">
        <v>14.9997015</v>
      </c>
      <c r="G380">
        <v>1341.5372314000001</v>
      </c>
      <c r="H380">
        <v>1338.8702393000001</v>
      </c>
      <c r="I380">
        <v>1320.2225341999999</v>
      </c>
      <c r="J380">
        <v>1315.6798096</v>
      </c>
      <c r="K380">
        <v>2750</v>
      </c>
      <c r="L380">
        <v>0</v>
      </c>
      <c r="M380">
        <v>0</v>
      </c>
      <c r="N380">
        <v>2750</v>
      </c>
    </row>
    <row r="381" spans="1:14" x14ac:dyDescent="0.25">
      <c r="A381">
        <v>36.389384</v>
      </c>
      <c r="B381" s="1">
        <f>DATE(2010,6,6) + TIME(9,20,42)</f>
        <v>40335.389374999999</v>
      </c>
      <c r="C381">
        <v>80</v>
      </c>
      <c r="D381">
        <v>79.949676514000004</v>
      </c>
      <c r="E381">
        <v>60</v>
      </c>
      <c r="F381">
        <v>14.999702453999999</v>
      </c>
      <c r="G381">
        <v>1341.5330810999999</v>
      </c>
      <c r="H381">
        <v>1338.8673096</v>
      </c>
      <c r="I381">
        <v>1320.2230225000001</v>
      </c>
      <c r="J381">
        <v>1315.6801757999999</v>
      </c>
      <c r="K381">
        <v>2750</v>
      </c>
      <c r="L381">
        <v>0</v>
      </c>
      <c r="M381">
        <v>0</v>
      </c>
      <c r="N381">
        <v>2750</v>
      </c>
    </row>
    <row r="382" spans="1:14" x14ac:dyDescent="0.25">
      <c r="A382">
        <v>36.547963000000003</v>
      </c>
      <c r="B382" s="1">
        <f>DATE(2010,6,6) + TIME(13,9,3)</f>
        <v>40335.547951388886</v>
      </c>
      <c r="C382">
        <v>80</v>
      </c>
      <c r="D382">
        <v>79.949668884000005</v>
      </c>
      <c r="E382">
        <v>60</v>
      </c>
      <c r="F382">
        <v>14.999703407</v>
      </c>
      <c r="G382">
        <v>1341.5289307</v>
      </c>
      <c r="H382">
        <v>1338.8642577999999</v>
      </c>
      <c r="I382">
        <v>1320.2235106999999</v>
      </c>
      <c r="J382">
        <v>1315.6805420000001</v>
      </c>
      <c r="K382">
        <v>2750</v>
      </c>
      <c r="L382">
        <v>0</v>
      </c>
      <c r="M382">
        <v>0</v>
      </c>
      <c r="N382">
        <v>2750</v>
      </c>
    </row>
    <row r="383" spans="1:14" x14ac:dyDescent="0.25">
      <c r="A383">
        <v>36.706189999999999</v>
      </c>
      <c r="B383" s="1">
        <f>DATE(2010,6,6) + TIME(16,56,54)</f>
        <v>40335.706180555557</v>
      </c>
      <c r="C383">
        <v>80</v>
      </c>
      <c r="D383">
        <v>79.949661254999995</v>
      </c>
      <c r="E383">
        <v>60</v>
      </c>
      <c r="F383">
        <v>14.999703407</v>
      </c>
      <c r="G383">
        <v>1341.5247803</v>
      </c>
      <c r="H383">
        <v>1338.8612060999999</v>
      </c>
      <c r="I383">
        <v>1320.223999</v>
      </c>
      <c r="J383">
        <v>1315.6809082</v>
      </c>
      <c r="K383">
        <v>2750</v>
      </c>
      <c r="L383">
        <v>0</v>
      </c>
      <c r="M383">
        <v>0</v>
      </c>
      <c r="N383">
        <v>2750</v>
      </c>
    </row>
    <row r="384" spans="1:14" x14ac:dyDescent="0.25">
      <c r="A384">
        <v>36.864164000000002</v>
      </c>
      <c r="B384" s="1">
        <f>DATE(2010,6,6) + TIME(20,44,23)</f>
        <v>40335.864155092589</v>
      </c>
      <c r="C384">
        <v>80</v>
      </c>
      <c r="D384">
        <v>79.949653624999996</v>
      </c>
      <c r="E384">
        <v>60</v>
      </c>
      <c r="F384">
        <v>14.999704360999999</v>
      </c>
      <c r="G384">
        <v>1341.5207519999999</v>
      </c>
      <c r="H384">
        <v>1338.8582764</v>
      </c>
      <c r="I384">
        <v>1320.2244873</v>
      </c>
      <c r="J384">
        <v>1315.6812743999999</v>
      </c>
      <c r="K384">
        <v>2750</v>
      </c>
      <c r="L384">
        <v>0</v>
      </c>
      <c r="M384">
        <v>0</v>
      </c>
      <c r="N384">
        <v>2750</v>
      </c>
    </row>
    <row r="385" spans="1:14" x14ac:dyDescent="0.25">
      <c r="A385">
        <v>37.021963</v>
      </c>
      <c r="B385" s="1">
        <f>DATE(2010,6,7) + TIME(0,31,37)</f>
        <v>40336.021956018521</v>
      </c>
      <c r="C385">
        <v>80</v>
      </c>
      <c r="D385">
        <v>79.949645996000001</v>
      </c>
      <c r="E385">
        <v>60</v>
      </c>
      <c r="F385">
        <v>14.999705315</v>
      </c>
      <c r="G385">
        <v>1341.5167236</v>
      </c>
      <c r="H385">
        <v>1338.8553466999999</v>
      </c>
      <c r="I385">
        <v>1320.2248535000001</v>
      </c>
      <c r="J385">
        <v>1315.6816406</v>
      </c>
      <c r="K385">
        <v>2750</v>
      </c>
      <c r="L385">
        <v>0</v>
      </c>
      <c r="M385">
        <v>0</v>
      </c>
      <c r="N385">
        <v>2750</v>
      </c>
    </row>
    <row r="386" spans="1:14" x14ac:dyDescent="0.25">
      <c r="A386">
        <v>37.179678000000003</v>
      </c>
      <c r="B386" s="1">
        <f>DATE(2010,6,7) + TIME(4,18,44)</f>
        <v>40336.179675925923</v>
      </c>
      <c r="C386">
        <v>80</v>
      </c>
      <c r="D386">
        <v>79.949638367000006</v>
      </c>
      <c r="E386">
        <v>60</v>
      </c>
      <c r="F386">
        <v>14.999705315</v>
      </c>
      <c r="G386">
        <v>1341.5126952999999</v>
      </c>
      <c r="H386">
        <v>1338.8524170000001</v>
      </c>
      <c r="I386">
        <v>1320.2253418</v>
      </c>
      <c r="J386">
        <v>1315.6820068</v>
      </c>
      <c r="K386">
        <v>2750</v>
      </c>
      <c r="L386">
        <v>0</v>
      </c>
      <c r="M386">
        <v>0</v>
      </c>
      <c r="N386">
        <v>2750</v>
      </c>
    </row>
    <row r="387" spans="1:14" x14ac:dyDescent="0.25">
      <c r="A387">
        <v>37.337392999999999</v>
      </c>
      <c r="B387" s="1">
        <f>DATE(2010,6,7) + TIME(8,5,50)</f>
        <v>40336.337384259263</v>
      </c>
      <c r="C387">
        <v>80</v>
      </c>
      <c r="D387">
        <v>79.949630737000007</v>
      </c>
      <c r="E387">
        <v>60</v>
      </c>
      <c r="F387">
        <v>14.999706268000001</v>
      </c>
      <c r="G387">
        <v>1341.5086670000001</v>
      </c>
      <c r="H387">
        <v>1338.8494873</v>
      </c>
      <c r="I387">
        <v>1320.2258300999999</v>
      </c>
      <c r="J387">
        <v>1315.6823730000001</v>
      </c>
      <c r="K387">
        <v>2750</v>
      </c>
      <c r="L387">
        <v>0</v>
      </c>
      <c r="M387">
        <v>0</v>
      </c>
      <c r="N387">
        <v>2750</v>
      </c>
    </row>
    <row r="388" spans="1:14" x14ac:dyDescent="0.25">
      <c r="A388">
        <v>37.495108999999999</v>
      </c>
      <c r="B388" s="1">
        <f>DATE(2010,6,7) + TIME(11,52,57)</f>
        <v>40336.495104166665</v>
      </c>
      <c r="C388">
        <v>80</v>
      </c>
      <c r="D388">
        <v>79.949623107999997</v>
      </c>
      <c r="E388">
        <v>60</v>
      </c>
      <c r="F388">
        <v>14.999707222</v>
      </c>
      <c r="G388">
        <v>1341.5046387</v>
      </c>
      <c r="H388">
        <v>1338.8465576000001</v>
      </c>
      <c r="I388">
        <v>1320.2263184000001</v>
      </c>
      <c r="J388">
        <v>1315.6827393000001</v>
      </c>
      <c r="K388">
        <v>2750</v>
      </c>
      <c r="L388">
        <v>0</v>
      </c>
      <c r="M388">
        <v>0</v>
      </c>
      <c r="N388">
        <v>2750</v>
      </c>
    </row>
    <row r="389" spans="1:14" x14ac:dyDescent="0.25">
      <c r="A389">
        <v>37.652824000000003</v>
      </c>
      <c r="B389" s="1">
        <f>DATE(2010,6,7) + TIME(15,40,4)</f>
        <v>40336.652824074074</v>
      </c>
      <c r="C389">
        <v>80</v>
      </c>
      <c r="D389">
        <v>79.949615479000002</v>
      </c>
      <c r="E389">
        <v>60</v>
      </c>
      <c r="F389">
        <v>14.999708176</v>
      </c>
      <c r="G389">
        <v>1341.5007324000001</v>
      </c>
      <c r="H389">
        <v>1338.8436279</v>
      </c>
      <c r="I389">
        <v>1320.2268065999999</v>
      </c>
      <c r="J389">
        <v>1315.6831055</v>
      </c>
      <c r="K389">
        <v>2750</v>
      </c>
      <c r="L389">
        <v>0</v>
      </c>
      <c r="M389">
        <v>0</v>
      </c>
      <c r="N389">
        <v>2750</v>
      </c>
    </row>
    <row r="390" spans="1:14" x14ac:dyDescent="0.25">
      <c r="A390">
        <v>37.810540000000003</v>
      </c>
      <c r="B390" s="1">
        <f>DATE(2010,6,7) + TIME(19,27,10)</f>
        <v>40336.810532407406</v>
      </c>
      <c r="C390">
        <v>80</v>
      </c>
      <c r="D390">
        <v>79.949615479000002</v>
      </c>
      <c r="E390">
        <v>60</v>
      </c>
      <c r="F390">
        <v>14.999708176</v>
      </c>
      <c r="G390">
        <v>1341.4967041</v>
      </c>
      <c r="H390">
        <v>1338.8406981999999</v>
      </c>
      <c r="I390">
        <v>1320.2272949000001</v>
      </c>
      <c r="J390">
        <v>1315.6834716999999</v>
      </c>
      <c r="K390">
        <v>2750</v>
      </c>
      <c r="L390">
        <v>0</v>
      </c>
      <c r="M390">
        <v>0</v>
      </c>
      <c r="N390">
        <v>2750</v>
      </c>
    </row>
    <row r="391" spans="1:14" x14ac:dyDescent="0.25">
      <c r="A391">
        <v>37.968254999999999</v>
      </c>
      <c r="B391" s="1">
        <f>DATE(2010,6,7) + TIME(23,14,17)</f>
        <v>40336.968252314815</v>
      </c>
      <c r="C391">
        <v>80</v>
      </c>
      <c r="D391">
        <v>79.949607849000003</v>
      </c>
      <c r="E391">
        <v>60</v>
      </c>
      <c r="F391">
        <v>14.999709128999999</v>
      </c>
      <c r="G391">
        <v>1341.4927978999999</v>
      </c>
      <c r="H391">
        <v>1338.8377685999999</v>
      </c>
      <c r="I391">
        <v>1320.2277832</v>
      </c>
      <c r="J391">
        <v>1315.6838379000001</v>
      </c>
      <c r="K391">
        <v>2750</v>
      </c>
      <c r="L391">
        <v>0</v>
      </c>
      <c r="M391">
        <v>0</v>
      </c>
      <c r="N391">
        <v>2750</v>
      </c>
    </row>
    <row r="392" spans="1:14" x14ac:dyDescent="0.25">
      <c r="A392">
        <v>38.125970000000002</v>
      </c>
      <c r="B392" s="1">
        <f>DATE(2010,6,8) + TIME(3,1,23)</f>
        <v>40337.125960648147</v>
      </c>
      <c r="C392">
        <v>80</v>
      </c>
      <c r="D392">
        <v>79.949600219999994</v>
      </c>
      <c r="E392">
        <v>60</v>
      </c>
      <c r="F392">
        <v>14.999710083</v>
      </c>
      <c r="G392">
        <v>1341.4888916</v>
      </c>
      <c r="H392">
        <v>1338.8349608999999</v>
      </c>
      <c r="I392">
        <v>1320.2282714999999</v>
      </c>
      <c r="J392">
        <v>1315.6842041</v>
      </c>
      <c r="K392">
        <v>2750</v>
      </c>
      <c r="L392">
        <v>0</v>
      </c>
      <c r="M392">
        <v>0</v>
      </c>
      <c r="N392">
        <v>2750</v>
      </c>
    </row>
    <row r="393" spans="1:14" x14ac:dyDescent="0.25">
      <c r="A393">
        <v>38.441400999999999</v>
      </c>
      <c r="B393" s="1">
        <f>DATE(2010,6,8) + TIME(10,35,37)</f>
        <v>40337.441400462965</v>
      </c>
      <c r="C393">
        <v>80</v>
      </c>
      <c r="D393">
        <v>79.949600219999994</v>
      </c>
      <c r="E393">
        <v>60</v>
      </c>
      <c r="F393">
        <v>14.999711037000001</v>
      </c>
      <c r="G393">
        <v>1341.4849853999999</v>
      </c>
      <c r="H393">
        <v>1338.8321533000001</v>
      </c>
      <c r="I393">
        <v>1320.2287598</v>
      </c>
      <c r="J393">
        <v>1315.6845702999999</v>
      </c>
      <c r="K393">
        <v>2750</v>
      </c>
      <c r="L393">
        <v>0</v>
      </c>
      <c r="M393">
        <v>0</v>
      </c>
      <c r="N393">
        <v>2750</v>
      </c>
    </row>
    <row r="394" spans="1:14" x14ac:dyDescent="0.25">
      <c r="A394">
        <v>38.756939000000003</v>
      </c>
      <c r="B394" s="1">
        <f>DATE(2010,6,8) + TIME(18,9,59)</f>
        <v>40337.756932870368</v>
      </c>
      <c r="C394">
        <v>80</v>
      </c>
      <c r="D394">
        <v>79.949592589999995</v>
      </c>
      <c r="E394">
        <v>60</v>
      </c>
      <c r="F394">
        <v>14.99971199</v>
      </c>
      <c r="G394">
        <v>1341.4772949000001</v>
      </c>
      <c r="H394">
        <v>1338.8265381000001</v>
      </c>
      <c r="I394">
        <v>1320.2297363</v>
      </c>
      <c r="J394">
        <v>1315.6854248</v>
      </c>
      <c r="K394">
        <v>2750</v>
      </c>
      <c r="L394">
        <v>0</v>
      </c>
      <c r="M394">
        <v>0</v>
      </c>
      <c r="N394">
        <v>2750</v>
      </c>
    </row>
    <row r="395" spans="1:14" x14ac:dyDescent="0.25">
      <c r="A395">
        <v>39.075806999999998</v>
      </c>
      <c r="B395" s="1">
        <f>DATE(2010,6,9) + TIME(1,49,9)</f>
        <v>40338.075798611113</v>
      </c>
      <c r="C395">
        <v>80</v>
      </c>
      <c r="D395">
        <v>79.949577332000004</v>
      </c>
      <c r="E395">
        <v>60</v>
      </c>
      <c r="F395">
        <v>14.999712944000001</v>
      </c>
      <c r="G395">
        <v>1341.4694824000001</v>
      </c>
      <c r="H395">
        <v>1338.8208007999999</v>
      </c>
      <c r="I395">
        <v>1320.2307129000001</v>
      </c>
      <c r="J395">
        <v>1315.6861572</v>
      </c>
      <c r="K395">
        <v>2750</v>
      </c>
      <c r="L395">
        <v>0</v>
      </c>
      <c r="M395">
        <v>0</v>
      </c>
      <c r="N395">
        <v>2750</v>
      </c>
    </row>
    <row r="396" spans="1:14" x14ac:dyDescent="0.25">
      <c r="A396">
        <v>39.398688</v>
      </c>
      <c r="B396" s="1">
        <f>DATE(2010,6,9) + TIME(9,34,6)</f>
        <v>40338.398680555554</v>
      </c>
      <c r="C396">
        <v>80</v>
      </c>
      <c r="D396">
        <v>79.949569702000005</v>
      </c>
      <c r="E396">
        <v>60</v>
      </c>
      <c r="F396">
        <v>14.999713898</v>
      </c>
      <c r="G396">
        <v>1341.4616699000001</v>
      </c>
      <c r="H396">
        <v>1338.8151855000001</v>
      </c>
      <c r="I396">
        <v>1320.2316894999999</v>
      </c>
      <c r="J396">
        <v>1315.6868896000001</v>
      </c>
      <c r="K396">
        <v>2750</v>
      </c>
      <c r="L396">
        <v>0</v>
      </c>
      <c r="M396">
        <v>0</v>
      </c>
      <c r="N396">
        <v>2750</v>
      </c>
    </row>
    <row r="397" spans="1:14" x14ac:dyDescent="0.25">
      <c r="A397">
        <v>39.726345000000002</v>
      </c>
      <c r="B397" s="1">
        <f>DATE(2010,6,9) + TIME(17,25,56)</f>
        <v>40338.726342592592</v>
      </c>
      <c r="C397">
        <v>80</v>
      </c>
      <c r="D397">
        <v>79.949562072999996</v>
      </c>
      <c r="E397">
        <v>60</v>
      </c>
      <c r="F397">
        <v>14.999715804999999</v>
      </c>
      <c r="G397">
        <v>1341.4539795000001</v>
      </c>
      <c r="H397">
        <v>1338.8094481999999</v>
      </c>
      <c r="I397">
        <v>1320.2327881000001</v>
      </c>
      <c r="J397">
        <v>1315.6876221</v>
      </c>
      <c r="K397">
        <v>2750</v>
      </c>
      <c r="L397">
        <v>0</v>
      </c>
      <c r="M397">
        <v>0</v>
      </c>
      <c r="N397">
        <v>2750</v>
      </c>
    </row>
    <row r="398" spans="1:14" x14ac:dyDescent="0.25">
      <c r="A398">
        <v>40.059553999999999</v>
      </c>
      <c r="B398" s="1">
        <f>DATE(2010,6,10) + TIME(1,25,45)</f>
        <v>40339.059548611112</v>
      </c>
      <c r="C398">
        <v>80</v>
      </c>
      <c r="D398">
        <v>79.949546814000001</v>
      </c>
      <c r="E398">
        <v>60</v>
      </c>
      <c r="F398">
        <v>14.999716759</v>
      </c>
      <c r="G398">
        <v>1341.4460449000001</v>
      </c>
      <c r="H398">
        <v>1338.8037108999999</v>
      </c>
      <c r="I398">
        <v>1320.2337646000001</v>
      </c>
      <c r="J398">
        <v>1315.6884766000001</v>
      </c>
      <c r="K398">
        <v>2750</v>
      </c>
      <c r="L398">
        <v>0</v>
      </c>
      <c r="M398">
        <v>0</v>
      </c>
      <c r="N398">
        <v>2750</v>
      </c>
    </row>
    <row r="399" spans="1:14" x14ac:dyDescent="0.25">
      <c r="A399">
        <v>40.399067000000002</v>
      </c>
      <c r="B399" s="1">
        <f>DATE(2010,6,10) + TIME(9,34,39)</f>
        <v>40339.399062500001</v>
      </c>
      <c r="C399">
        <v>80</v>
      </c>
      <c r="D399">
        <v>79.949539185000006</v>
      </c>
      <c r="E399">
        <v>60</v>
      </c>
      <c r="F399">
        <v>14.999717712000001</v>
      </c>
      <c r="G399">
        <v>1341.4381103999999</v>
      </c>
      <c r="H399">
        <v>1338.7979736</v>
      </c>
      <c r="I399">
        <v>1320.2348632999999</v>
      </c>
      <c r="J399">
        <v>1315.6892089999999</v>
      </c>
      <c r="K399">
        <v>2750</v>
      </c>
      <c r="L399">
        <v>0</v>
      </c>
      <c r="M399">
        <v>0</v>
      </c>
      <c r="N399">
        <v>2750</v>
      </c>
    </row>
    <row r="400" spans="1:14" x14ac:dyDescent="0.25">
      <c r="A400">
        <v>40.569043999999998</v>
      </c>
      <c r="B400" s="1">
        <f>DATE(2010,6,10) + TIME(13,39,25)</f>
        <v>40339.569039351853</v>
      </c>
      <c r="C400">
        <v>80</v>
      </c>
      <c r="D400">
        <v>79.949523925999998</v>
      </c>
      <c r="E400">
        <v>60</v>
      </c>
      <c r="F400">
        <v>14.999718666</v>
      </c>
      <c r="G400">
        <v>1341.4300536999999</v>
      </c>
      <c r="H400">
        <v>1338.7919922000001</v>
      </c>
      <c r="I400">
        <v>1320.2358397999999</v>
      </c>
      <c r="J400">
        <v>1315.6900635</v>
      </c>
      <c r="K400">
        <v>2750</v>
      </c>
      <c r="L400">
        <v>0</v>
      </c>
      <c r="M400">
        <v>0</v>
      </c>
      <c r="N400">
        <v>2750</v>
      </c>
    </row>
    <row r="401" spans="1:14" x14ac:dyDescent="0.25">
      <c r="A401">
        <v>40.739021999999999</v>
      </c>
      <c r="B401" s="1">
        <f>DATE(2010,6,10) + TIME(17,44,11)</f>
        <v>40339.739016203705</v>
      </c>
      <c r="C401">
        <v>80</v>
      </c>
      <c r="D401">
        <v>79.949516295999999</v>
      </c>
      <c r="E401">
        <v>60</v>
      </c>
      <c r="F401">
        <v>14.99971962</v>
      </c>
      <c r="G401">
        <v>1341.4260254000001</v>
      </c>
      <c r="H401">
        <v>1338.7890625</v>
      </c>
      <c r="I401">
        <v>1320.2364502</v>
      </c>
      <c r="J401">
        <v>1315.6904297000001</v>
      </c>
      <c r="K401">
        <v>2750</v>
      </c>
      <c r="L401">
        <v>0</v>
      </c>
      <c r="M401">
        <v>0</v>
      </c>
      <c r="N401">
        <v>2750</v>
      </c>
    </row>
    <row r="402" spans="1:14" x14ac:dyDescent="0.25">
      <c r="A402">
        <v>40.908543999999999</v>
      </c>
      <c r="B402" s="1">
        <f>DATE(2010,6,10) + TIME(21,48,18)</f>
        <v>40339.908541666664</v>
      </c>
      <c r="C402">
        <v>80</v>
      </c>
      <c r="D402">
        <v>79.949508667000003</v>
      </c>
      <c r="E402">
        <v>60</v>
      </c>
      <c r="F402">
        <v>14.999720572999999</v>
      </c>
      <c r="G402">
        <v>1341.4219971</v>
      </c>
      <c r="H402">
        <v>1338.7861327999999</v>
      </c>
      <c r="I402">
        <v>1320.2369385</v>
      </c>
      <c r="J402">
        <v>1315.690918</v>
      </c>
      <c r="K402">
        <v>2750</v>
      </c>
      <c r="L402">
        <v>0</v>
      </c>
      <c r="M402">
        <v>0</v>
      </c>
      <c r="N402">
        <v>2750</v>
      </c>
    </row>
    <row r="403" spans="1:14" x14ac:dyDescent="0.25">
      <c r="A403">
        <v>41.077652999999998</v>
      </c>
      <c r="B403" s="1">
        <f>DATE(2010,6,11) + TIME(1,51,49)</f>
        <v>40340.077650462961</v>
      </c>
      <c r="C403">
        <v>80</v>
      </c>
      <c r="D403">
        <v>79.949501037999994</v>
      </c>
      <c r="E403">
        <v>60</v>
      </c>
      <c r="F403">
        <v>14.999721527</v>
      </c>
      <c r="G403">
        <v>1341.4180908000001</v>
      </c>
      <c r="H403">
        <v>1338.7832031</v>
      </c>
      <c r="I403">
        <v>1320.2375488</v>
      </c>
      <c r="J403">
        <v>1315.6912841999999</v>
      </c>
      <c r="K403">
        <v>2750</v>
      </c>
      <c r="L403">
        <v>0</v>
      </c>
      <c r="M403">
        <v>0</v>
      </c>
      <c r="N403">
        <v>2750</v>
      </c>
    </row>
    <row r="404" spans="1:14" x14ac:dyDescent="0.25">
      <c r="A404">
        <v>41.246450000000003</v>
      </c>
      <c r="B404" s="1">
        <f>DATE(2010,6,11) + TIME(5,54,53)</f>
        <v>40340.246446759258</v>
      </c>
      <c r="C404">
        <v>80</v>
      </c>
      <c r="D404">
        <v>79.949493407999995</v>
      </c>
      <c r="E404">
        <v>60</v>
      </c>
      <c r="F404">
        <v>14.999721527</v>
      </c>
      <c r="G404">
        <v>1341.4141846</v>
      </c>
      <c r="H404">
        <v>1338.7803954999999</v>
      </c>
      <c r="I404">
        <v>1320.2380370999999</v>
      </c>
      <c r="J404">
        <v>1315.6917725000001</v>
      </c>
      <c r="K404">
        <v>2750</v>
      </c>
      <c r="L404">
        <v>0</v>
      </c>
      <c r="M404">
        <v>0</v>
      </c>
      <c r="N404">
        <v>2750</v>
      </c>
    </row>
    <row r="405" spans="1:14" x14ac:dyDescent="0.25">
      <c r="A405">
        <v>41.415033999999999</v>
      </c>
      <c r="B405" s="1">
        <f>DATE(2010,6,11) + TIME(9,57,38)</f>
        <v>40340.415023148147</v>
      </c>
      <c r="C405">
        <v>80</v>
      </c>
      <c r="D405">
        <v>79.949485779</v>
      </c>
      <c r="E405">
        <v>60</v>
      </c>
      <c r="F405">
        <v>14.999722480999999</v>
      </c>
      <c r="G405">
        <v>1341.4102783000001</v>
      </c>
      <c r="H405">
        <v>1338.7774658000001</v>
      </c>
      <c r="I405">
        <v>1320.2385254000001</v>
      </c>
      <c r="J405">
        <v>1315.6921387</v>
      </c>
      <c r="K405">
        <v>2750</v>
      </c>
      <c r="L405">
        <v>0</v>
      </c>
      <c r="M405">
        <v>0</v>
      </c>
      <c r="N405">
        <v>2750</v>
      </c>
    </row>
    <row r="406" spans="1:14" x14ac:dyDescent="0.25">
      <c r="A406">
        <v>41.583505000000002</v>
      </c>
      <c r="B406" s="1">
        <f>DATE(2010,6,11) + TIME(14,0,14)</f>
        <v>40340.583495370367</v>
      </c>
      <c r="C406">
        <v>80</v>
      </c>
      <c r="D406">
        <v>79.949485779</v>
      </c>
      <c r="E406">
        <v>60</v>
      </c>
      <c r="F406">
        <v>14.999723434</v>
      </c>
      <c r="G406">
        <v>1341.4063721</v>
      </c>
      <c r="H406">
        <v>1338.7746582</v>
      </c>
      <c r="I406">
        <v>1320.2391356999999</v>
      </c>
      <c r="J406">
        <v>1315.6925048999999</v>
      </c>
      <c r="K406">
        <v>2750</v>
      </c>
      <c r="L406">
        <v>0</v>
      </c>
      <c r="M406">
        <v>0</v>
      </c>
      <c r="N406">
        <v>2750</v>
      </c>
    </row>
    <row r="407" spans="1:14" x14ac:dyDescent="0.25">
      <c r="A407">
        <v>41.751927000000002</v>
      </c>
      <c r="B407" s="1">
        <f>DATE(2010,6,11) + TIME(18,2,46)</f>
        <v>40340.751921296294</v>
      </c>
      <c r="C407">
        <v>80</v>
      </c>
      <c r="D407">
        <v>79.949478149000001</v>
      </c>
      <c r="E407">
        <v>60</v>
      </c>
      <c r="F407">
        <v>14.999723434</v>
      </c>
      <c r="G407">
        <v>1341.4024658000001</v>
      </c>
      <c r="H407">
        <v>1338.7717285000001</v>
      </c>
      <c r="I407">
        <v>1320.239624</v>
      </c>
      <c r="J407">
        <v>1315.6929932</v>
      </c>
      <c r="K407">
        <v>2750</v>
      </c>
      <c r="L407">
        <v>0</v>
      </c>
      <c r="M407">
        <v>0</v>
      </c>
      <c r="N407">
        <v>2750</v>
      </c>
    </row>
    <row r="408" spans="1:14" x14ac:dyDescent="0.25">
      <c r="A408">
        <v>41.920349000000002</v>
      </c>
      <c r="B408" s="1">
        <f>DATE(2010,6,11) + TIME(22,5,18)</f>
        <v>40340.920347222222</v>
      </c>
      <c r="C408">
        <v>80</v>
      </c>
      <c r="D408">
        <v>79.949470520000006</v>
      </c>
      <c r="E408">
        <v>60</v>
      </c>
      <c r="F408">
        <v>14.999724388000001</v>
      </c>
      <c r="G408">
        <v>1341.3986815999999</v>
      </c>
      <c r="H408">
        <v>1338.7689209</v>
      </c>
      <c r="I408">
        <v>1320.2402344</v>
      </c>
      <c r="J408">
        <v>1315.6933594</v>
      </c>
      <c r="K408">
        <v>2750</v>
      </c>
      <c r="L408">
        <v>0</v>
      </c>
      <c r="M408">
        <v>0</v>
      </c>
      <c r="N408">
        <v>2750</v>
      </c>
    </row>
    <row r="409" spans="1:14" x14ac:dyDescent="0.25">
      <c r="A409">
        <v>42.088771999999999</v>
      </c>
      <c r="B409" s="1">
        <f>DATE(2010,6,12) + TIME(2,7,49)</f>
        <v>40341.088761574072</v>
      </c>
      <c r="C409">
        <v>80</v>
      </c>
      <c r="D409">
        <v>79.949462890999996</v>
      </c>
      <c r="E409">
        <v>60</v>
      </c>
      <c r="F409">
        <v>14.999725342</v>
      </c>
      <c r="G409">
        <v>1341.3947754000001</v>
      </c>
      <c r="H409">
        <v>1338.7661132999999</v>
      </c>
      <c r="I409">
        <v>1320.2407227000001</v>
      </c>
      <c r="J409">
        <v>1315.6938477000001</v>
      </c>
      <c r="K409">
        <v>2750</v>
      </c>
      <c r="L409">
        <v>0</v>
      </c>
      <c r="M409">
        <v>0</v>
      </c>
      <c r="N409">
        <v>2750</v>
      </c>
    </row>
    <row r="410" spans="1:14" x14ac:dyDescent="0.25">
      <c r="A410">
        <v>42.257193999999998</v>
      </c>
      <c r="B410" s="1">
        <f>DATE(2010,6,12) + TIME(6,10,21)</f>
        <v>40341.257187499999</v>
      </c>
      <c r="C410">
        <v>80</v>
      </c>
      <c r="D410">
        <v>79.949462890999996</v>
      </c>
      <c r="E410">
        <v>60</v>
      </c>
      <c r="F410">
        <v>14.999725342</v>
      </c>
      <c r="G410">
        <v>1341.3909911999999</v>
      </c>
      <c r="H410">
        <v>1338.7633057</v>
      </c>
      <c r="I410">
        <v>1320.2413329999999</v>
      </c>
      <c r="J410">
        <v>1315.6942139</v>
      </c>
      <c r="K410">
        <v>2750</v>
      </c>
      <c r="L410">
        <v>0</v>
      </c>
      <c r="M410">
        <v>0</v>
      </c>
      <c r="N410">
        <v>2750</v>
      </c>
    </row>
    <row r="411" spans="1:14" x14ac:dyDescent="0.25">
      <c r="A411">
        <v>42.425615999999998</v>
      </c>
      <c r="B411" s="1">
        <f>DATE(2010,6,12) + TIME(10,12,53)</f>
        <v>40341.425613425927</v>
      </c>
      <c r="C411">
        <v>80</v>
      </c>
      <c r="D411">
        <v>79.949455260999997</v>
      </c>
      <c r="E411">
        <v>60</v>
      </c>
      <c r="F411">
        <v>14.999726295</v>
      </c>
      <c r="G411">
        <v>1341.387207</v>
      </c>
      <c r="H411">
        <v>1338.7604980000001</v>
      </c>
      <c r="I411">
        <v>1320.2418213000001</v>
      </c>
      <c r="J411">
        <v>1315.6947021000001</v>
      </c>
      <c r="K411">
        <v>2750</v>
      </c>
      <c r="L411">
        <v>0</v>
      </c>
      <c r="M411">
        <v>0</v>
      </c>
      <c r="N411">
        <v>2750</v>
      </c>
    </row>
    <row r="412" spans="1:14" x14ac:dyDescent="0.25">
      <c r="A412">
        <v>42.594037999999998</v>
      </c>
      <c r="B412" s="1">
        <f>DATE(2010,6,12) + TIME(14,15,24)</f>
        <v>40341.594027777777</v>
      </c>
      <c r="C412">
        <v>80</v>
      </c>
      <c r="D412">
        <v>79.949455260999997</v>
      </c>
      <c r="E412">
        <v>60</v>
      </c>
      <c r="F412">
        <v>14.999727248999999</v>
      </c>
      <c r="G412">
        <v>1341.3834228999999</v>
      </c>
      <c r="H412">
        <v>1338.7576904</v>
      </c>
      <c r="I412">
        <v>1320.2424315999999</v>
      </c>
      <c r="J412">
        <v>1315.6950684000001</v>
      </c>
      <c r="K412">
        <v>2750</v>
      </c>
      <c r="L412">
        <v>0</v>
      </c>
      <c r="M412">
        <v>0</v>
      </c>
      <c r="N412">
        <v>2750</v>
      </c>
    </row>
    <row r="413" spans="1:14" x14ac:dyDescent="0.25">
      <c r="A413">
        <v>42.762461000000002</v>
      </c>
      <c r="B413" s="1">
        <f>DATE(2010,6,12) + TIME(18,17,56)</f>
        <v>40341.762453703705</v>
      </c>
      <c r="C413">
        <v>80</v>
      </c>
      <c r="D413">
        <v>79.949447632000002</v>
      </c>
      <c r="E413">
        <v>60</v>
      </c>
      <c r="F413">
        <v>14.999728203</v>
      </c>
      <c r="G413">
        <v>1341.3796387</v>
      </c>
      <c r="H413">
        <v>1338.7550048999999</v>
      </c>
      <c r="I413">
        <v>1320.2429199000001</v>
      </c>
      <c r="J413">
        <v>1315.6954346</v>
      </c>
      <c r="K413">
        <v>2750</v>
      </c>
      <c r="L413">
        <v>0</v>
      </c>
      <c r="M413">
        <v>0</v>
      </c>
      <c r="N413">
        <v>2750</v>
      </c>
    </row>
    <row r="414" spans="1:14" x14ac:dyDescent="0.25">
      <c r="A414">
        <v>43.099305000000001</v>
      </c>
      <c r="B414" s="1">
        <f>DATE(2010,6,13) + TIME(2,22,59)</f>
        <v>40342.099293981482</v>
      </c>
      <c r="C414">
        <v>80</v>
      </c>
      <c r="D414">
        <v>79.949447632000002</v>
      </c>
      <c r="E414">
        <v>60</v>
      </c>
      <c r="F414">
        <v>14.999729156000001</v>
      </c>
      <c r="G414">
        <v>1341.3759766000001</v>
      </c>
      <c r="H414">
        <v>1338.7523193</v>
      </c>
      <c r="I414">
        <v>1320.2435303</v>
      </c>
      <c r="J414">
        <v>1315.6959228999999</v>
      </c>
      <c r="K414">
        <v>2750</v>
      </c>
      <c r="L414">
        <v>0</v>
      </c>
      <c r="M414">
        <v>0</v>
      </c>
      <c r="N414">
        <v>2750</v>
      </c>
    </row>
    <row r="415" spans="1:14" x14ac:dyDescent="0.25">
      <c r="A415">
        <v>43.437063000000002</v>
      </c>
      <c r="B415" s="1">
        <f>DATE(2010,6,13) + TIME(10,29,22)</f>
        <v>40342.437060185184</v>
      </c>
      <c r="C415">
        <v>80</v>
      </c>
      <c r="D415">
        <v>79.949447632000002</v>
      </c>
      <c r="E415">
        <v>60</v>
      </c>
      <c r="F415">
        <v>14.99973011</v>
      </c>
      <c r="G415">
        <v>1341.3684082</v>
      </c>
      <c r="H415">
        <v>1338.7468262</v>
      </c>
      <c r="I415">
        <v>1320.2446289</v>
      </c>
      <c r="J415">
        <v>1315.6967772999999</v>
      </c>
      <c r="K415">
        <v>2750</v>
      </c>
      <c r="L415">
        <v>0</v>
      </c>
      <c r="M415">
        <v>0</v>
      </c>
      <c r="N415">
        <v>2750</v>
      </c>
    </row>
    <row r="416" spans="1:14" x14ac:dyDescent="0.25">
      <c r="A416">
        <v>43.778879000000003</v>
      </c>
      <c r="B416" s="1">
        <f>DATE(2010,6,13) + TIME(18,41,35)</f>
        <v>40342.778877314813</v>
      </c>
      <c r="C416">
        <v>80</v>
      </c>
      <c r="D416">
        <v>79.949440002000003</v>
      </c>
      <c r="E416">
        <v>60</v>
      </c>
      <c r="F416">
        <v>14.999731064000001</v>
      </c>
      <c r="G416">
        <v>1341.3609618999999</v>
      </c>
      <c r="H416">
        <v>1338.7413329999999</v>
      </c>
      <c r="I416">
        <v>1320.2458495999999</v>
      </c>
      <c r="J416">
        <v>1315.6976318</v>
      </c>
      <c r="K416">
        <v>2750</v>
      </c>
      <c r="L416">
        <v>0</v>
      </c>
      <c r="M416">
        <v>0</v>
      </c>
      <c r="N416">
        <v>2750</v>
      </c>
    </row>
    <row r="417" spans="1:14" x14ac:dyDescent="0.25">
      <c r="A417">
        <v>44.125517000000002</v>
      </c>
      <c r="B417" s="1">
        <f>DATE(2010,6,14) + TIME(3,0,44)</f>
        <v>40343.125509259262</v>
      </c>
      <c r="C417">
        <v>80</v>
      </c>
      <c r="D417">
        <v>79.949432372999993</v>
      </c>
      <c r="E417">
        <v>60</v>
      </c>
      <c r="F417">
        <v>14.999732018</v>
      </c>
      <c r="G417">
        <v>1341.3535156</v>
      </c>
      <c r="H417">
        <v>1338.7357178</v>
      </c>
      <c r="I417">
        <v>1320.2469481999999</v>
      </c>
      <c r="J417">
        <v>1315.6984863</v>
      </c>
      <c r="K417">
        <v>2750</v>
      </c>
      <c r="L417">
        <v>0</v>
      </c>
      <c r="M417">
        <v>0</v>
      </c>
      <c r="N417">
        <v>2750</v>
      </c>
    </row>
    <row r="418" spans="1:14" x14ac:dyDescent="0.25">
      <c r="A418">
        <v>44.477806000000001</v>
      </c>
      <c r="B418" s="1">
        <f>DATE(2010,6,14) + TIME(11,28,2)</f>
        <v>40343.477800925924</v>
      </c>
      <c r="C418">
        <v>80</v>
      </c>
      <c r="D418">
        <v>79.949424743999998</v>
      </c>
      <c r="E418">
        <v>60</v>
      </c>
      <c r="F418">
        <v>14.999733924999999</v>
      </c>
      <c r="G418">
        <v>1341.3459473</v>
      </c>
      <c r="H418">
        <v>1338.7301024999999</v>
      </c>
      <c r="I418">
        <v>1320.2480469</v>
      </c>
      <c r="J418">
        <v>1315.6993408000001</v>
      </c>
      <c r="K418">
        <v>2750</v>
      </c>
      <c r="L418">
        <v>0</v>
      </c>
      <c r="M418">
        <v>0</v>
      </c>
      <c r="N418">
        <v>2750</v>
      </c>
    </row>
    <row r="419" spans="1:14" x14ac:dyDescent="0.25">
      <c r="A419">
        <v>44.836492</v>
      </c>
      <c r="B419" s="1">
        <f>DATE(2010,6,14) + TIME(20,4,32)</f>
        <v>40343.836481481485</v>
      </c>
      <c r="C419">
        <v>80</v>
      </c>
      <c r="D419">
        <v>79.949424743999998</v>
      </c>
      <c r="E419">
        <v>60</v>
      </c>
      <c r="F419">
        <v>14.999734879</v>
      </c>
      <c r="G419">
        <v>1341.3383789</v>
      </c>
      <c r="H419">
        <v>1338.7244873</v>
      </c>
      <c r="I419">
        <v>1320.2492675999999</v>
      </c>
      <c r="J419">
        <v>1315.7003173999999</v>
      </c>
      <c r="K419">
        <v>2750</v>
      </c>
      <c r="L419">
        <v>0</v>
      </c>
      <c r="M419">
        <v>0</v>
      </c>
      <c r="N419">
        <v>2750</v>
      </c>
    </row>
    <row r="420" spans="1:14" x14ac:dyDescent="0.25">
      <c r="A420">
        <v>45.018113</v>
      </c>
      <c r="B420" s="1">
        <f>DATE(2010,6,15) + TIME(0,26,4)</f>
        <v>40344.018101851849</v>
      </c>
      <c r="C420">
        <v>80</v>
      </c>
      <c r="D420">
        <v>79.949409485000004</v>
      </c>
      <c r="E420">
        <v>60</v>
      </c>
      <c r="F420">
        <v>14.999735832000001</v>
      </c>
      <c r="G420">
        <v>1341.3305664</v>
      </c>
      <c r="H420">
        <v>1338.71875</v>
      </c>
      <c r="I420">
        <v>1320.2504882999999</v>
      </c>
      <c r="J420">
        <v>1315.7011719</v>
      </c>
      <c r="K420">
        <v>2750</v>
      </c>
      <c r="L420">
        <v>0</v>
      </c>
      <c r="M420">
        <v>0</v>
      </c>
      <c r="N420">
        <v>2750</v>
      </c>
    </row>
    <row r="421" spans="1:14" x14ac:dyDescent="0.25">
      <c r="A421">
        <v>45.199672999999997</v>
      </c>
      <c r="B421" s="1">
        <f>DATE(2010,6,15) + TIME(4,47,31)</f>
        <v>40344.199664351851</v>
      </c>
      <c r="C421">
        <v>80</v>
      </c>
      <c r="D421">
        <v>79.949401855000005</v>
      </c>
      <c r="E421">
        <v>60</v>
      </c>
      <c r="F421">
        <v>14.999736786</v>
      </c>
      <c r="G421">
        <v>1341.3266602000001</v>
      </c>
      <c r="H421">
        <v>1338.7158202999999</v>
      </c>
      <c r="I421">
        <v>1320.2510986</v>
      </c>
      <c r="J421">
        <v>1315.7016602000001</v>
      </c>
      <c r="K421">
        <v>2750</v>
      </c>
      <c r="L421">
        <v>0</v>
      </c>
      <c r="M421">
        <v>0</v>
      </c>
      <c r="N421">
        <v>2750</v>
      </c>
    </row>
    <row r="422" spans="1:14" x14ac:dyDescent="0.25">
      <c r="A422">
        <v>45.380583000000001</v>
      </c>
      <c r="B422" s="1">
        <f>DATE(2010,6,15) + TIME(9,8,2)</f>
        <v>40344.380578703705</v>
      </c>
      <c r="C422">
        <v>80</v>
      </c>
      <c r="D422">
        <v>79.949401855000005</v>
      </c>
      <c r="E422">
        <v>60</v>
      </c>
      <c r="F422">
        <v>14.999736786</v>
      </c>
      <c r="G422">
        <v>1341.3227539</v>
      </c>
      <c r="H422">
        <v>1338.7130127</v>
      </c>
      <c r="I422">
        <v>1320.2517089999999</v>
      </c>
      <c r="J422">
        <v>1315.7021483999999</v>
      </c>
      <c r="K422">
        <v>2750</v>
      </c>
      <c r="L422">
        <v>0</v>
      </c>
      <c r="M422">
        <v>0</v>
      </c>
      <c r="N422">
        <v>2750</v>
      </c>
    </row>
    <row r="423" spans="1:14" x14ac:dyDescent="0.25">
      <c r="A423">
        <v>45.560955</v>
      </c>
      <c r="B423" s="1">
        <f>DATE(2010,6,15) + TIME(13,27,46)</f>
        <v>40344.560949074075</v>
      </c>
      <c r="C423">
        <v>80</v>
      </c>
      <c r="D423">
        <v>79.949394225999995</v>
      </c>
      <c r="E423">
        <v>60</v>
      </c>
      <c r="F423">
        <v>14.99973774</v>
      </c>
      <c r="G423">
        <v>1341.3189697</v>
      </c>
      <c r="H423">
        <v>1338.7100829999999</v>
      </c>
      <c r="I423">
        <v>1320.2523193</v>
      </c>
      <c r="J423">
        <v>1315.7026367000001</v>
      </c>
      <c r="K423">
        <v>2750</v>
      </c>
      <c r="L423">
        <v>0</v>
      </c>
      <c r="M423">
        <v>0</v>
      </c>
      <c r="N423">
        <v>2750</v>
      </c>
    </row>
    <row r="424" spans="1:14" x14ac:dyDescent="0.25">
      <c r="A424">
        <v>45.740907</v>
      </c>
      <c r="B424" s="1">
        <f>DATE(2010,6,15) + TIME(17,46,54)</f>
        <v>40344.740902777776</v>
      </c>
      <c r="C424">
        <v>80</v>
      </c>
      <c r="D424">
        <v>79.949386597</v>
      </c>
      <c r="E424">
        <v>60</v>
      </c>
      <c r="F424">
        <v>14.999738692999999</v>
      </c>
      <c r="G424">
        <v>1341.3151855000001</v>
      </c>
      <c r="H424">
        <v>1338.7072754000001</v>
      </c>
      <c r="I424">
        <v>1320.2529297000001</v>
      </c>
      <c r="J424">
        <v>1315.7030029</v>
      </c>
      <c r="K424">
        <v>2750</v>
      </c>
      <c r="L424">
        <v>0</v>
      </c>
      <c r="M424">
        <v>0</v>
      </c>
      <c r="N424">
        <v>2750</v>
      </c>
    </row>
    <row r="425" spans="1:14" x14ac:dyDescent="0.25">
      <c r="A425">
        <v>45.920552000000001</v>
      </c>
      <c r="B425" s="1">
        <f>DATE(2010,6,15) + TIME(22,5,35)</f>
        <v>40344.920543981483</v>
      </c>
      <c r="C425">
        <v>80</v>
      </c>
      <c r="D425">
        <v>79.949386597</v>
      </c>
      <c r="E425">
        <v>60</v>
      </c>
      <c r="F425">
        <v>14.999739647</v>
      </c>
      <c r="G425">
        <v>1341.3114014</v>
      </c>
      <c r="H425">
        <v>1338.7044678</v>
      </c>
      <c r="I425">
        <v>1320.2535399999999</v>
      </c>
      <c r="J425">
        <v>1315.7034911999999</v>
      </c>
      <c r="K425">
        <v>2750</v>
      </c>
      <c r="L425">
        <v>0</v>
      </c>
      <c r="M425">
        <v>0</v>
      </c>
      <c r="N425">
        <v>2750</v>
      </c>
    </row>
    <row r="426" spans="1:14" x14ac:dyDescent="0.25">
      <c r="A426">
        <v>46.099998999999997</v>
      </c>
      <c r="B426" s="1">
        <f>DATE(2010,6,16) + TIME(2,23,59)</f>
        <v>40345.099988425929</v>
      </c>
      <c r="C426">
        <v>80</v>
      </c>
      <c r="D426">
        <v>79.949378967000001</v>
      </c>
      <c r="E426">
        <v>60</v>
      </c>
      <c r="F426">
        <v>14.999739647</v>
      </c>
      <c r="G426">
        <v>1341.3076172000001</v>
      </c>
      <c r="H426">
        <v>1338.7016602000001</v>
      </c>
      <c r="I426">
        <v>1320.2541504000001</v>
      </c>
      <c r="J426">
        <v>1315.7039795000001</v>
      </c>
      <c r="K426">
        <v>2750</v>
      </c>
      <c r="L426">
        <v>0</v>
      </c>
      <c r="M426">
        <v>0</v>
      </c>
      <c r="N426">
        <v>2750</v>
      </c>
    </row>
    <row r="427" spans="1:14" x14ac:dyDescent="0.25">
      <c r="A427">
        <v>46.279339999999998</v>
      </c>
      <c r="B427" s="1">
        <f>DATE(2010,6,16) + TIME(6,42,14)</f>
        <v>40345.279328703706</v>
      </c>
      <c r="C427">
        <v>80</v>
      </c>
      <c r="D427">
        <v>79.949378967000001</v>
      </c>
      <c r="E427">
        <v>60</v>
      </c>
      <c r="F427">
        <v>14.999740600999999</v>
      </c>
      <c r="G427">
        <v>1341.3038329999999</v>
      </c>
      <c r="H427">
        <v>1338.6988524999999</v>
      </c>
      <c r="I427">
        <v>1320.2547606999999</v>
      </c>
      <c r="J427">
        <v>1315.7044678</v>
      </c>
      <c r="K427">
        <v>2750</v>
      </c>
      <c r="L427">
        <v>0</v>
      </c>
      <c r="M427">
        <v>0</v>
      </c>
      <c r="N427">
        <v>2750</v>
      </c>
    </row>
    <row r="428" spans="1:14" x14ac:dyDescent="0.25">
      <c r="A428">
        <v>46.458674999999999</v>
      </c>
      <c r="B428" s="1">
        <f>DATE(2010,6,16) + TIME(11,0,29)</f>
        <v>40345.458668981482</v>
      </c>
      <c r="C428">
        <v>80</v>
      </c>
      <c r="D428">
        <v>79.949378967000001</v>
      </c>
      <c r="E428">
        <v>60</v>
      </c>
      <c r="F428">
        <v>14.999741554</v>
      </c>
      <c r="G428">
        <v>1341.3001709</v>
      </c>
      <c r="H428">
        <v>1338.6960449000001</v>
      </c>
      <c r="I428">
        <v>1320.2553711</v>
      </c>
      <c r="J428">
        <v>1315.7049560999999</v>
      </c>
      <c r="K428">
        <v>2750</v>
      </c>
      <c r="L428">
        <v>0</v>
      </c>
      <c r="M428">
        <v>0</v>
      </c>
      <c r="N428">
        <v>2750</v>
      </c>
    </row>
    <row r="429" spans="1:14" x14ac:dyDescent="0.25">
      <c r="A429">
        <v>46.638010999999999</v>
      </c>
      <c r="B429" s="1">
        <f>DATE(2010,6,16) + TIME(15,18,44)</f>
        <v>40345.638009259259</v>
      </c>
      <c r="C429">
        <v>80</v>
      </c>
      <c r="D429">
        <v>79.949371338000006</v>
      </c>
      <c r="E429">
        <v>60</v>
      </c>
      <c r="F429">
        <v>14.999741554</v>
      </c>
      <c r="G429">
        <v>1341.2965088000001</v>
      </c>
      <c r="H429">
        <v>1338.6933594</v>
      </c>
      <c r="I429">
        <v>1320.2559814000001</v>
      </c>
      <c r="J429">
        <v>1315.7054443</v>
      </c>
      <c r="K429">
        <v>2750</v>
      </c>
      <c r="L429">
        <v>0</v>
      </c>
      <c r="M429">
        <v>0</v>
      </c>
      <c r="N429">
        <v>2750</v>
      </c>
    </row>
    <row r="430" spans="1:14" x14ac:dyDescent="0.25">
      <c r="A430">
        <v>46.817346000000001</v>
      </c>
      <c r="B430" s="1">
        <f>DATE(2010,6,16) + TIME(19,36,58)</f>
        <v>40345.817337962966</v>
      </c>
      <c r="C430">
        <v>80</v>
      </c>
      <c r="D430">
        <v>79.949371338000006</v>
      </c>
      <c r="E430">
        <v>60</v>
      </c>
      <c r="F430">
        <v>14.999742508000001</v>
      </c>
      <c r="G430">
        <v>1341.2927245999999</v>
      </c>
      <c r="H430">
        <v>1338.6905518000001</v>
      </c>
      <c r="I430">
        <v>1320.2567139</v>
      </c>
      <c r="J430">
        <v>1315.7059326000001</v>
      </c>
      <c r="K430">
        <v>2750</v>
      </c>
      <c r="L430">
        <v>0</v>
      </c>
      <c r="M430">
        <v>0</v>
      </c>
      <c r="N430">
        <v>2750</v>
      </c>
    </row>
    <row r="431" spans="1:14" x14ac:dyDescent="0.25">
      <c r="A431">
        <v>46.996682</v>
      </c>
      <c r="B431" s="1">
        <f>DATE(2010,6,16) + TIME(23,55,13)</f>
        <v>40345.996678240743</v>
      </c>
      <c r="C431">
        <v>80</v>
      </c>
      <c r="D431">
        <v>79.949371338000006</v>
      </c>
      <c r="E431">
        <v>60</v>
      </c>
      <c r="F431">
        <v>14.999743462</v>
      </c>
      <c r="G431">
        <v>1341.2890625</v>
      </c>
      <c r="H431">
        <v>1338.6877440999999</v>
      </c>
      <c r="I431">
        <v>1320.2573242000001</v>
      </c>
      <c r="J431">
        <v>1315.7062988</v>
      </c>
      <c r="K431">
        <v>2750</v>
      </c>
      <c r="L431">
        <v>0</v>
      </c>
      <c r="M431">
        <v>0</v>
      </c>
      <c r="N431">
        <v>2750</v>
      </c>
    </row>
    <row r="432" spans="1:14" x14ac:dyDescent="0.25">
      <c r="A432">
        <v>47.176017999999999</v>
      </c>
      <c r="B432" s="1">
        <f>DATE(2010,6,17) + TIME(4,13,27)</f>
        <v>40346.176006944443</v>
      </c>
      <c r="C432">
        <v>80</v>
      </c>
      <c r="D432">
        <v>79.949363708000007</v>
      </c>
      <c r="E432">
        <v>60</v>
      </c>
      <c r="F432">
        <v>14.999743462</v>
      </c>
      <c r="G432">
        <v>1341.2854004000001</v>
      </c>
      <c r="H432">
        <v>1338.6850586</v>
      </c>
      <c r="I432">
        <v>1320.2579346</v>
      </c>
      <c r="J432">
        <v>1315.7067870999999</v>
      </c>
      <c r="K432">
        <v>2750</v>
      </c>
      <c r="L432">
        <v>0</v>
      </c>
      <c r="M432">
        <v>0</v>
      </c>
      <c r="N432">
        <v>2750</v>
      </c>
    </row>
    <row r="433" spans="1:14" x14ac:dyDescent="0.25">
      <c r="A433">
        <v>47.355353000000001</v>
      </c>
      <c r="B433" s="1">
        <f>DATE(2010,6,17) + TIME(8,31,42)</f>
        <v>40346.355347222219</v>
      </c>
      <c r="C433">
        <v>80</v>
      </c>
      <c r="D433">
        <v>79.949363708000007</v>
      </c>
      <c r="E433">
        <v>60</v>
      </c>
      <c r="F433">
        <v>14.999744415</v>
      </c>
      <c r="G433">
        <v>1341.2817382999999</v>
      </c>
      <c r="H433">
        <v>1338.6823730000001</v>
      </c>
      <c r="I433">
        <v>1320.2585449000001</v>
      </c>
      <c r="J433">
        <v>1315.7072754000001</v>
      </c>
      <c r="K433">
        <v>2750</v>
      </c>
      <c r="L433">
        <v>0</v>
      </c>
      <c r="M433">
        <v>0</v>
      </c>
      <c r="N433">
        <v>2750</v>
      </c>
    </row>
    <row r="434" spans="1:14" x14ac:dyDescent="0.25">
      <c r="A434">
        <v>47.534689</v>
      </c>
      <c r="B434" s="1">
        <f>DATE(2010,6,17) + TIME(12,49,57)</f>
        <v>40346.534687500003</v>
      </c>
      <c r="C434">
        <v>80</v>
      </c>
      <c r="D434">
        <v>79.949363708000007</v>
      </c>
      <c r="E434">
        <v>60</v>
      </c>
      <c r="F434">
        <v>14.999745368999999</v>
      </c>
      <c r="G434">
        <v>1341.2780762</v>
      </c>
      <c r="H434">
        <v>1338.6795654</v>
      </c>
      <c r="I434">
        <v>1320.2591553</v>
      </c>
      <c r="J434">
        <v>1315.7077637</v>
      </c>
      <c r="K434">
        <v>2750</v>
      </c>
      <c r="L434">
        <v>0</v>
      </c>
      <c r="M434">
        <v>0</v>
      </c>
      <c r="N434">
        <v>2750</v>
      </c>
    </row>
    <row r="435" spans="1:14" x14ac:dyDescent="0.25">
      <c r="A435">
        <v>47.893360000000001</v>
      </c>
      <c r="B435" s="1">
        <f>DATE(2010,6,17) + TIME(21,26,26)</f>
        <v>40346.89335648148</v>
      </c>
      <c r="C435">
        <v>80</v>
      </c>
      <c r="D435">
        <v>79.949371338000006</v>
      </c>
      <c r="E435">
        <v>60</v>
      </c>
      <c r="F435">
        <v>14.999746323</v>
      </c>
      <c r="G435">
        <v>1341.2745361</v>
      </c>
      <c r="H435">
        <v>1338.6770019999999</v>
      </c>
      <c r="I435">
        <v>1320.2598877</v>
      </c>
      <c r="J435">
        <v>1315.7082519999999</v>
      </c>
      <c r="K435">
        <v>2750</v>
      </c>
      <c r="L435">
        <v>0</v>
      </c>
      <c r="M435">
        <v>0</v>
      </c>
      <c r="N435">
        <v>2750</v>
      </c>
    </row>
    <row r="436" spans="1:14" x14ac:dyDescent="0.25">
      <c r="A436">
        <v>48.253241000000003</v>
      </c>
      <c r="B436" s="1">
        <f>DATE(2010,6,18) + TIME(6,4,40)</f>
        <v>40347.253240740742</v>
      </c>
      <c r="C436">
        <v>80</v>
      </c>
      <c r="D436">
        <v>79.949371338000006</v>
      </c>
      <c r="E436">
        <v>60</v>
      </c>
      <c r="F436">
        <v>14.999747276000001</v>
      </c>
      <c r="G436">
        <v>1341.2673339999999</v>
      </c>
      <c r="H436">
        <v>1338.6716309000001</v>
      </c>
      <c r="I436">
        <v>1320.2611084</v>
      </c>
      <c r="J436">
        <v>1315.7092285000001</v>
      </c>
      <c r="K436">
        <v>2750</v>
      </c>
      <c r="L436">
        <v>0</v>
      </c>
      <c r="M436">
        <v>0</v>
      </c>
      <c r="N436">
        <v>2750</v>
      </c>
    </row>
    <row r="437" spans="1:14" x14ac:dyDescent="0.25">
      <c r="A437">
        <v>48.617587</v>
      </c>
      <c r="B437" s="1">
        <f>DATE(2010,6,18) + TIME(14,49,19)</f>
        <v>40347.617581018516</v>
      </c>
      <c r="C437">
        <v>80</v>
      </c>
      <c r="D437">
        <v>79.949371338000006</v>
      </c>
      <c r="E437">
        <v>60</v>
      </c>
      <c r="F437">
        <v>14.99974823</v>
      </c>
      <c r="G437">
        <v>1341.2601318</v>
      </c>
      <c r="H437">
        <v>1338.6662598</v>
      </c>
      <c r="I437">
        <v>1320.2624512</v>
      </c>
      <c r="J437">
        <v>1315.7102050999999</v>
      </c>
      <c r="K437">
        <v>2750</v>
      </c>
      <c r="L437">
        <v>0</v>
      </c>
      <c r="M437">
        <v>0</v>
      </c>
      <c r="N437">
        <v>2750</v>
      </c>
    </row>
    <row r="438" spans="1:14" x14ac:dyDescent="0.25">
      <c r="A438">
        <v>48.987234000000001</v>
      </c>
      <c r="B438" s="1">
        <f>DATE(2010,6,18) + TIME(23,41,37)</f>
        <v>40347.987233796295</v>
      </c>
      <c r="C438">
        <v>80</v>
      </c>
      <c r="D438">
        <v>79.949363708000007</v>
      </c>
      <c r="E438">
        <v>60</v>
      </c>
      <c r="F438">
        <v>14.999749184000001</v>
      </c>
      <c r="G438">
        <v>1341.2529297000001</v>
      </c>
      <c r="H438">
        <v>1338.6607666</v>
      </c>
      <c r="I438">
        <v>1320.2636719</v>
      </c>
      <c r="J438">
        <v>1315.7111815999999</v>
      </c>
      <c r="K438">
        <v>2750</v>
      </c>
      <c r="L438">
        <v>0</v>
      </c>
      <c r="M438">
        <v>0</v>
      </c>
      <c r="N438">
        <v>2750</v>
      </c>
    </row>
    <row r="439" spans="1:14" x14ac:dyDescent="0.25">
      <c r="A439">
        <v>49.363087999999998</v>
      </c>
      <c r="B439" s="1">
        <f>DATE(2010,6,19) + TIME(8,42,50)</f>
        <v>40348.363078703704</v>
      </c>
      <c r="C439">
        <v>80</v>
      </c>
      <c r="D439">
        <v>79.949363708000007</v>
      </c>
      <c r="E439">
        <v>60</v>
      </c>
      <c r="F439">
        <v>14.999751091</v>
      </c>
      <c r="G439">
        <v>1341.2456055</v>
      </c>
      <c r="H439">
        <v>1338.6553954999999</v>
      </c>
      <c r="I439">
        <v>1320.2650146000001</v>
      </c>
      <c r="J439">
        <v>1315.7121582</v>
      </c>
      <c r="K439">
        <v>2750</v>
      </c>
      <c r="L439">
        <v>0</v>
      </c>
      <c r="M439">
        <v>0</v>
      </c>
      <c r="N439">
        <v>2750</v>
      </c>
    </row>
    <row r="440" spans="1:14" x14ac:dyDescent="0.25">
      <c r="A440">
        <v>49.745150000000002</v>
      </c>
      <c r="B440" s="1">
        <f>DATE(2010,6,19) + TIME(17,53,0)</f>
        <v>40348.745138888888</v>
      </c>
      <c r="C440">
        <v>80</v>
      </c>
      <c r="D440">
        <v>79.949363708000007</v>
      </c>
      <c r="E440">
        <v>60</v>
      </c>
      <c r="F440">
        <v>14.999752044999999</v>
      </c>
      <c r="G440">
        <v>1341.2382812000001</v>
      </c>
      <c r="H440">
        <v>1338.6497803</v>
      </c>
      <c r="I440">
        <v>1320.2663574000001</v>
      </c>
      <c r="J440">
        <v>1315.7132568</v>
      </c>
      <c r="K440">
        <v>2750</v>
      </c>
      <c r="L440">
        <v>0</v>
      </c>
      <c r="M440">
        <v>0</v>
      </c>
      <c r="N440">
        <v>2750</v>
      </c>
    </row>
    <row r="441" spans="1:14" x14ac:dyDescent="0.25">
      <c r="A441">
        <v>49.937967</v>
      </c>
      <c r="B441" s="1">
        <f>DATE(2010,6,19) + TIME(22,30,40)</f>
        <v>40348.937962962962</v>
      </c>
      <c r="C441">
        <v>80</v>
      </c>
      <c r="D441">
        <v>79.949356078999998</v>
      </c>
      <c r="E441">
        <v>60</v>
      </c>
      <c r="F441">
        <v>14.999752998</v>
      </c>
      <c r="G441">
        <v>1341.2307129000001</v>
      </c>
      <c r="H441">
        <v>1338.6441649999999</v>
      </c>
      <c r="I441">
        <v>1320.2678223</v>
      </c>
      <c r="J441">
        <v>1315.7142334</v>
      </c>
      <c r="K441">
        <v>2750</v>
      </c>
      <c r="L441">
        <v>0</v>
      </c>
      <c r="M441">
        <v>0</v>
      </c>
      <c r="N441">
        <v>2750</v>
      </c>
    </row>
    <row r="442" spans="1:14" x14ac:dyDescent="0.25">
      <c r="A442">
        <v>50.130513000000001</v>
      </c>
      <c r="B442" s="1">
        <f>DATE(2010,6,20) + TIME(3,7,56)</f>
        <v>40349.130509259259</v>
      </c>
      <c r="C442">
        <v>80</v>
      </c>
      <c r="D442">
        <v>79.949348450000002</v>
      </c>
      <c r="E442">
        <v>60</v>
      </c>
      <c r="F442">
        <v>14.999753952000001</v>
      </c>
      <c r="G442">
        <v>1341.2270507999999</v>
      </c>
      <c r="H442">
        <v>1338.6413574000001</v>
      </c>
      <c r="I442">
        <v>1320.2684326000001</v>
      </c>
      <c r="J442">
        <v>1315.7147216999999</v>
      </c>
      <c r="K442">
        <v>2750</v>
      </c>
      <c r="L442">
        <v>0</v>
      </c>
      <c r="M442">
        <v>0</v>
      </c>
      <c r="N442">
        <v>2750</v>
      </c>
    </row>
    <row r="443" spans="1:14" x14ac:dyDescent="0.25">
      <c r="A443">
        <v>50.322411000000002</v>
      </c>
      <c r="B443" s="1">
        <f>DATE(2010,6,20) + TIME(7,44,16)</f>
        <v>40349.32240740741</v>
      </c>
      <c r="C443">
        <v>80</v>
      </c>
      <c r="D443">
        <v>79.949348450000002</v>
      </c>
      <c r="E443">
        <v>60</v>
      </c>
      <c r="F443">
        <v>14.999754906</v>
      </c>
      <c r="G443">
        <v>1341.2232666</v>
      </c>
      <c r="H443">
        <v>1338.6385498</v>
      </c>
      <c r="I443">
        <v>1320.2691649999999</v>
      </c>
      <c r="J443">
        <v>1315.715332</v>
      </c>
      <c r="K443">
        <v>2750</v>
      </c>
      <c r="L443">
        <v>0</v>
      </c>
      <c r="M443">
        <v>0</v>
      </c>
      <c r="N443">
        <v>2750</v>
      </c>
    </row>
    <row r="444" spans="1:14" x14ac:dyDescent="0.25">
      <c r="A444">
        <v>50.51379</v>
      </c>
      <c r="B444" s="1">
        <f>DATE(2010,6,20) + TIME(12,19,51)</f>
        <v>40349.513784722221</v>
      </c>
      <c r="C444">
        <v>80</v>
      </c>
      <c r="D444">
        <v>79.949340820000003</v>
      </c>
      <c r="E444">
        <v>60</v>
      </c>
      <c r="F444">
        <v>14.999754906</v>
      </c>
      <c r="G444">
        <v>1341.2196045000001</v>
      </c>
      <c r="H444">
        <v>1338.6357422000001</v>
      </c>
      <c r="I444">
        <v>1320.2698975000001</v>
      </c>
      <c r="J444">
        <v>1315.7158202999999</v>
      </c>
      <c r="K444">
        <v>2750</v>
      </c>
      <c r="L444">
        <v>0</v>
      </c>
      <c r="M444">
        <v>0</v>
      </c>
      <c r="N444">
        <v>2750</v>
      </c>
    </row>
    <row r="445" spans="1:14" x14ac:dyDescent="0.25">
      <c r="A445">
        <v>50.704777999999997</v>
      </c>
      <c r="B445" s="1">
        <f>DATE(2010,6,20) + TIME(16,54,52)</f>
        <v>40349.704768518517</v>
      </c>
      <c r="C445">
        <v>80</v>
      </c>
      <c r="D445">
        <v>79.949340820000003</v>
      </c>
      <c r="E445">
        <v>60</v>
      </c>
      <c r="F445">
        <v>14.999755859</v>
      </c>
      <c r="G445">
        <v>1341.2159423999999</v>
      </c>
      <c r="H445">
        <v>1338.6330565999999</v>
      </c>
      <c r="I445">
        <v>1320.2706298999999</v>
      </c>
      <c r="J445">
        <v>1315.7163086</v>
      </c>
      <c r="K445">
        <v>2750</v>
      </c>
      <c r="L445">
        <v>0</v>
      </c>
      <c r="M445">
        <v>0</v>
      </c>
      <c r="N445">
        <v>2750</v>
      </c>
    </row>
    <row r="446" spans="1:14" x14ac:dyDescent="0.25">
      <c r="A446">
        <v>50.895502999999998</v>
      </c>
      <c r="B446" s="1">
        <f>DATE(2010,6,20) + TIME(21,29,31)</f>
        <v>40349.895497685182</v>
      </c>
      <c r="C446">
        <v>80</v>
      </c>
      <c r="D446">
        <v>79.949340820000003</v>
      </c>
      <c r="E446">
        <v>60</v>
      </c>
      <c r="F446">
        <v>14.999756812999999</v>
      </c>
      <c r="G446">
        <v>1341.2122803</v>
      </c>
      <c r="H446">
        <v>1338.6303711</v>
      </c>
      <c r="I446">
        <v>1320.2713623</v>
      </c>
      <c r="J446">
        <v>1315.7169189000001</v>
      </c>
      <c r="K446">
        <v>2750</v>
      </c>
      <c r="L446">
        <v>0</v>
      </c>
      <c r="M446">
        <v>0</v>
      </c>
      <c r="N446">
        <v>2750</v>
      </c>
    </row>
    <row r="447" spans="1:14" x14ac:dyDescent="0.25">
      <c r="A447">
        <v>51.086086000000002</v>
      </c>
      <c r="B447" s="1">
        <f>DATE(2010,6,21) + TIME(2,3,57)</f>
        <v>40350.086076388892</v>
      </c>
      <c r="C447">
        <v>80</v>
      </c>
      <c r="D447">
        <v>79.949340820000003</v>
      </c>
      <c r="E447">
        <v>60</v>
      </c>
      <c r="F447">
        <v>14.999757767</v>
      </c>
      <c r="G447">
        <v>1341.2087402</v>
      </c>
      <c r="H447">
        <v>1338.6275635</v>
      </c>
      <c r="I447">
        <v>1320.2720947</v>
      </c>
      <c r="J447">
        <v>1315.7174072</v>
      </c>
      <c r="K447">
        <v>2750</v>
      </c>
      <c r="L447">
        <v>0</v>
      </c>
      <c r="M447">
        <v>0</v>
      </c>
      <c r="N447">
        <v>2750</v>
      </c>
    </row>
    <row r="448" spans="1:14" x14ac:dyDescent="0.25">
      <c r="A448">
        <v>51.276606999999998</v>
      </c>
      <c r="B448" s="1">
        <f>DATE(2010,6,21) + TIME(6,38,18)</f>
        <v>40350.276597222219</v>
      </c>
      <c r="C448">
        <v>80</v>
      </c>
      <c r="D448">
        <v>79.949340820000003</v>
      </c>
      <c r="E448">
        <v>60</v>
      </c>
      <c r="F448">
        <v>14.999757767</v>
      </c>
      <c r="G448">
        <v>1341.2050781</v>
      </c>
      <c r="H448">
        <v>1338.6248779</v>
      </c>
      <c r="I448">
        <v>1320.2727050999999</v>
      </c>
      <c r="J448">
        <v>1315.7178954999999</v>
      </c>
      <c r="K448">
        <v>2750</v>
      </c>
      <c r="L448">
        <v>0</v>
      </c>
      <c r="M448">
        <v>0</v>
      </c>
      <c r="N448">
        <v>2750</v>
      </c>
    </row>
    <row r="449" spans="1:14" x14ac:dyDescent="0.25">
      <c r="A449">
        <v>51.467129</v>
      </c>
      <c r="B449" s="1">
        <f>DATE(2010,6,21) + TIME(11,12,39)</f>
        <v>40350.467118055552</v>
      </c>
      <c r="C449">
        <v>80</v>
      </c>
      <c r="D449">
        <v>79.949333190999994</v>
      </c>
      <c r="E449">
        <v>60</v>
      </c>
      <c r="F449">
        <v>14.999758720000001</v>
      </c>
      <c r="G449">
        <v>1341.2015381000001</v>
      </c>
      <c r="H449">
        <v>1338.6221923999999</v>
      </c>
      <c r="I449">
        <v>1320.2734375</v>
      </c>
      <c r="J449">
        <v>1315.7185059000001</v>
      </c>
      <c r="K449">
        <v>2750</v>
      </c>
      <c r="L449">
        <v>0</v>
      </c>
      <c r="M449">
        <v>0</v>
      </c>
      <c r="N449">
        <v>2750</v>
      </c>
    </row>
    <row r="450" spans="1:14" x14ac:dyDescent="0.25">
      <c r="A450">
        <v>51.657649999999997</v>
      </c>
      <c r="B450" s="1">
        <f>DATE(2010,6,21) + TIME(15,47,0)</f>
        <v>40350.657638888886</v>
      </c>
      <c r="C450">
        <v>80</v>
      </c>
      <c r="D450">
        <v>79.949333190999994</v>
      </c>
      <c r="E450">
        <v>60</v>
      </c>
      <c r="F450">
        <v>14.999759674</v>
      </c>
      <c r="G450">
        <v>1341.197876</v>
      </c>
      <c r="H450">
        <v>1338.6195068</v>
      </c>
      <c r="I450">
        <v>1320.2741699000001</v>
      </c>
      <c r="J450">
        <v>1315.7189940999999</v>
      </c>
      <c r="K450">
        <v>2750</v>
      </c>
      <c r="L450">
        <v>0</v>
      </c>
      <c r="M450">
        <v>0</v>
      </c>
      <c r="N450">
        <v>2750</v>
      </c>
    </row>
    <row r="451" spans="1:14" x14ac:dyDescent="0.25">
      <c r="A451">
        <v>51.848171999999998</v>
      </c>
      <c r="B451" s="1">
        <f>DATE(2010,6,21) + TIME(20,21,22)</f>
        <v>40350.848171296297</v>
      </c>
      <c r="C451">
        <v>80</v>
      </c>
      <c r="D451">
        <v>79.949333190999994</v>
      </c>
      <c r="E451">
        <v>60</v>
      </c>
      <c r="F451">
        <v>14.999759674</v>
      </c>
      <c r="G451">
        <v>1341.1943358999999</v>
      </c>
      <c r="H451">
        <v>1338.6168213000001</v>
      </c>
      <c r="I451">
        <v>1320.2749022999999</v>
      </c>
      <c r="J451">
        <v>1315.7196045000001</v>
      </c>
      <c r="K451">
        <v>2750</v>
      </c>
      <c r="L451">
        <v>0</v>
      </c>
      <c r="M451">
        <v>0</v>
      </c>
      <c r="N451">
        <v>2750</v>
      </c>
    </row>
    <row r="452" spans="1:14" x14ac:dyDescent="0.25">
      <c r="A452">
        <v>52.038693000000002</v>
      </c>
      <c r="B452" s="1">
        <f>DATE(2010,6,22) + TIME(0,55,43)</f>
        <v>40351.03869212963</v>
      </c>
      <c r="C452">
        <v>80</v>
      </c>
      <c r="D452">
        <v>79.949333190999994</v>
      </c>
      <c r="E452">
        <v>60</v>
      </c>
      <c r="F452">
        <v>14.999760628000001</v>
      </c>
      <c r="G452">
        <v>1341.1907959</v>
      </c>
      <c r="H452">
        <v>1338.6141356999999</v>
      </c>
      <c r="I452">
        <v>1320.2756348</v>
      </c>
      <c r="J452">
        <v>1315.7200928</v>
      </c>
      <c r="K452">
        <v>2750</v>
      </c>
      <c r="L452">
        <v>0</v>
      </c>
      <c r="M452">
        <v>0</v>
      </c>
      <c r="N452">
        <v>2750</v>
      </c>
    </row>
    <row r="453" spans="1:14" x14ac:dyDescent="0.25">
      <c r="A453">
        <v>52.229215000000003</v>
      </c>
      <c r="B453" s="1">
        <f>DATE(2010,6,22) + TIME(5,30,4)</f>
        <v>40351.229212962964</v>
      </c>
      <c r="C453">
        <v>80</v>
      </c>
      <c r="D453">
        <v>79.949333190999994</v>
      </c>
      <c r="E453">
        <v>60</v>
      </c>
      <c r="F453">
        <v>14.999761581</v>
      </c>
      <c r="G453">
        <v>1341.1872559000001</v>
      </c>
      <c r="H453">
        <v>1338.6114502</v>
      </c>
      <c r="I453">
        <v>1320.2763672000001</v>
      </c>
      <c r="J453">
        <v>1315.7205810999999</v>
      </c>
      <c r="K453">
        <v>2750</v>
      </c>
      <c r="L453">
        <v>0</v>
      </c>
      <c r="M453">
        <v>0</v>
      </c>
      <c r="N453">
        <v>2750</v>
      </c>
    </row>
    <row r="454" spans="1:14" x14ac:dyDescent="0.25">
      <c r="A454">
        <v>52.419736</v>
      </c>
      <c r="B454" s="1">
        <f>DATE(2010,6,22) + TIME(10,4,25)</f>
        <v>40351.419733796298</v>
      </c>
      <c r="C454">
        <v>80</v>
      </c>
      <c r="D454">
        <v>79.949333190999994</v>
      </c>
      <c r="E454">
        <v>60</v>
      </c>
      <c r="F454">
        <v>14.999762535</v>
      </c>
      <c r="G454">
        <v>1341.1837158000001</v>
      </c>
      <c r="H454">
        <v>1338.6087646000001</v>
      </c>
      <c r="I454">
        <v>1320.2770995999999</v>
      </c>
      <c r="J454">
        <v>1315.7211914</v>
      </c>
      <c r="K454">
        <v>2750</v>
      </c>
      <c r="L454">
        <v>0</v>
      </c>
      <c r="M454">
        <v>0</v>
      </c>
      <c r="N454">
        <v>2750</v>
      </c>
    </row>
    <row r="455" spans="1:14" x14ac:dyDescent="0.25">
      <c r="A455">
        <v>52.800780000000003</v>
      </c>
      <c r="B455" s="1">
        <f>DATE(2010,6,22) + TIME(19,13,7)</f>
        <v>40351.800775462965</v>
      </c>
      <c r="C455">
        <v>80</v>
      </c>
      <c r="D455">
        <v>79.949340820000003</v>
      </c>
      <c r="E455">
        <v>60</v>
      </c>
      <c r="F455">
        <v>14.999763488999999</v>
      </c>
      <c r="G455">
        <v>1341.1802978999999</v>
      </c>
      <c r="H455">
        <v>1338.6062012</v>
      </c>
      <c r="I455">
        <v>1320.277832</v>
      </c>
      <c r="J455">
        <v>1315.7218018000001</v>
      </c>
      <c r="K455">
        <v>2750</v>
      </c>
      <c r="L455">
        <v>0</v>
      </c>
      <c r="M455">
        <v>0</v>
      </c>
      <c r="N455">
        <v>2750</v>
      </c>
    </row>
    <row r="456" spans="1:14" x14ac:dyDescent="0.25">
      <c r="A456">
        <v>53.182741999999998</v>
      </c>
      <c r="B456" s="1">
        <f>DATE(2010,6,23) + TIME(4,23,8)</f>
        <v>40352.18273148148</v>
      </c>
      <c r="C456">
        <v>80</v>
      </c>
      <c r="D456">
        <v>79.949348450000002</v>
      </c>
      <c r="E456">
        <v>60</v>
      </c>
      <c r="F456">
        <v>14.999764442</v>
      </c>
      <c r="G456">
        <v>1341.1733397999999</v>
      </c>
      <c r="H456">
        <v>1338.6009521000001</v>
      </c>
      <c r="I456">
        <v>1320.2792969</v>
      </c>
      <c r="J456">
        <v>1315.7227783000001</v>
      </c>
      <c r="K456">
        <v>2750</v>
      </c>
      <c r="L456">
        <v>0</v>
      </c>
      <c r="M456">
        <v>0</v>
      </c>
      <c r="N456">
        <v>2750</v>
      </c>
    </row>
    <row r="457" spans="1:14" x14ac:dyDescent="0.25">
      <c r="A457">
        <v>53.569350999999997</v>
      </c>
      <c r="B457" s="1">
        <f>DATE(2010,6,23) + TIME(13,39,51)</f>
        <v>40352.569340277776</v>
      </c>
      <c r="C457">
        <v>80</v>
      </c>
      <c r="D457">
        <v>79.949348450000002</v>
      </c>
      <c r="E457">
        <v>60</v>
      </c>
      <c r="F457">
        <v>14.999765396000001</v>
      </c>
      <c r="G457">
        <v>1341.1663818</v>
      </c>
      <c r="H457">
        <v>1338.5957031</v>
      </c>
      <c r="I457">
        <v>1320.2807617000001</v>
      </c>
      <c r="J457">
        <v>1315.7238769999999</v>
      </c>
      <c r="K457">
        <v>2750</v>
      </c>
      <c r="L457">
        <v>0</v>
      </c>
      <c r="M457">
        <v>0</v>
      </c>
      <c r="N457">
        <v>2750</v>
      </c>
    </row>
    <row r="458" spans="1:14" x14ac:dyDescent="0.25">
      <c r="A458">
        <v>53.961489999999998</v>
      </c>
      <c r="B458" s="1">
        <f>DATE(2010,6,23) + TIME(23,4,32)</f>
        <v>40352.961481481485</v>
      </c>
      <c r="C458">
        <v>80</v>
      </c>
      <c r="D458">
        <v>79.949348450000002</v>
      </c>
      <c r="E458">
        <v>60</v>
      </c>
      <c r="F458">
        <v>14.999767303</v>
      </c>
      <c r="G458">
        <v>1341.1594238</v>
      </c>
      <c r="H458">
        <v>1338.5904541</v>
      </c>
      <c r="I458">
        <v>1320.2823486</v>
      </c>
      <c r="J458">
        <v>1315.7250977000001</v>
      </c>
      <c r="K458">
        <v>2750</v>
      </c>
      <c r="L458">
        <v>0</v>
      </c>
      <c r="M458">
        <v>0</v>
      </c>
      <c r="N458">
        <v>2750</v>
      </c>
    </row>
    <row r="459" spans="1:14" x14ac:dyDescent="0.25">
      <c r="A459">
        <v>54.360131000000003</v>
      </c>
      <c r="B459" s="1">
        <f>DATE(2010,6,24) + TIME(8,38,35)</f>
        <v>40353.360127314816</v>
      </c>
      <c r="C459">
        <v>80</v>
      </c>
      <c r="D459">
        <v>79.949356078999998</v>
      </c>
      <c r="E459">
        <v>60</v>
      </c>
      <c r="F459">
        <v>14.999768256999999</v>
      </c>
      <c r="G459">
        <v>1341.1523437999999</v>
      </c>
      <c r="H459">
        <v>1338.5850829999999</v>
      </c>
      <c r="I459">
        <v>1320.2838135</v>
      </c>
      <c r="J459">
        <v>1315.7261963000001</v>
      </c>
      <c r="K459">
        <v>2750</v>
      </c>
      <c r="L459">
        <v>0</v>
      </c>
      <c r="M459">
        <v>0</v>
      </c>
      <c r="N459">
        <v>2750</v>
      </c>
    </row>
    <row r="460" spans="1:14" x14ac:dyDescent="0.25">
      <c r="A460">
        <v>54.765436000000001</v>
      </c>
      <c r="B460" s="1">
        <f>DATE(2010,6,24) + TIME(18,22,13)</f>
        <v>40353.765428240738</v>
      </c>
      <c r="C460">
        <v>80</v>
      </c>
      <c r="D460">
        <v>79.949356078999998</v>
      </c>
      <c r="E460">
        <v>60</v>
      </c>
      <c r="F460">
        <v>14.999770163999999</v>
      </c>
      <c r="G460">
        <v>1341.1452637</v>
      </c>
      <c r="H460">
        <v>1338.5797118999999</v>
      </c>
      <c r="I460">
        <v>1320.2854004000001</v>
      </c>
      <c r="J460">
        <v>1315.7272949000001</v>
      </c>
      <c r="K460">
        <v>2750</v>
      </c>
      <c r="L460">
        <v>0</v>
      </c>
      <c r="M460">
        <v>0</v>
      </c>
      <c r="N460">
        <v>2750</v>
      </c>
    </row>
    <row r="461" spans="1:14" x14ac:dyDescent="0.25">
      <c r="A461">
        <v>54.969800999999997</v>
      </c>
      <c r="B461" s="1">
        <f>DATE(2010,6,24) + TIME(23,16,30)</f>
        <v>40353.96979166667</v>
      </c>
      <c r="C461">
        <v>80</v>
      </c>
      <c r="D461">
        <v>79.949348450000002</v>
      </c>
      <c r="E461">
        <v>60</v>
      </c>
      <c r="F461">
        <v>14.999771118</v>
      </c>
      <c r="G461">
        <v>1341.1380615</v>
      </c>
      <c r="H461">
        <v>1338.5742187999999</v>
      </c>
      <c r="I461">
        <v>1320.2869873</v>
      </c>
      <c r="J461">
        <v>1315.7285156</v>
      </c>
      <c r="K461">
        <v>2750</v>
      </c>
      <c r="L461">
        <v>0</v>
      </c>
      <c r="M461">
        <v>0</v>
      </c>
      <c r="N461">
        <v>2750</v>
      </c>
    </row>
    <row r="462" spans="1:14" x14ac:dyDescent="0.25">
      <c r="A462">
        <v>55.173681999999999</v>
      </c>
      <c r="B462" s="1">
        <f>DATE(2010,6,25) + TIME(4,10,6)</f>
        <v>40354.173680555556</v>
      </c>
      <c r="C462">
        <v>80</v>
      </c>
      <c r="D462">
        <v>79.949348450000002</v>
      </c>
      <c r="E462">
        <v>60</v>
      </c>
      <c r="F462">
        <v>14.999772072000001</v>
      </c>
      <c r="G462">
        <v>1341.1343993999999</v>
      </c>
      <c r="H462">
        <v>1338.5714111</v>
      </c>
      <c r="I462">
        <v>1320.2878418</v>
      </c>
      <c r="J462">
        <v>1315.729126</v>
      </c>
      <c r="K462">
        <v>2750</v>
      </c>
      <c r="L462">
        <v>0</v>
      </c>
      <c r="M462">
        <v>0</v>
      </c>
      <c r="N462">
        <v>2750</v>
      </c>
    </row>
    <row r="463" spans="1:14" x14ac:dyDescent="0.25">
      <c r="A463">
        <v>55.376911999999997</v>
      </c>
      <c r="B463" s="1">
        <f>DATE(2010,6,25) + TIME(9,2,45)</f>
        <v>40354.376909722225</v>
      </c>
      <c r="C463">
        <v>80</v>
      </c>
      <c r="D463">
        <v>79.949348450000002</v>
      </c>
      <c r="E463">
        <v>60</v>
      </c>
      <c r="F463">
        <v>14.999773026</v>
      </c>
      <c r="G463">
        <v>1341.1308594</v>
      </c>
      <c r="H463">
        <v>1338.5687256000001</v>
      </c>
      <c r="I463">
        <v>1320.2885742000001</v>
      </c>
      <c r="J463">
        <v>1315.7297363</v>
      </c>
      <c r="K463">
        <v>2750</v>
      </c>
      <c r="L463">
        <v>0</v>
      </c>
      <c r="M463">
        <v>0</v>
      </c>
      <c r="N463">
        <v>2750</v>
      </c>
    </row>
    <row r="464" spans="1:14" x14ac:dyDescent="0.25">
      <c r="A464">
        <v>55.579622000000001</v>
      </c>
      <c r="B464" s="1">
        <f>DATE(2010,6,25) + TIME(13,54,39)</f>
        <v>40354.579618055555</v>
      </c>
      <c r="C464">
        <v>80</v>
      </c>
      <c r="D464">
        <v>79.949348450000002</v>
      </c>
      <c r="E464">
        <v>60</v>
      </c>
      <c r="F464">
        <v>14.999773979</v>
      </c>
      <c r="G464">
        <v>1341.1273193</v>
      </c>
      <c r="H464">
        <v>1338.5660399999999</v>
      </c>
      <c r="I464">
        <v>1320.2894286999999</v>
      </c>
      <c r="J464">
        <v>1315.7303466999999</v>
      </c>
      <c r="K464">
        <v>2750</v>
      </c>
      <c r="L464">
        <v>0</v>
      </c>
      <c r="M464">
        <v>0</v>
      </c>
      <c r="N464">
        <v>2750</v>
      </c>
    </row>
    <row r="465" spans="1:14" x14ac:dyDescent="0.25">
      <c r="A465">
        <v>55.781942000000001</v>
      </c>
      <c r="B465" s="1">
        <f>DATE(2010,6,25) + TIME(18,45,59)</f>
        <v>40354.78193287037</v>
      </c>
      <c r="C465">
        <v>80</v>
      </c>
      <c r="D465">
        <v>79.949348450000002</v>
      </c>
      <c r="E465">
        <v>60</v>
      </c>
      <c r="F465">
        <v>14.999773979</v>
      </c>
      <c r="G465">
        <v>1341.1237793</v>
      </c>
      <c r="H465">
        <v>1338.5633545000001</v>
      </c>
      <c r="I465">
        <v>1320.2902832</v>
      </c>
      <c r="J465">
        <v>1315.7308350000001</v>
      </c>
      <c r="K465">
        <v>2750</v>
      </c>
      <c r="L465">
        <v>0</v>
      </c>
      <c r="M465">
        <v>0</v>
      </c>
      <c r="N465">
        <v>2750</v>
      </c>
    </row>
    <row r="466" spans="1:14" x14ac:dyDescent="0.25">
      <c r="A466">
        <v>55.984000000000002</v>
      </c>
      <c r="B466" s="1">
        <f>DATE(2010,6,25) + TIME(23,36,57)</f>
        <v>40354.983993055554</v>
      </c>
      <c r="C466">
        <v>80</v>
      </c>
      <c r="D466">
        <v>79.949348450000002</v>
      </c>
      <c r="E466">
        <v>60</v>
      </c>
      <c r="F466">
        <v>14.999774932999999</v>
      </c>
      <c r="G466">
        <v>1341.1202393000001</v>
      </c>
      <c r="H466">
        <v>1338.5606689000001</v>
      </c>
      <c r="I466">
        <v>1320.2911377</v>
      </c>
      <c r="J466">
        <v>1315.7314452999999</v>
      </c>
      <c r="K466">
        <v>2750</v>
      </c>
      <c r="L466">
        <v>0</v>
      </c>
      <c r="M466">
        <v>0</v>
      </c>
      <c r="N466">
        <v>2750</v>
      </c>
    </row>
    <row r="467" spans="1:14" x14ac:dyDescent="0.25">
      <c r="A467">
        <v>56.185918999999998</v>
      </c>
      <c r="B467" s="1">
        <f>DATE(2010,6,26) + TIME(4,27,43)</f>
        <v>40355.185914351852</v>
      </c>
      <c r="C467">
        <v>80</v>
      </c>
      <c r="D467">
        <v>79.949348450000002</v>
      </c>
      <c r="E467">
        <v>60</v>
      </c>
      <c r="F467">
        <v>14.999775887</v>
      </c>
      <c r="G467">
        <v>1341.1168213000001</v>
      </c>
      <c r="H467">
        <v>1338.5581055</v>
      </c>
      <c r="I467">
        <v>1320.2918701000001</v>
      </c>
      <c r="J467">
        <v>1315.7320557</v>
      </c>
      <c r="K467">
        <v>2750</v>
      </c>
      <c r="L467">
        <v>0</v>
      </c>
      <c r="M467">
        <v>0</v>
      </c>
      <c r="N467">
        <v>2750</v>
      </c>
    </row>
    <row r="468" spans="1:14" x14ac:dyDescent="0.25">
      <c r="A468">
        <v>56.387821000000002</v>
      </c>
      <c r="B468" s="1">
        <f>DATE(2010,6,26) + TIME(9,18,27)</f>
        <v>40355.387812499997</v>
      </c>
      <c r="C468">
        <v>80</v>
      </c>
      <c r="D468">
        <v>79.949348450000002</v>
      </c>
      <c r="E468">
        <v>60</v>
      </c>
      <c r="F468">
        <v>14.999776839999999</v>
      </c>
      <c r="G468">
        <v>1341.1132812000001</v>
      </c>
      <c r="H468">
        <v>1338.5554199000001</v>
      </c>
      <c r="I468">
        <v>1320.2927245999999</v>
      </c>
      <c r="J468">
        <v>1315.7326660000001</v>
      </c>
      <c r="K468">
        <v>2750</v>
      </c>
      <c r="L468">
        <v>0</v>
      </c>
      <c r="M468">
        <v>0</v>
      </c>
      <c r="N468">
        <v>2750</v>
      </c>
    </row>
    <row r="469" spans="1:14" x14ac:dyDescent="0.25">
      <c r="A469">
        <v>56.589722999999999</v>
      </c>
      <c r="B469" s="1">
        <f>DATE(2010,6,26) + TIME(14,9,12)</f>
        <v>40355.589722222219</v>
      </c>
      <c r="C469">
        <v>80</v>
      </c>
      <c r="D469">
        <v>79.949348450000002</v>
      </c>
      <c r="E469">
        <v>60</v>
      </c>
      <c r="F469">
        <v>14.999777794</v>
      </c>
      <c r="G469">
        <v>1341.1098632999999</v>
      </c>
      <c r="H469">
        <v>1338.5527344</v>
      </c>
      <c r="I469">
        <v>1320.2935791</v>
      </c>
      <c r="J469">
        <v>1315.7332764</v>
      </c>
      <c r="K469">
        <v>2750</v>
      </c>
      <c r="L469">
        <v>0</v>
      </c>
      <c r="M469">
        <v>0</v>
      </c>
      <c r="N469">
        <v>2750</v>
      </c>
    </row>
    <row r="470" spans="1:14" x14ac:dyDescent="0.25">
      <c r="A470">
        <v>56.791625000000003</v>
      </c>
      <c r="B470" s="1">
        <f>DATE(2010,6,26) + TIME(18,59,56)</f>
        <v>40355.791620370372</v>
      </c>
      <c r="C470">
        <v>80</v>
      </c>
      <c r="D470">
        <v>79.949348450000002</v>
      </c>
      <c r="E470">
        <v>60</v>
      </c>
      <c r="F470">
        <v>14.999778748000001</v>
      </c>
      <c r="G470">
        <v>1341.1064452999999</v>
      </c>
      <c r="H470">
        <v>1338.5501709</v>
      </c>
      <c r="I470">
        <v>1320.2944336</v>
      </c>
      <c r="J470">
        <v>1315.7338867000001</v>
      </c>
      <c r="K470">
        <v>2750</v>
      </c>
      <c r="L470">
        <v>0</v>
      </c>
      <c r="M470">
        <v>0</v>
      </c>
      <c r="N470">
        <v>2750</v>
      </c>
    </row>
    <row r="471" spans="1:14" x14ac:dyDescent="0.25">
      <c r="A471">
        <v>56.993526000000003</v>
      </c>
      <c r="B471" s="1">
        <f>DATE(2010,6,26) + TIME(23,50,40)</f>
        <v>40355.993518518517</v>
      </c>
      <c r="C471">
        <v>80</v>
      </c>
      <c r="D471">
        <v>79.949348450000002</v>
      </c>
      <c r="E471">
        <v>60</v>
      </c>
      <c r="F471">
        <v>14.999779701</v>
      </c>
      <c r="G471">
        <v>1341.1029053</v>
      </c>
      <c r="H471">
        <v>1338.5474853999999</v>
      </c>
      <c r="I471">
        <v>1320.2952881000001</v>
      </c>
      <c r="J471">
        <v>1315.7344971</v>
      </c>
      <c r="K471">
        <v>2750</v>
      </c>
      <c r="L471">
        <v>0</v>
      </c>
      <c r="M471">
        <v>0</v>
      </c>
      <c r="N471">
        <v>2750</v>
      </c>
    </row>
    <row r="472" spans="1:14" x14ac:dyDescent="0.25">
      <c r="A472">
        <v>57.195428</v>
      </c>
      <c r="B472" s="1">
        <f>DATE(2010,6,27) + TIME(4,41,24)</f>
        <v>40356.195416666669</v>
      </c>
      <c r="C472">
        <v>80</v>
      </c>
      <c r="D472">
        <v>79.949356078999998</v>
      </c>
      <c r="E472">
        <v>60</v>
      </c>
      <c r="F472">
        <v>14.999780655</v>
      </c>
      <c r="G472">
        <v>1341.0994873</v>
      </c>
      <c r="H472">
        <v>1338.5449219</v>
      </c>
      <c r="I472">
        <v>1320.2960204999999</v>
      </c>
      <c r="J472">
        <v>1315.7351074000001</v>
      </c>
      <c r="K472">
        <v>2750</v>
      </c>
      <c r="L472">
        <v>0</v>
      </c>
      <c r="M472">
        <v>0</v>
      </c>
      <c r="N472">
        <v>2750</v>
      </c>
    </row>
    <row r="473" spans="1:14" x14ac:dyDescent="0.25">
      <c r="A473">
        <v>57.397329999999997</v>
      </c>
      <c r="B473" s="1">
        <f>DATE(2010,6,27) + TIME(9,32,9)</f>
        <v>40356.397326388891</v>
      </c>
      <c r="C473">
        <v>80</v>
      </c>
      <c r="D473">
        <v>79.949356078999998</v>
      </c>
      <c r="E473">
        <v>60</v>
      </c>
      <c r="F473">
        <v>14.999781608999999</v>
      </c>
      <c r="G473">
        <v>1341.0960693</v>
      </c>
      <c r="H473">
        <v>1338.5423584</v>
      </c>
      <c r="I473">
        <v>1320.296875</v>
      </c>
      <c r="J473">
        <v>1315.7357178</v>
      </c>
      <c r="K473">
        <v>2750</v>
      </c>
      <c r="L473">
        <v>0</v>
      </c>
      <c r="M473">
        <v>0</v>
      </c>
      <c r="N473">
        <v>2750</v>
      </c>
    </row>
    <row r="474" spans="1:14" x14ac:dyDescent="0.25">
      <c r="A474">
        <v>57.801133999999998</v>
      </c>
      <c r="B474" s="1">
        <f>DATE(2010,6,27) + TIME(19,13,37)</f>
        <v>40356.801122685189</v>
      </c>
      <c r="C474">
        <v>80</v>
      </c>
      <c r="D474">
        <v>79.949363708000007</v>
      </c>
      <c r="E474">
        <v>60</v>
      </c>
      <c r="F474">
        <v>14.999783516000001</v>
      </c>
      <c r="G474">
        <v>1341.0927733999999</v>
      </c>
      <c r="H474">
        <v>1338.5397949000001</v>
      </c>
      <c r="I474">
        <v>1320.2978516000001</v>
      </c>
      <c r="J474">
        <v>1315.7364502</v>
      </c>
      <c r="K474">
        <v>2750</v>
      </c>
      <c r="L474">
        <v>0</v>
      </c>
      <c r="M474">
        <v>0</v>
      </c>
      <c r="N474">
        <v>2750</v>
      </c>
    </row>
    <row r="475" spans="1:14" x14ac:dyDescent="0.25">
      <c r="A475">
        <v>58.205229000000003</v>
      </c>
      <c r="B475" s="1">
        <f>DATE(2010,6,28) + TIME(4,55,31)</f>
        <v>40357.20521990741</v>
      </c>
      <c r="C475">
        <v>80</v>
      </c>
      <c r="D475">
        <v>79.949371338000006</v>
      </c>
      <c r="E475">
        <v>60</v>
      </c>
      <c r="F475">
        <v>14.999785423000001</v>
      </c>
      <c r="G475">
        <v>1341.0860596</v>
      </c>
      <c r="H475">
        <v>1338.534668</v>
      </c>
      <c r="I475">
        <v>1320.2995605000001</v>
      </c>
      <c r="J475">
        <v>1315.7376709</v>
      </c>
      <c r="K475">
        <v>2750</v>
      </c>
      <c r="L475">
        <v>0</v>
      </c>
      <c r="M475">
        <v>0</v>
      </c>
      <c r="N475">
        <v>2750</v>
      </c>
    </row>
    <row r="476" spans="1:14" x14ac:dyDescent="0.25">
      <c r="A476">
        <v>58.613905000000003</v>
      </c>
      <c r="B476" s="1">
        <f>DATE(2010,6,28) + TIME(14,44,1)</f>
        <v>40357.613900462966</v>
      </c>
      <c r="C476">
        <v>80</v>
      </c>
      <c r="D476">
        <v>79.949378967000001</v>
      </c>
      <c r="E476">
        <v>60</v>
      </c>
      <c r="F476">
        <v>14.999787331</v>
      </c>
      <c r="G476">
        <v>1341.0793457</v>
      </c>
      <c r="H476">
        <v>1338.5295410000001</v>
      </c>
      <c r="I476">
        <v>1320.3012695</v>
      </c>
      <c r="J476">
        <v>1315.7388916</v>
      </c>
      <c r="K476">
        <v>2750</v>
      </c>
      <c r="L476">
        <v>0</v>
      </c>
      <c r="M476">
        <v>0</v>
      </c>
      <c r="N476">
        <v>2750</v>
      </c>
    </row>
    <row r="477" spans="1:14" x14ac:dyDescent="0.25">
      <c r="A477">
        <v>59.028111000000003</v>
      </c>
      <c r="B477" s="1">
        <f>DATE(2010,6,29) + TIME(0,40,28)</f>
        <v>40358.028101851851</v>
      </c>
      <c r="C477">
        <v>80</v>
      </c>
      <c r="D477">
        <v>79.949386597</v>
      </c>
      <c r="E477">
        <v>60</v>
      </c>
      <c r="F477">
        <v>14.999789238</v>
      </c>
      <c r="G477">
        <v>1341.0725098</v>
      </c>
      <c r="H477">
        <v>1338.5244141000001</v>
      </c>
      <c r="I477">
        <v>1320.3029785000001</v>
      </c>
      <c r="J477">
        <v>1315.7401123</v>
      </c>
      <c r="K477">
        <v>2750</v>
      </c>
      <c r="L477">
        <v>0</v>
      </c>
      <c r="M477">
        <v>0</v>
      </c>
      <c r="N477">
        <v>2750</v>
      </c>
    </row>
    <row r="478" spans="1:14" x14ac:dyDescent="0.25">
      <c r="A478">
        <v>59.448886000000002</v>
      </c>
      <c r="B478" s="1">
        <f>DATE(2010,6,29) + TIME(10,46,23)</f>
        <v>40358.448877314811</v>
      </c>
      <c r="C478">
        <v>80</v>
      </c>
      <c r="D478">
        <v>79.949394225999995</v>
      </c>
      <c r="E478">
        <v>60</v>
      </c>
      <c r="F478">
        <v>14.999792099</v>
      </c>
      <c r="G478">
        <v>1341.0657959</v>
      </c>
      <c r="H478">
        <v>1338.5191649999999</v>
      </c>
      <c r="I478">
        <v>1320.3046875</v>
      </c>
      <c r="J478">
        <v>1315.7414550999999</v>
      </c>
      <c r="K478">
        <v>2750</v>
      </c>
      <c r="L478">
        <v>0</v>
      </c>
      <c r="M478">
        <v>0</v>
      </c>
      <c r="N478">
        <v>2750</v>
      </c>
    </row>
    <row r="479" spans="1:14" x14ac:dyDescent="0.25">
      <c r="A479">
        <v>59.875931999999999</v>
      </c>
      <c r="B479" s="1">
        <f>DATE(2010,6,29) + TIME(21,1,20)</f>
        <v>40358.875925925924</v>
      </c>
      <c r="C479">
        <v>80</v>
      </c>
      <c r="D479">
        <v>79.949394225999995</v>
      </c>
      <c r="E479">
        <v>60</v>
      </c>
      <c r="F479">
        <v>14.999794959999999</v>
      </c>
      <c r="G479">
        <v>1341.0588379000001</v>
      </c>
      <c r="H479">
        <v>1338.5139160000001</v>
      </c>
      <c r="I479">
        <v>1320.3065185999999</v>
      </c>
      <c r="J479">
        <v>1315.7427978999999</v>
      </c>
      <c r="K479">
        <v>2750</v>
      </c>
      <c r="L479">
        <v>0</v>
      </c>
      <c r="M479">
        <v>0</v>
      </c>
      <c r="N479">
        <v>2750</v>
      </c>
    </row>
    <row r="480" spans="1:14" x14ac:dyDescent="0.25">
      <c r="A480">
        <v>60.307433000000003</v>
      </c>
      <c r="B480" s="1">
        <f>DATE(2010,6,30) + TIME(7,22,42)</f>
        <v>40359.307430555556</v>
      </c>
      <c r="C480">
        <v>80</v>
      </c>
      <c r="D480">
        <v>79.949401855000005</v>
      </c>
      <c r="E480">
        <v>60</v>
      </c>
      <c r="F480">
        <v>14.999797821</v>
      </c>
      <c r="G480">
        <v>1341.0520019999999</v>
      </c>
      <c r="H480">
        <v>1338.5086670000001</v>
      </c>
      <c r="I480">
        <v>1320.3084716999999</v>
      </c>
      <c r="J480">
        <v>1315.7441406</v>
      </c>
      <c r="K480">
        <v>2750</v>
      </c>
      <c r="L480">
        <v>0</v>
      </c>
      <c r="M480">
        <v>0</v>
      </c>
      <c r="N480">
        <v>2750</v>
      </c>
    </row>
    <row r="481" spans="1:14" x14ac:dyDescent="0.25">
      <c r="A481">
        <v>60.523468000000001</v>
      </c>
      <c r="B481" s="1">
        <f>DATE(2010,6,30) + TIME(12,33,47)</f>
        <v>40359.523460648146</v>
      </c>
      <c r="C481">
        <v>80</v>
      </c>
      <c r="D481">
        <v>79.949401855000005</v>
      </c>
      <c r="E481">
        <v>60</v>
      </c>
      <c r="F481">
        <v>14.999799727999999</v>
      </c>
      <c r="G481">
        <v>1341.0449219</v>
      </c>
      <c r="H481">
        <v>1338.5032959</v>
      </c>
      <c r="I481">
        <v>1320.3103027</v>
      </c>
      <c r="J481">
        <v>1315.7454834</v>
      </c>
      <c r="K481">
        <v>2750</v>
      </c>
      <c r="L481">
        <v>0</v>
      </c>
      <c r="M481">
        <v>0</v>
      </c>
      <c r="N481">
        <v>2750</v>
      </c>
    </row>
    <row r="482" spans="1:14" x14ac:dyDescent="0.25">
      <c r="A482">
        <v>60.738810999999998</v>
      </c>
      <c r="B482" s="1">
        <f>DATE(2010,6,30) + TIME(17,43,53)</f>
        <v>40359.738807870373</v>
      </c>
      <c r="C482">
        <v>80</v>
      </c>
      <c r="D482">
        <v>79.949401855000005</v>
      </c>
      <c r="E482">
        <v>60</v>
      </c>
      <c r="F482">
        <v>14.999801636000001</v>
      </c>
      <c r="G482">
        <v>1341.0415039</v>
      </c>
      <c r="H482">
        <v>1338.5006103999999</v>
      </c>
      <c r="I482">
        <v>1320.3112793</v>
      </c>
      <c r="J482">
        <v>1315.7460937999999</v>
      </c>
      <c r="K482">
        <v>2750</v>
      </c>
      <c r="L482">
        <v>0</v>
      </c>
      <c r="M482">
        <v>0</v>
      </c>
      <c r="N482">
        <v>2750</v>
      </c>
    </row>
    <row r="483" spans="1:14" x14ac:dyDescent="0.25">
      <c r="A483">
        <v>61</v>
      </c>
      <c r="B483" s="1">
        <f>DATE(2010,7,1) + TIME(0,0,0)</f>
        <v>40360</v>
      </c>
      <c r="C483">
        <v>80</v>
      </c>
      <c r="D483">
        <v>79.949401855000005</v>
      </c>
      <c r="E483">
        <v>60</v>
      </c>
      <c r="F483">
        <v>14.999804497</v>
      </c>
      <c r="G483">
        <v>1341.0380858999999</v>
      </c>
      <c r="H483">
        <v>1338.4980469</v>
      </c>
      <c r="I483">
        <v>1320.3122559000001</v>
      </c>
      <c r="J483">
        <v>1315.7468262</v>
      </c>
      <c r="K483">
        <v>2750</v>
      </c>
      <c r="L483">
        <v>0</v>
      </c>
      <c r="M483">
        <v>0</v>
      </c>
      <c r="N483">
        <v>2750</v>
      </c>
    </row>
    <row r="484" spans="1:14" x14ac:dyDescent="0.25">
      <c r="A484">
        <v>61.214832999999999</v>
      </c>
      <c r="B484" s="1">
        <f>DATE(2010,7,1) + TIME(5,9,21)</f>
        <v>40360.214826388888</v>
      </c>
      <c r="C484">
        <v>80</v>
      </c>
      <c r="D484">
        <v>79.949401855000005</v>
      </c>
      <c r="E484">
        <v>60</v>
      </c>
      <c r="F484">
        <v>14.999806403999999</v>
      </c>
      <c r="G484">
        <v>1341.0339355000001</v>
      </c>
      <c r="H484">
        <v>1338.494751</v>
      </c>
      <c r="I484">
        <v>1320.3133545000001</v>
      </c>
      <c r="J484">
        <v>1315.7476807</v>
      </c>
      <c r="K484">
        <v>2750</v>
      </c>
      <c r="L484">
        <v>0</v>
      </c>
      <c r="M484">
        <v>0</v>
      </c>
      <c r="N484">
        <v>2750</v>
      </c>
    </row>
    <row r="485" spans="1:14" x14ac:dyDescent="0.25">
      <c r="A485">
        <v>61.429031000000002</v>
      </c>
      <c r="B485" s="1">
        <f>DATE(2010,7,1) + TIME(10,17,48)</f>
        <v>40360.429027777776</v>
      </c>
      <c r="C485">
        <v>80</v>
      </c>
      <c r="D485">
        <v>79.949401855000005</v>
      </c>
      <c r="E485">
        <v>60</v>
      </c>
      <c r="F485">
        <v>14.999809265</v>
      </c>
      <c r="G485">
        <v>1341.0305175999999</v>
      </c>
      <c r="H485">
        <v>1338.4921875</v>
      </c>
      <c r="I485">
        <v>1320.3143310999999</v>
      </c>
      <c r="J485">
        <v>1315.7484131000001</v>
      </c>
      <c r="K485">
        <v>2750</v>
      </c>
      <c r="L485">
        <v>0</v>
      </c>
      <c r="M485">
        <v>0</v>
      </c>
      <c r="N485">
        <v>2750</v>
      </c>
    </row>
    <row r="486" spans="1:14" x14ac:dyDescent="0.25">
      <c r="A486">
        <v>61.643160999999999</v>
      </c>
      <c r="B486" s="1">
        <f>DATE(2010,7,1) + TIME(15,26,9)</f>
        <v>40360.643159722225</v>
      </c>
      <c r="C486">
        <v>80</v>
      </c>
      <c r="D486">
        <v>79.949409485000004</v>
      </c>
      <c r="E486">
        <v>60</v>
      </c>
      <c r="F486">
        <v>14.999811171999999</v>
      </c>
      <c r="G486">
        <v>1341.0270995999999</v>
      </c>
      <c r="H486">
        <v>1338.489624</v>
      </c>
      <c r="I486">
        <v>1320.3153076000001</v>
      </c>
      <c r="J486">
        <v>1315.7490233999999</v>
      </c>
      <c r="K486">
        <v>2750</v>
      </c>
      <c r="L486">
        <v>0</v>
      </c>
      <c r="M486">
        <v>0</v>
      </c>
      <c r="N486">
        <v>2750</v>
      </c>
    </row>
    <row r="487" spans="1:14" x14ac:dyDescent="0.25">
      <c r="A487">
        <v>61.857290999999996</v>
      </c>
      <c r="B487" s="1">
        <f>DATE(2010,7,1) + TIME(20,34,29)</f>
        <v>40360.85728009259</v>
      </c>
      <c r="C487">
        <v>80</v>
      </c>
      <c r="D487">
        <v>79.949409485000004</v>
      </c>
      <c r="E487">
        <v>60</v>
      </c>
      <c r="F487">
        <v>14.999814034</v>
      </c>
      <c r="G487">
        <v>1341.0238036999999</v>
      </c>
      <c r="H487">
        <v>1338.4870605000001</v>
      </c>
      <c r="I487">
        <v>1320.3162841999999</v>
      </c>
      <c r="J487">
        <v>1315.7497559000001</v>
      </c>
      <c r="K487">
        <v>2750</v>
      </c>
      <c r="L487">
        <v>0</v>
      </c>
      <c r="M487">
        <v>0</v>
      </c>
      <c r="N487">
        <v>2750</v>
      </c>
    </row>
    <row r="488" spans="1:14" x14ac:dyDescent="0.25">
      <c r="A488">
        <v>62.071421999999998</v>
      </c>
      <c r="B488" s="1">
        <f>DATE(2010,7,2) + TIME(1,42,50)</f>
        <v>40361.071412037039</v>
      </c>
      <c r="C488">
        <v>80</v>
      </c>
      <c r="D488">
        <v>79.949409485000004</v>
      </c>
      <c r="E488">
        <v>60</v>
      </c>
      <c r="F488">
        <v>14.999816895</v>
      </c>
      <c r="G488">
        <v>1341.0205077999999</v>
      </c>
      <c r="H488">
        <v>1338.484375</v>
      </c>
      <c r="I488">
        <v>1320.3172606999999</v>
      </c>
      <c r="J488">
        <v>1315.7504882999999</v>
      </c>
      <c r="K488">
        <v>2750</v>
      </c>
      <c r="L488">
        <v>0</v>
      </c>
      <c r="M488">
        <v>0</v>
      </c>
      <c r="N488">
        <v>2750</v>
      </c>
    </row>
    <row r="489" spans="1:14" x14ac:dyDescent="0.25">
      <c r="A489">
        <v>62.285552000000003</v>
      </c>
      <c r="B489" s="1">
        <f>DATE(2010,7,2) + TIME(6,51,11)</f>
        <v>40361.285543981481</v>
      </c>
      <c r="C489">
        <v>80</v>
      </c>
      <c r="D489">
        <v>79.949417113999999</v>
      </c>
      <c r="E489">
        <v>60</v>
      </c>
      <c r="F489">
        <v>14.999819756000001</v>
      </c>
      <c r="G489">
        <v>1341.0170897999999</v>
      </c>
      <c r="H489">
        <v>1338.4818115</v>
      </c>
      <c r="I489">
        <v>1320.3182373</v>
      </c>
      <c r="J489">
        <v>1315.7512207</v>
      </c>
      <c r="K489">
        <v>2750</v>
      </c>
      <c r="L489">
        <v>0</v>
      </c>
      <c r="M489">
        <v>0</v>
      </c>
      <c r="N489">
        <v>2750</v>
      </c>
    </row>
    <row r="490" spans="1:14" x14ac:dyDescent="0.25">
      <c r="A490">
        <v>62.499682999999997</v>
      </c>
      <c r="B490" s="1">
        <f>DATE(2010,7,2) + TIME(11,59,32)</f>
        <v>40361.499675925923</v>
      </c>
      <c r="C490">
        <v>80</v>
      </c>
      <c r="D490">
        <v>79.949417113999999</v>
      </c>
      <c r="E490">
        <v>60</v>
      </c>
      <c r="F490">
        <v>14.999822617</v>
      </c>
      <c r="G490">
        <v>1341.0137939000001</v>
      </c>
      <c r="H490">
        <v>1338.4793701000001</v>
      </c>
      <c r="I490">
        <v>1320.3192139</v>
      </c>
      <c r="J490">
        <v>1315.7518310999999</v>
      </c>
      <c r="K490">
        <v>2750</v>
      </c>
      <c r="L490">
        <v>0</v>
      </c>
      <c r="M490">
        <v>0</v>
      </c>
      <c r="N490">
        <v>2750</v>
      </c>
    </row>
    <row r="491" spans="1:14" x14ac:dyDescent="0.25">
      <c r="A491">
        <v>62.713813000000002</v>
      </c>
      <c r="B491" s="1">
        <f>DATE(2010,7,2) + TIME(17,7,53)</f>
        <v>40361.713807870372</v>
      </c>
      <c r="C491">
        <v>80</v>
      </c>
      <c r="D491">
        <v>79.949424743999998</v>
      </c>
      <c r="E491">
        <v>60</v>
      </c>
      <c r="F491">
        <v>14.999825478</v>
      </c>
      <c r="G491">
        <v>1341.0104980000001</v>
      </c>
      <c r="H491">
        <v>1338.4768065999999</v>
      </c>
      <c r="I491">
        <v>1320.3201904</v>
      </c>
      <c r="J491">
        <v>1315.7525635</v>
      </c>
      <c r="K491">
        <v>2750</v>
      </c>
      <c r="L491">
        <v>0</v>
      </c>
      <c r="M491">
        <v>0</v>
      </c>
      <c r="N491">
        <v>2750</v>
      </c>
    </row>
    <row r="492" spans="1:14" x14ac:dyDescent="0.25">
      <c r="A492">
        <v>63.142074000000001</v>
      </c>
      <c r="B492" s="1">
        <f>DATE(2010,7,3) + TIME(3,24,35)</f>
        <v>40362.142071759263</v>
      </c>
      <c r="C492">
        <v>80</v>
      </c>
      <c r="D492">
        <v>79.949440002000003</v>
      </c>
      <c r="E492">
        <v>60</v>
      </c>
      <c r="F492">
        <v>14.999831199999999</v>
      </c>
      <c r="G492">
        <v>1341.0073242000001</v>
      </c>
      <c r="H492">
        <v>1338.4742432</v>
      </c>
      <c r="I492">
        <v>1320.3212891000001</v>
      </c>
      <c r="J492">
        <v>1315.7532959</v>
      </c>
      <c r="K492">
        <v>2750</v>
      </c>
      <c r="L492">
        <v>0</v>
      </c>
      <c r="M492">
        <v>0</v>
      </c>
      <c r="N492">
        <v>2750</v>
      </c>
    </row>
    <row r="493" spans="1:14" x14ac:dyDescent="0.25">
      <c r="A493">
        <v>63.570779999999999</v>
      </c>
      <c r="B493" s="1">
        <f>DATE(2010,7,3) + TIME(13,41,55)</f>
        <v>40362.570775462962</v>
      </c>
      <c r="C493">
        <v>80</v>
      </c>
      <c r="D493">
        <v>79.949447632000002</v>
      </c>
      <c r="E493">
        <v>60</v>
      </c>
      <c r="F493">
        <v>14.999837875000001</v>
      </c>
      <c r="G493">
        <v>1341.0007324000001</v>
      </c>
      <c r="H493">
        <v>1338.4692382999999</v>
      </c>
      <c r="I493">
        <v>1320.3232422000001</v>
      </c>
      <c r="J493">
        <v>1315.7547606999999</v>
      </c>
      <c r="K493">
        <v>2750</v>
      </c>
      <c r="L493">
        <v>0</v>
      </c>
      <c r="M493">
        <v>0</v>
      </c>
      <c r="N493">
        <v>2750</v>
      </c>
    </row>
    <row r="494" spans="1:14" x14ac:dyDescent="0.25">
      <c r="A494">
        <v>64.004115999999996</v>
      </c>
      <c r="B494" s="1">
        <f>DATE(2010,7,4) + TIME(0,5,55)</f>
        <v>40363.004108796296</v>
      </c>
      <c r="C494">
        <v>80</v>
      </c>
      <c r="D494">
        <v>79.949462890999996</v>
      </c>
      <c r="E494">
        <v>60</v>
      </c>
      <c r="F494">
        <v>14.999846458</v>
      </c>
      <c r="G494">
        <v>1340.9941406</v>
      </c>
      <c r="H494">
        <v>1338.4642334</v>
      </c>
      <c r="I494">
        <v>1320.3253173999999</v>
      </c>
      <c r="J494">
        <v>1315.7562256000001</v>
      </c>
      <c r="K494">
        <v>2750</v>
      </c>
      <c r="L494">
        <v>0</v>
      </c>
      <c r="M494">
        <v>0</v>
      </c>
      <c r="N494">
        <v>2750</v>
      </c>
    </row>
    <row r="495" spans="1:14" x14ac:dyDescent="0.25">
      <c r="A495">
        <v>64.443138000000005</v>
      </c>
      <c r="B495" s="1">
        <f>DATE(2010,7,4) + TIME(10,38,7)</f>
        <v>40363.443136574075</v>
      </c>
      <c r="C495">
        <v>80</v>
      </c>
      <c r="D495">
        <v>79.949470520000006</v>
      </c>
      <c r="E495">
        <v>60</v>
      </c>
      <c r="F495">
        <v>14.999855042</v>
      </c>
      <c r="G495">
        <v>1340.9876709</v>
      </c>
      <c r="H495">
        <v>1338.4591064000001</v>
      </c>
      <c r="I495">
        <v>1320.3273925999999</v>
      </c>
      <c r="J495">
        <v>1315.7576904</v>
      </c>
      <c r="K495">
        <v>2750</v>
      </c>
      <c r="L495">
        <v>0</v>
      </c>
      <c r="M495">
        <v>0</v>
      </c>
      <c r="N495">
        <v>2750</v>
      </c>
    </row>
    <row r="496" spans="1:14" x14ac:dyDescent="0.25">
      <c r="A496">
        <v>64.888964999999999</v>
      </c>
      <c r="B496" s="1">
        <f>DATE(2010,7,4) + TIME(21,20,6)</f>
        <v>40363.888958333337</v>
      </c>
      <c r="C496">
        <v>80</v>
      </c>
      <c r="D496">
        <v>79.949478149000001</v>
      </c>
      <c r="E496">
        <v>60</v>
      </c>
      <c r="F496">
        <v>14.999866486</v>
      </c>
      <c r="G496">
        <v>1340.9810791</v>
      </c>
      <c r="H496">
        <v>1338.4541016000001</v>
      </c>
      <c r="I496">
        <v>1320.3294678</v>
      </c>
      <c r="J496">
        <v>1315.7591553</v>
      </c>
      <c r="K496">
        <v>2750</v>
      </c>
      <c r="L496">
        <v>0</v>
      </c>
      <c r="M496">
        <v>0</v>
      </c>
      <c r="N496">
        <v>2750</v>
      </c>
    </row>
    <row r="497" spans="1:14" x14ac:dyDescent="0.25">
      <c r="A497">
        <v>65.339606000000003</v>
      </c>
      <c r="B497" s="1">
        <f>DATE(2010,7,5) + TIME(8,9,1)</f>
        <v>40364.339594907404</v>
      </c>
      <c r="C497">
        <v>80</v>
      </c>
      <c r="D497">
        <v>79.949485779</v>
      </c>
      <c r="E497">
        <v>60</v>
      </c>
      <c r="F497">
        <v>14.999878882999999</v>
      </c>
      <c r="G497">
        <v>1340.9743652</v>
      </c>
      <c r="H497">
        <v>1338.4489745999999</v>
      </c>
      <c r="I497">
        <v>1320.3316649999999</v>
      </c>
      <c r="J497">
        <v>1315.7606201000001</v>
      </c>
      <c r="K497">
        <v>2750</v>
      </c>
      <c r="L497">
        <v>0</v>
      </c>
      <c r="M497">
        <v>0</v>
      </c>
      <c r="N497">
        <v>2750</v>
      </c>
    </row>
    <row r="498" spans="1:14" x14ac:dyDescent="0.25">
      <c r="A498">
        <v>65.795603999999997</v>
      </c>
      <c r="B498" s="1">
        <f>DATE(2010,7,5) + TIME(19,5,40)</f>
        <v>40364.795601851853</v>
      </c>
      <c r="C498">
        <v>80</v>
      </c>
      <c r="D498">
        <v>79.949493407999995</v>
      </c>
      <c r="E498">
        <v>60</v>
      </c>
      <c r="F498">
        <v>14.999894142</v>
      </c>
      <c r="G498">
        <v>1340.9677733999999</v>
      </c>
      <c r="H498">
        <v>1338.4438477000001</v>
      </c>
      <c r="I498">
        <v>1320.3338623</v>
      </c>
      <c r="J498">
        <v>1315.762207</v>
      </c>
      <c r="K498">
        <v>2750</v>
      </c>
      <c r="L498">
        <v>0</v>
      </c>
      <c r="M498">
        <v>0</v>
      </c>
      <c r="N498">
        <v>2750</v>
      </c>
    </row>
    <row r="499" spans="1:14" x14ac:dyDescent="0.25">
      <c r="A499">
        <v>66.023999000000003</v>
      </c>
      <c r="B499" s="1">
        <f>DATE(2010,7,6) + TIME(0,34,33)</f>
        <v>40365.023993055554</v>
      </c>
      <c r="C499">
        <v>80</v>
      </c>
      <c r="D499">
        <v>79.949493407999995</v>
      </c>
      <c r="E499">
        <v>60</v>
      </c>
      <c r="F499">
        <v>14.999904633</v>
      </c>
      <c r="G499">
        <v>1340.9609375</v>
      </c>
      <c r="H499">
        <v>1338.4384766000001</v>
      </c>
      <c r="I499">
        <v>1320.3360596</v>
      </c>
      <c r="J499">
        <v>1315.7637939000001</v>
      </c>
      <c r="K499">
        <v>2750</v>
      </c>
      <c r="L499">
        <v>0</v>
      </c>
      <c r="M499">
        <v>0</v>
      </c>
      <c r="N499">
        <v>2750</v>
      </c>
    </row>
    <row r="500" spans="1:14" x14ac:dyDescent="0.25">
      <c r="A500">
        <v>66.251721000000003</v>
      </c>
      <c r="B500" s="1">
        <f>DATE(2010,7,6) + TIME(6,2,28)</f>
        <v>40365.251712962963</v>
      </c>
      <c r="C500">
        <v>80</v>
      </c>
      <c r="D500">
        <v>79.949493407999995</v>
      </c>
      <c r="E500">
        <v>60</v>
      </c>
      <c r="F500">
        <v>14.999915122999999</v>
      </c>
      <c r="G500">
        <v>1340.9576416</v>
      </c>
      <c r="H500">
        <v>1338.4359131000001</v>
      </c>
      <c r="I500">
        <v>1320.3371582</v>
      </c>
      <c r="J500">
        <v>1315.7645264</v>
      </c>
      <c r="K500">
        <v>2750</v>
      </c>
      <c r="L500">
        <v>0</v>
      </c>
      <c r="M500">
        <v>0</v>
      </c>
      <c r="N500">
        <v>2750</v>
      </c>
    </row>
    <row r="501" spans="1:14" x14ac:dyDescent="0.25">
      <c r="A501">
        <v>66.478908000000004</v>
      </c>
      <c r="B501" s="1">
        <f>DATE(2010,7,6) + TIME(11,29,37)</f>
        <v>40365.478900462964</v>
      </c>
      <c r="C501">
        <v>80</v>
      </c>
      <c r="D501">
        <v>79.949501037999994</v>
      </c>
      <c r="E501">
        <v>60</v>
      </c>
      <c r="F501">
        <v>14.999926566999999</v>
      </c>
      <c r="G501">
        <v>1340.9543457</v>
      </c>
      <c r="H501">
        <v>1338.4333495999999</v>
      </c>
      <c r="I501">
        <v>1320.3382568</v>
      </c>
      <c r="J501">
        <v>1315.7653809000001</v>
      </c>
      <c r="K501">
        <v>2750</v>
      </c>
      <c r="L501">
        <v>0</v>
      </c>
      <c r="M501">
        <v>0</v>
      </c>
      <c r="N501">
        <v>2750</v>
      </c>
    </row>
    <row r="502" spans="1:14" x14ac:dyDescent="0.25">
      <c r="A502">
        <v>66.705713000000003</v>
      </c>
      <c r="B502" s="1">
        <f>DATE(2010,7,6) + TIME(16,56,13)</f>
        <v>40365.705706018518</v>
      </c>
      <c r="C502">
        <v>80</v>
      </c>
      <c r="D502">
        <v>79.949501037999994</v>
      </c>
      <c r="E502">
        <v>60</v>
      </c>
      <c r="F502">
        <v>14.999938965</v>
      </c>
      <c r="G502">
        <v>1340.9510498</v>
      </c>
      <c r="H502">
        <v>1338.4307861</v>
      </c>
      <c r="I502">
        <v>1320.3394774999999</v>
      </c>
      <c r="J502">
        <v>1315.7661132999999</v>
      </c>
      <c r="K502">
        <v>2750</v>
      </c>
      <c r="L502">
        <v>0</v>
      </c>
      <c r="M502">
        <v>0</v>
      </c>
      <c r="N502">
        <v>2750</v>
      </c>
    </row>
    <row r="503" spans="1:14" x14ac:dyDescent="0.25">
      <c r="A503">
        <v>66.932289999999995</v>
      </c>
      <c r="B503" s="1">
        <f>DATE(2010,7,6) + TIME(22,22,29)</f>
        <v>40365.932280092595</v>
      </c>
      <c r="C503">
        <v>80</v>
      </c>
      <c r="D503">
        <v>79.949508667000003</v>
      </c>
      <c r="E503">
        <v>60</v>
      </c>
      <c r="F503">
        <v>14.999951362999999</v>
      </c>
      <c r="G503">
        <v>1340.9477539</v>
      </c>
      <c r="H503">
        <v>1338.4282227000001</v>
      </c>
      <c r="I503">
        <v>1320.3405762</v>
      </c>
      <c r="J503">
        <v>1315.7669678</v>
      </c>
      <c r="K503">
        <v>2750</v>
      </c>
      <c r="L503">
        <v>0</v>
      </c>
      <c r="M503">
        <v>0</v>
      </c>
      <c r="N503">
        <v>2750</v>
      </c>
    </row>
    <row r="504" spans="1:14" x14ac:dyDescent="0.25">
      <c r="A504">
        <v>67.158788000000001</v>
      </c>
      <c r="B504" s="1">
        <f>DATE(2010,7,7) + TIME(3,48,39)</f>
        <v>40366.158784722225</v>
      </c>
      <c r="C504">
        <v>80</v>
      </c>
      <c r="D504">
        <v>79.949508667000003</v>
      </c>
      <c r="E504">
        <v>60</v>
      </c>
      <c r="F504">
        <v>14.999965668</v>
      </c>
      <c r="G504">
        <v>1340.9444579999999</v>
      </c>
      <c r="H504">
        <v>1338.4257812000001</v>
      </c>
      <c r="I504">
        <v>1320.3417969</v>
      </c>
      <c r="J504">
        <v>1315.7678223</v>
      </c>
      <c r="K504">
        <v>2750</v>
      </c>
      <c r="L504">
        <v>0</v>
      </c>
      <c r="M504">
        <v>0</v>
      </c>
      <c r="N504">
        <v>2750</v>
      </c>
    </row>
    <row r="505" spans="1:14" x14ac:dyDescent="0.25">
      <c r="A505">
        <v>67.385285999999994</v>
      </c>
      <c r="B505" s="1">
        <f>DATE(2010,7,7) + TIME(9,14,48)</f>
        <v>40366.385277777779</v>
      </c>
      <c r="C505">
        <v>80</v>
      </c>
      <c r="D505">
        <v>79.949516295999999</v>
      </c>
      <c r="E505">
        <v>60</v>
      </c>
      <c r="F505">
        <v>14.999979973</v>
      </c>
      <c r="G505">
        <v>1340.9411620999999</v>
      </c>
      <c r="H505">
        <v>1338.4232178</v>
      </c>
      <c r="I505">
        <v>1320.3428954999999</v>
      </c>
      <c r="J505">
        <v>1315.7685547000001</v>
      </c>
      <c r="K505">
        <v>2750</v>
      </c>
      <c r="L505">
        <v>0</v>
      </c>
      <c r="M505">
        <v>0</v>
      </c>
      <c r="N505">
        <v>2750</v>
      </c>
    </row>
    <row r="506" spans="1:14" x14ac:dyDescent="0.25">
      <c r="A506">
        <v>67.611783000000003</v>
      </c>
      <c r="B506" s="1">
        <f>DATE(2010,7,7) + TIME(14,40,58)</f>
        <v>40366.61178240741</v>
      </c>
      <c r="C506">
        <v>80</v>
      </c>
      <c r="D506">
        <v>79.949523925999998</v>
      </c>
      <c r="E506">
        <v>60</v>
      </c>
      <c r="F506">
        <v>14.999995232</v>
      </c>
      <c r="G506">
        <v>1340.9379882999999</v>
      </c>
      <c r="H506">
        <v>1338.4206543</v>
      </c>
      <c r="I506">
        <v>1320.3441161999999</v>
      </c>
      <c r="J506">
        <v>1315.7694091999999</v>
      </c>
      <c r="K506">
        <v>2750</v>
      </c>
      <c r="L506">
        <v>0</v>
      </c>
      <c r="M506">
        <v>0</v>
      </c>
      <c r="N506">
        <v>2750</v>
      </c>
    </row>
    <row r="507" spans="1:14" x14ac:dyDescent="0.25">
      <c r="A507">
        <v>67.838280999999995</v>
      </c>
      <c r="B507" s="1">
        <f>DATE(2010,7,7) + TIME(20,7,7)</f>
        <v>40366.838275462964</v>
      </c>
      <c r="C507">
        <v>80</v>
      </c>
      <c r="D507">
        <v>79.949523925999998</v>
      </c>
      <c r="E507">
        <v>60</v>
      </c>
      <c r="F507">
        <v>15.000011444</v>
      </c>
      <c r="G507">
        <v>1340.9346923999999</v>
      </c>
      <c r="H507">
        <v>1338.4182129000001</v>
      </c>
      <c r="I507">
        <v>1320.3452147999999</v>
      </c>
      <c r="J507">
        <v>1315.7702637</v>
      </c>
      <c r="K507">
        <v>2750</v>
      </c>
      <c r="L507">
        <v>0</v>
      </c>
      <c r="M507">
        <v>0</v>
      </c>
      <c r="N507">
        <v>2750</v>
      </c>
    </row>
    <row r="508" spans="1:14" x14ac:dyDescent="0.25">
      <c r="A508">
        <v>68.064778000000004</v>
      </c>
      <c r="B508" s="1">
        <f>DATE(2010,7,8) + TIME(1,33,16)</f>
        <v>40367.064768518518</v>
      </c>
      <c r="C508">
        <v>80</v>
      </c>
      <c r="D508">
        <v>79.949531554999993</v>
      </c>
      <c r="E508">
        <v>60</v>
      </c>
      <c r="F508">
        <v>15.000029564</v>
      </c>
      <c r="G508">
        <v>1340.9315185999999</v>
      </c>
      <c r="H508">
        <v>1338.4156493999999</v>
      </c>
      <c r="I508">
        <v>1320.3464355000001</v>
      </c>
      <c r="J508">
        <v>1315.7709961</v>
      </c>
      <c r="K508">
        <v>2750</v>
      </c>
      <c r="L508">
        <v>0</v>
      </c>
      <c r="M508">
        <v>0</v>
      </c>
      <c r="N508">
        <v>2750</v>
      </c>
    </row>
    <row r="509" spans="1:14" x14ac:dyDescent="0.25">
      <c r="A509">
        <v>68.291275999999996</v>
      </c>
      <c r="B509" s="1">
        <f>DATE(2010,7,8) + TIME(6,59,26)</f>
        <v>40367.291273148148</v>
      </c>
      <c r="C509">
        <v>80</v>
      </c>
      <c r="D509">
        <v>79.949539185000006</v>
      </c>
      <c r="E509">
        <v>60</v>
      </c>
      <c r="F509">
        <v>15.000048637000001</v>
      </c>
      <c r="G509">
        <v>1340.9283447</v>
      </c>
      <c r="H509">
        <v>1338.4132079999999</v>
      </c>
      <c r="I509">
        <v>1320.3476562000001</v>
      </c>
      <c r="J509">
        <v>1315.7718506000001</v>
      </c>
      <c r="K509">
        <v>2750</v>
      </c>
      <c r="L509">
        <v>0</v>
      </c>
      <c r="M509">
        <v>0</v>
      </c>
      <c r="N509">
        <v>2750</v>
      </c>
    </row>
    <row r="510" spans="1:14" x14ac:dyDescent="0.25">
      <c r="A510">
        <v>68.517773000000005</v>
      </c>
      <c r="B510" s="1">
        <f>DATE(2010,7,8) + TIME(12,25,35)</f>
        <v>40367.517766203702</v>
      </c>
      <c r="C510">
        <v>80</v>
      </c>
      <c r="D510">
        <v>79.949539185000006</v>
      </c>
      <c r="E510">
        <v>60</v>
      </c>
      <c r="F510">
        <v>15.000068665000001</v>
      </c>
      <c r="G510">
        <v>1340.9251709</v>
      </c>
      <c r="H510">
        <v>1338.4106445</v>
      </c>
      <c r="I510">
        <v>1320.3488769999999</v>
      </c>
      <c r="J510">
        <v>1315.7727050999999</v>
      </c>
      <c r="K510">
        <v>2750</v>
      </c>
      <c r="L510">
        <v>0</v>
      </c>
      <c r="M510">
        <v>0</v>
      </c>
      <c r="N510">
        <v>2750</v>
      </c>
    </row>
    <row r="511" spans="1:14" x14ac:dyDescent="0.25">
      <c r="A511">
        <v>68.970768000000007</v>
      </c>
      <c r="B511" s="1">
        <f>DATE(2010,7,8) + TIME(23,17,54)</f>
        <v>40367.970763888887</v>
      </c>
      <c r="C511">
        <v>80</v>
      </c>
      <c r="D511">
        <v>79.949562072999996</v>
      </c>
      <c r="E511">
        <v>60</v>
      </c>
      <c r="F511">
        <v>15.000104904000001</v>
      </c>
      <c r="G511">
        <v>1340.9219971</v>
      </c>
      <c r="H511">
        <v>1338.4083252</v>
      </c>
      <c r="I511">
        <v>1320.3500977000001</v>
      </c>
      <c r="J511">
        <v>1315.7735596</v>
      </c>
      <c r="K511">
        <v>2750</v>
      </c>
      <c r="L511">
        <v>0</v>
      </c>
      <c r="M511">
        <v>0</v>
      </c>
      <c r="N511">
        <v>2750</v>
      </c>
    </row>
    <row r="512" spans="1:14" x14ac:dyDescent="0.25">
      <c r="A512">
        <v>69.424952000000005</v>
      </c>
      <c r="B512" s="1">
        <f>DATE(2010,7,9) + TIME(10,11,55)</f>
        <v>40368.424942129626</v>
      </c>
      <c r="C512">
        <v>80</v>
      </c>
      <c r="D512">
        <v>79.949577332000004</v>
      </c>
      <c r="E512">
        <v>60</v>
      </c>
      <c r="F512">
        <v>15.000148772999999</v>
      </c>
      <c r="G512">
        <v>1340.9156493999999</v>
      </c>
      <c r="H512">
        <v>1338.4034423999999</v>
      </c>
      <c r="I512">
        <v>1320.3524170000001</v>
      </c>
      <c r="J512">
        <v>1315.7752685999999</v>
      </c>
      <c r="K512">
        <v>2750</v>
      </c>
      <c r="L512">
        <v>0</v>
      </c>
      <c r="M512">
        <v>0</v>
      </c>
      <c r="N512">
        <v>2750</v>
      </c>
    </row>
    <row r="513" spans="1:14" x14ac:dyDescent="0.25">
      <c r="A513">
        <v>69.884567000000004</v>
      </c>
      <c r="B513" s="1">
        <f>DATE(2010,7,9) + TIME(21,13,46)</f>
        <v>40368.884560185186</v>
      </c>
      <c r="C513">
        <v>80</v>
      </c>
      <c r="D513">
        <v>79.949592589999995</v>
      </c>
      <c r="E513">
        <v>60</v>
      </c>
      <c r="F513">
        <v>15.000202179</v>
      </c>
      <c r="G513">
        <v>1340.9094238</v>
      </c>
      <c r="H513">
        <v>1338.3984375</v>
      </c>
      <c r="I513">
        <v>1320.3548584</v>
      </c>
      <c r="J513">
        <v>1315.7768555</v>
      </c>
      <c r="K513">
        <v>2750</v>
      </c>
      <c r="L513">
        <v>0</v>
      </c>
      <c r="M513">
        <v>0</v>
      </c>
      <c r="N513">
        <v>2750</v>
      </c>
    </row>
    <row r="514" spans="1:14" x14ac:dyDescent="0.25">
      <c r="A514">
        <v>70.350722000000005</v>
      </c>
      <c r="B514" s="1">
        <f>DATE(2010,7,10) + TIME(8,25,2)</f>
        <v>40369.350717592592</v>
      </c>
      <c r="C514">
        <v>80</v>
      </c>
      <c r="D514">
        <v>79.949600219999994</v>
      </c>
      <c r="E514">
        <v>60</v>
      </c>
      <c r="F514">
        <v>15.000266075000001</v>
      </c>
      <c r="G514">
        <v>1340.9030762</v>
      </c>
      <c r="H514">
        <v>1338.3935547000001</v>
      </c>
      <c r="I514">
        <v>1320.3574219</v>
      </c>
      <c r="J514">
        <v>1315.7785644999999</v>
      </c>
      <c r="K514">
        <v>2750</v>
      </c>
      <c r="L514">
        <v>0</v>
      </c>
      <c r="M514">
        <v>0</v>
      </c>
      <c r="N514">
        <v>2750</v>
      </c>
    </row>
    <row r="515" spans="1:14" x14ac:dyDescent="0.25">
      <c r="A515">
        <v>70.824618999999998</v>
      </c>
      <c r="B515" s="1">
        <f>DATE(2010,7,10) + TIME(19,47,27)</f>
        <v>40369.824618055558</v>
      </c>
      <c r="C515">
        <v>80</v>
      </c>
      <c r="D515">
        <v>79.949615479000002</v>
      </c>
      <c r="E515">
        <v>60</v>
      </c>
      <c r="F515">
        <v>15.000340462</v>
      </c>
      <c r="G515">
        <v>1340.8966064000001</v>
      </c>
      <c r="H515">
        <v>1338.3885498</v>
      </c>
      <c r="I515">
        <v>1320.3599853999999</v>
      </c>
      <c r="J515">
        <v>1315.7803954999999</v>
      </c>
      <c r="K515">
        <v>2750</v>
      </c>
      <c r="L515">
        <v>0</v>
      </c>
      <c r="M515">
        <v>0</v>
      </c>
      <c r="N515">
        <v>2750</v>
      </c>
    </row>
    <row r="516" spans="1:14" x14ac:dyDescent="0.25">
      <c r="A516">
        <v>71.302824999999999</v>
      </c>
      <c r="B516" s="1">
        <f>DATE(2010,7,11) + TIME(7,16,4)</f>
        <v>40370.302824074075</v>
      </c>
      <c r="C516">
        <v>80</v>
      </c>
      <c r="D516">
        <v>79.949630737000007</v>
      </c>
      <c r="E516">
        <v>60</v>
      </c>
      <c r="F516">
        <v>15.0004282</v>
      </c>
      <c r="G516">
        <v>1340.8902588000001</v>
      </c>
      <c r="H516">
        <v>1338.3835449000001</v>
      </c>
      <c r="I516">
        <v>1320.3626709</v>
      </c>
      <c r="J516">
        <v>1315.7822266000001</v>
      </c>
      <c r="K516">
        <v>2750</v>
      </c>
      <c r="L516">
        <v>0</v>
      </c>
      <c r="M516">
        <v>0</v>
      </c>
      <c r="N516">
        <v>2750</v>
      </c>
    </row>
    <row r="517" spans="1:14" x14ac:dyDescent="0.25">
      <c r="A517">
        <v>71.54468</v>
      </c>
      <c r="B517" s="1">
        <f>DATE(2010,7,11) + TIME(13,4,20)</f>
        <v>40370.544675925928</v>
      </c>
      <c r="C517">
        <v>80</v>
      </c>
      <c r="D517">
        <v>79.949630737000007</v>
      </c>
      <c r="E517">
        <v>60</v>
      </c>
      <c r="F517">
        <v>15.000492096</v>
      </c>
      <c r="G517">
        <v>1340.8836670000001</v>
      </c>
      <c r="H517">
        <v>1338.378418</v>
      </c>
      <c r="I517">
        <v>1320.3652344</v>
      </c>
      <c r="J517">
        <v>1315.7839355000001</v>
      </c>
      <c r="K517">
        <v>2750</v>
      </c>
      <c r="L517">
        <v>0</v>
      </c>
      <c r="M517">
        <v>0</v>
      </c>
      <c r="N517">
        <v>2750</v>
      </c>
    </row>
    <row r="518" spans="1:14" x14ac:dyDescent="0.25">
      <c r="A518">
        <v>71.786394999999999</v>
      </c>
      <c r="B518" s="1">
        <f>DATE(2010,7,11) + TIME(18,52,24)</f>
        <v>40370.78638888889</v>
      </c>
      <c r="C518">
        <v>80</v>
      </c>
      <c r="D518">
        <v>79.949630737000007</v>
      </c>
      <c r="E518">
        <v>60</v>
      </c>
      <c r="F518">
        <v>15.000557899</v>
      </c>
      <c r="G518">
        <v>1340.8803711</v>
      </c>
      <c r="H518">
        <v>1338.3758545000001</v>
      </c>
      <c r="I518">
        <v>1320.3666992000001</v>
      </c>
      <c r="J518">
        <v>1315.7849120999999</v>
      </c>
      <c r="K518">
        <v>2750</v>
      </c>
      <c r="L518">
        <v>0</v>
      </c>
      <c r="M518">
        <v>0</v>
      </c>
      <c r="N518">
        <v>2750</v>
      </c>
    </row>
    <row r="519" spans="1:14" x14ac:dyDescent="0.25">
      <c r="A519">
        <v>72.027392000000006</v>
      </c>
      <c r="B519" s="1">
        <f>DATE(2010,7,12) + TIME(0,39,26)</f>
        <v>40371.027384259258</v>
      </c>
      <c r="C519">
        <v>80</v>
      </c>
      <c r="D519">
        <v>79.949638367000006</v>
      </c>
      <c r="E519">
        <v>60</v>
      </c>
      <c r="F519">
        <v>15.000626563999999</v>
      </c>
      <c r="G519">
        <v>1340.8771973</v>
      </c>
      <c r="H519">
        <v>1338.3732910000001</v>
      </c>
      <c r="I519">
        <v>1320.3680420000001</v>
      </c>
      <c r="J519">
        <v>1315.7858887</v>
      </c>
      <c r="K519">
        <v>2750</v>
      </c>
      <c r="L519">
        <v>0</v>
      </c>
      <c r="M519">
        <v>0</v>
      </c>
      <c r="N519">
        <v>2750</v>
      </c>
    </row>
    <row r="520" spans="1:14" x14ac:dyDescent="0.25">
      <c r="A520">
        <v>72.267838999999995</v>
      </c>
      <c r="B520" s="1">
        <f>DATE(2010,7,12) + TIME(6,25,41)</f>
        <v>40371.267835648148</v>
      </c>
      <c r="C520">
        <v>80</v>
      </c>
      <c r="D520">
        <v>79.949645996000001</v>
      </c>
      <c r="E520">
        <v>60</v>
      </c>
      <c r="F520">
        <v>15.000699042999999</v>
      </c>
      <c r="G520">
        <v>1340.8740233999999</v>
      </c>
      <c r="H520">
        <v>1338.3708495999999</v>
      </c>
      <c r="I520">
        <v>1320.3695068</v>
      </c>
      <c r="J520">
        <v>1315.7868652</v>
      </c>
      <c r="K520">
        <v>2750</v>
      </c>
      <c r="L520">
        <v>0</v>
      </c>
      <c r="M520">
        <v>0</v>
      </c>
      <c r="N520">
        <v>2750</v>
      </c>
    </row>
    <row r="521" spans="1:14" x14ac:dyDescent="0.25">
      <c r="A521">
        <v>72.507906000000006</v>
      </c>
      <c r="B521" s="1">
        <f>DATE(2010,7,12) + TIME(12,11,23)</f>
        <v>40371.507905092592</v>
      </c>
      <c r="C521">
        <v>80</v>
      </c>
      <c r="D521">
        <v>79.949645996000001</v>
      </c>
      <c r="E521">
        <v>60</v>
      </c>
      <c r="F521">
        <v>15.000775337</v>
      </c>
      <c r="G521">
        <v>1340.8707274999999</v>
      </c>
      <c r="H521">
        <v>1338.3682861</v>
      </c>
      <c r="I521">
        <v>1320.3708495999999</v>
      </c>
      <c r="J521">
        <v>1315.7877197</v>
      </c>
      <c r="K521">
        <v>2750</v>
      </c>
      <c r="L521">
        <v>0</v>
      </c>
      <c r="M521">
        <v>0</v>
      </c>
      <c r="N521">
        <v>2750</v>
      </c>
    </row>
    <row r="522" spans="1:14" x14ac:dyDescent="0.25">
      <c r="A522">
        <v>72.747754</v>
      </c>
      <c r="B522" s="1">
        <f>DATE(2010,7,12) + TIME(17,56,45)</f>
        <v>40371.747743055559</v>
      </c>
      <c r="C522">
        <v>80</v>
      </c>
      <c r="D522">
        <v>79.949653624999996</v>
      </c>
      <c r="E522">
        <v>60</v>
      </c>
      <c r="F522">
        <v>15.0008564</v>
      </c>
      <c r="G522">
        <v>1340.8675536999999</v>
      </c>
      <c r="H522">
        <v>1338.3658447</v>
      </c>
      <c r="I522">
        <v>1320.3723144999999</v>
      </c>
      <c r="J522">
        <v>1315.7886963000001</v>
      </c>
      <c r="K522">
        <v>2750</v>
      </c>
      <c r="L522">
        <v>0</v>
      </c>
      <c r="M522">
        <v>0</v>
      </c>
      <c r="N522">
        <v>2750</v>
      </c>
    </row>
    <row r="523" spans="1:14" x14ac:dyDescent="0.25">
      <c r="A523">
        <v>72.987547000000006</v>
      </c>
      <c r="B523" s="1">
        <f>DATE(2010,7,12) + TIME(23,42,4)</f>
        <v>40371.987546296295</v>
      </c>
      <c r="C523">
        <v>80</v>
      </c>
      <c r="D523">
        <v>79.949661254999995</v>
      </c>
      <c r="E523">
        <v>60</v>
      </c>
      <c r="F523">
        <v>15.000944137999999</v>
      </c>
      <c r="G523">
        <v>1340.8645019999999</v>
      </c>
      <c r="H523">
        <v>1338.3632812000001</v>
      </c>
      <c r="I523">
        <v>1320.3736572</v>
      </c>
      <c r="J523">
        <v>1315.7896728999999</v>
      </c>
      <c r="K523">
        <v>2750</v>
      </c>
      <c r="L523">
        <v>0</v>
      </c>
      <c r="M523">
        <v>0</v>
      </c>
      <c r="N523">
        <v>2750</v>
      </c>
    </row>
    <row r="524" spans="1:14" x14ac:dyDescent="0.25">
      <c r="A524">
        <v>73.227339000000001</v>
      </c>
      <c r="B524" s="1">
        <f>DATE(2010,7,13) + TIME(5,27,22)</f>
        <v>40372.227337962962</v>
      </c>
      <c r="C524">
        <v>80</v>
      </c>
      <c r="D524">
        <v>79.949668884000005</v>
      </c>
      <c r="E524">
        <v>60</v>
      </c>
      <c r="F524">
        <v>15.001036643999999</v>
      </c>
      <c r="G524">
        <v>1340.8613281</v>
      </c>
      <c r="H524">
        <v>1338.3608397999999</v>
      </c>
      <c r="I524">
        <v>1320.3751221</v>
      </c>
      <c r="J524">
        <v>1315.7906493999999</v>
      </c>
      <c r="K524">
        <v>2750</v>
      </c>
      <c r="L524">
        <v>0</v>
      </c>
      <c r="M524">
        <v>0</v>
      </c>
      <c r="N524">
        <v>2750</v>
      </c>
    </row>
    <row r="525" spans="1:14" x14ac:dyDescent="0.25">
      <c r="A525">
        <v>73.467132000000007</v>
      </c>
      <c r="B525" s="1">
        <f>DATE(2010,7,13) + TIME(11,12,40)</f>
        <v>40372.467129629629</v>
      </c>
      <c r="C525">
        <v>80</v>
      </c>
      <c r="D525">
        <v>79.949676514000004</v>
      </c>
      <c r="E525">
        <v>60</v>
      </c>
      <c r="F525">
        <v>15.001135826000001</v>
      </c>
      <c r="G525">
        <v>1340.8581543</v>
      </c>
      <c r="H525">
        <v>1338.3583983999999</v>
      </c>
      <c r="I525">
        <v>1320.3765868999999</v>
      </c>
      <c r="J525">
        <v>1315.791626</v>
      </c>
      <c r="K525">
        <v>2750</v>
      </c>
      <c r="L525">
        <v>0</v>
      </c>
      <c r="M525">
        <v>0</v>
      </c>
      <c r="N525">
        <v>2750</v>
      </c>
    </row>
    <row r="526" spans="1:14" x14ac:dyDescent="0.25">
      <c r="A526">
        <v>73.706924000000001</v>
      </c>
      <c r="B526" s="1">
        <f>DATE(2010,7,13) + TIME(16,57,58)</f>
        <v>40372.706921296296</v>
      </c>
      <c r="C526">
        <v>80</v>
      </c>
      <c r="D526">
        <v>79.949684142999999</v>
      </c>
      <c r="E526">
        <v>60</v>
      </c>
      <c r="F526">
        <v>15.001242638000001</v>
      </c>
      <c r="G526">
        <v>1340.8549805</v>
      </c>
      <c r="H526">
        <v>1338.355957</v>
      </c>
      <c r="I526">
        <v>1320.3779297000001</v>
      </c>
      <c r="J526">
        <v>1315.7926024999999</v>
      </c>
      <c r="K526">
        <v>2750</v>
      </c>
      <c r="L526">
        <v>0</v>
      </c>
      <c r="M526">
        <v>0</v>
      </c>
      <c r="N526">
        <v>2750</v>
      </c>
    </row>
    <row r="527" spans="1:14" x14ac:dyDescent="0.25">
      <c r="A527">
        <v>73.946717000000007</v>
      </c>
      <c r="B527" s="1">
        <f>DATE(2010,7,13) + TIME(22,43,16)</f>
        <v>40372.946712962963</v>
      </c>
      <c r="C527">
        <v>80</v>
      </c>
      <c r="D527">
        <v>79.949691771999994</v>
      </c>
      <c r="E527">
        <v>60</v>
      </c>
      <c r="F527">
        <v>15.001357079</v>
      </c>
      <c r="G527">
        <v>1340.8519286999999</v>
      </c>
      <c r="H527">
        <v>1338.3535156</v>
      </c>
      <c r="I527">
        <v>1320.3793945</v>
      </c>
      <c r="J527">
        <v>1315.7935791</v>
      </c>
      <c r="K527">
        <v>2750</v>
      </c>
      <c r="L527">
        <v>0</v>
      </c>
      <c r="M527">
        <v>0</v>
      </c>
      <c r="N527">
        <v>2750</v>
      </c>
    </row>
    <row r="528" spans="1:14" x14ac:dyDescent="0.25">
      <c r="A528">
        <v>74.186509000000001</v>
      </c>
      <c r="B528" s="1">
        <f>DATE(2010,7,14) + TIME(4,28,34)</f>
        <v>40373.18650462963</v>
      </c>
      <c r="C528">
        <v>80</v>
      </c>
      <c r="D528">
        <v>79.949699401999993</v>
      </c>
      <c r="E528">
        <v>60</v>
      </c>
      <c r="F528">
        <v>15.001480103</v>
      </c>
      <c r="G528">
        <v>1340.8487548999999</v>
      </c>
      <c r="H528">
        <v>1338.3510742000001</v>
      </c>
      <c r="I528">
        <v>1320.3808594</v>
      </c>
      <c r="J528">
        <v>1315.7945557</v>
      </c>
      <c r="K528">
        <v>2750</v>
      </c>
      <c r="L528">
        <v>0</v>
      </c>
      <c r="M528">
        <v>0</v>
      </c>
      <c r="N528">
        <v>2750</v>
      </c>
    </row>
    <row r="529" spans="1:14" x14ac:dyDescent="0.25">
      <c r="A529">
        <v>74.426300999999995</v>
      </c>
      <c r="B529" s="1">
        <f>DATE(2010,7,14) + TIME(10,13,52)</f>
        <v>40373.426296296297</v>
      </c>
      <c r="C529">
        <v>80</v>
      </c>
      <c r="D529">
        <v>79.949707031000003</v>
      </c>
      <c r="E529">
        <v>60</v>
      </c>
      <c r="F529">
        <v>15.001611710000001</v>
      </c>
      <c r="G529">
        <v>1340.8457031</v>
      </c>
      <c r="H529">
        <v>1338.3486327999999</v>
      </c>
      <c r="I529">
        <v>1320.3823242000001</v>
      </c>
      <c r="J529">
        <v>1315.7955322</v>
      </c>
      <c r="K529">
        <v>2750</v>
      </c>
      <c r="L529">
        <v>0</v>
      </c>
      <c r="M529">
        <v>0</v>
      </c>
      <c r="N529">
        <v>2750</v>
      </c>
    </row>
    <row r="530" spans="1:14" x14ac:dyDescent="0.25">
      <c r="A530">
        <v>74.905885999999995</v>
      </c>
      <c r="B530" s="1">
        <f>DATE(2010,7,14) + TIME(21,44,28)</f>
        <v>40373.90587962963</v>
      </c>
      <c r="C530">
        <v>80</v>
      </c>
      <c r="D530">
        <v>79.949722289999997</v>
      </c>
      <c r="E530">
        <v>60</v>
      </c>
      <c r="F530">
        <v>15.001839638</v>
      </c>
      <c r="G530">
        <v>1340.8426514</v>
      </c>
      <c r="H530">
        <v>1338.3463135</v>
      </c>
      <c r="I530">
        <v>1320.3839111</v>
      </c>
      <c r="J530">
        <v>1315.7965088000001</v>
      </c>
      <c r="K530">
        <v>2750</v>
      </c>
      <c r="L530">
        <v>0</v>
      </c>
      <c r="M530">
        <v>0</v>
      </c>
      <c r="N530">
        <v>2750</v>
      </c>
    </row>
    <row r="531" spans="1:14" x14ac:dyDescent="0.25">
      <c r="A531">
        <v>75.385859999999994</v>
      </c>
      <c r="B531" s="1">
        <f>DATE(2010,7,15) + TIME(9,15,38)</f>
        <v>40374.38585648148</v>
      </c>
      <c r="C531">
        <v>80</v>
      </c>
      <c r="D531">
        <v>79.949745178000001</v>
      </c>
      <c r="E531">
        <v>60</v>
      </c>
      <c r="F531">
        <v>15.002121925000001</v>
      </c>
      <c r="G531">
        <v>1340.8365478999999</v>
      </c>
      <c r="H531">
        <v>1338.3414307</v>
      </c>
      <c r="I531">
        <v>1320.3868408000001</v>
      </c>
      <c r="J531">
        <v>1315.7984618999999</v>
      </c>
      <c r="K531">
        <v>2750</v>
      </c>
      <c r="L531">
        <v>0</v>
      </c>
      <c r="M531">
        <v>0</v>
      </c>
      <c r="N531">
        <v>2750</v>
      </c>
    </row>
    <row r="532" spans="1:14" x14ac:dyDescent="0.25">
      <c r="A532">
        <v>75.871517999999995</v>
      </c>
      <c r="B532" s="1">
        <f>DATE(2010,7,15) + TIME(20,54,59)</f>
        <v>40374.871516203704</v>
      </c>
      <c r="C532">
        <v>80</v>
      </c>
      <c r="D532">
        <v>79.949760436999995</v>
      </c>
      <c r="E532">
        <v>60</v>
      </c>
      <c r="F532">
        <v>15.002461433000001</v>
      </c>
      <c r="G532">
        <v>1340.8304443</v>
      </c>
      <c r="H532">
        <v>1338.3366699000001</v>
      </c>
      <c r="I532">
        <v>1320.3898925999999</v>
      </c>
      <c r="J532">
        <v>1315.8005370999999</v>
      </c>
      <c r="K532">
        <v>2750</v>
      </c>
      <c r="L532">
        <v>0</v>
      </c>
      <c r="M532">
        <v>0</v>
      </c>
      <c r="N532">
        <v>2750</v>
      </c>
    </row>
    <row r="533" spans="1:14" x14ac:dyDescent="0.25">
      <c r="A533">
        <v>76.364020999999994</v>
      </c>
      <c r="B533" s="1">
        <f>DATE(2010,7,16) + TIME(8,44,11)</f>
        <v>40375.364016203705</v>
      </c>
      <c r="C533">
        <v>80</v>
      </c>
      <c r="D533">
        <v>79.949775696000003</v>
      </c>
      <c r="E533">
        <v>60</v>
      </c>
      <c r="F533">
        <v>15.002861977</v>
      </c>
      <c r="G533">
        <v>1340.8242187999999</v>
      </c>
      <c r="H533">
        <v>1338.3317870999999</v>
      </c>
      <c r="I533">
        <v>1320.3930664</v>
      </c>
      <c r="J533">
        <v>1315.8026123</v>
      </c>
      <c r="K533">
        <v>2750</v>
      </c>
      <c r="L533">
        <v>0</v>
      </c>
      <c r="M533">
        <v>0</v>
      </c>
      <c r="N533">
        <v>2750</v>
      </c>
    </row>
    <row r="534" spans="1:14" x14ac:dyDescent="0.25">
      <c r="A534">
        <v>76.864637000000002</v>
      </c>
      <c r="B534" s="1">
        <f>DATE(2010,7,16) + TIME(20,45,4)</f>
        <v>40375.864629629628</v>
      </c>
      <c r="C534">
        <v>80</v>
      </c>
      <c r="D534">
        <v>79.949790954999997</v>
      </c>
      <c r="E534">
        <v>60</v>
      </c>
      <c r="F534">
        <v>15.003333092</v>
      </c>
      <c r="G534">
        <v>1340.8181152</v>
      </c>
      <c r="H534">
        <v>1338.3270264</v>
      </c>
      <c r="I534">
        <v>1320.3962402</v>
      </c>
      <c r="J534">
        <v>1315.8046875</v>
      </c>
      <c r="K534">
        <v>2750</v>
      </c>
      <c r="L534">
        <v>0</v>
      </c>
      <c r="M534">
        <v>0</v>
      </c>
      <c r="N534">
        <v>2750</v>
      </c>
    </row>
    <row r="535" spans="1:14" x14ac:dyDescent="0.25">
      <c r="A535">
        <v>77.370143999999996</v>
      </c>
      <c r="B535" s="1">
        <f>DATE(2010,7,17) + TIME(8,53,0)</f>
        <v>40376.370138888888</v>
      </c>
      <c r="C535">
        <v>80</v>
      </c>
      <c r="D535">
        <v>79.949806213000002</v>
      </c>
      <c r="E535">
        <v>60</v>
      </c>
      <c r="F535">
        <v>15.003882408000001</v>
      </c>
      <c r="G535">
        <v>1340.8118896000001</v>
      </c>
      <c r="H535">
        <v>1338.3220214999999</v>
      </c>
      <c r="I535">
        <v>1320.3995361</v>
      </c>
      <c r="J535">
        <v>1315.8068848</v>
      </c>
      <c r="K535">
        <v>2750</v>
      </c>
      <c r="L535">
        <v>0</v>
      </c>
      <c r="M535">
        <v>0</v>
      </c>
      <c r="N535">
        <v>2750</v>
      </c>
    </row>
    <row r="536" spans="1:14" x14ac:dyDescent="0.25">
      <c r="A536">
        <v>77.625538000000006</v>
      </c>
      <c r="B536" s="1">
        <f>DATE(2010,7,17) + TIME(15,0,46)</f>
        <v>40376.625532407408</v>
      </c>
      <c r="C536">
        <v>80</v>
      </c>
      <c r="D536">
        <v>79.949813843000001</v>
      </c>
      <c r="E536">
        <v>60</v>
      </c>
      <c r="F536">
        <v>15.004282951</v>
      </c>
      <c r="G536">
        <v>1340.8055420000001</v>
      </c>
      <c r="H536">
        <v>1338.3171387</v>
      </c>
      <c r="I536">
        <v>1320.4029541</v>
      </c>
      <c r="J536">
        <v>1315.809082</v>
      </c>
      <c r="K536">
        <v>2750</v>
      </c>
      <c r="L536">
        <v>0</v>
      </c>
      <c r="M536">
        <v>0</v>
      </c>
      <c r="N536">
        <v>2750</v>
      </c>
    </row>
    <row r="537" spans="1:14" x14ac:dyDescent="0.25">
      <c r="A537">
        <v>77.880932999999999</v>
      </c>
      <c r="B537" s="1">
        <f>DATE(2010,7,17) + TIME(21,8,32)</f>
        <v>40376.880925925929</v>
      </c>
      <c r="C537">
        <v>80</v>
      </c>
      <c r="D537">
        <v>79.949813843000001</v>
      </c>
      <c r="E537">
        <v>60</v>
      </c>
      <c r="F537">
        <v>15.004694939</v>
      </c>
      <c r="G537">
        <v>1340.8023682</v>
      </c>
      <c r="H537">
        <v>1338.3145752</v>
      </c>
      <c r="I537">
        <v>1320.4046631000001</v>
      </c>
      <c r="J537">
        <v>1315.8101807</v>
      </c>
      <c r="K537">
        <v>2750</v>
      </c>
      <c r="L537">
        <v>0</v>
      </c>
      <c r="M537">
        <v>0</v>
      </c>
      <c r="N537">
        <v>2750</v>
      </c>
    </row>
    <row r="538" spans="1:14" x14ac:dyDescent="0.25">
      <c r="A538">
        <v>78.136326999999994</v>
      </c>
      <c r="B538" s="1">
        <f>DATE(2010,7,18) + TIME(3,16,18)</f>
        <v>40377.136319444442</v>
      </c>
      <c r="C538">
        <v>80</v>
      </c>
      <c r="D538">
        <v>79.949821471999996</v>
      </c>
      <c r="E538">
        <v>60</v>
      </c>
      <c r="F538">
        <v>15.005122184999999</v>
      </c>
      <c r="G538">
        <v>1340.7991943</v>
      </c>
      <c r="H538">
        <v>1338.3121338000001</v>
      </c>
      <c r="I538">
        <v>1320.4064940999999</v>
      </c>
      <c r="J538">
        <v>1315.8114014</v>
      </c>
      <c r="K538">
        <v>2750</v>
      </c>
      <c r="L538">
        <v>0</v>
      </c>
      <c r="M538">
        <v>0</v>
      </c>
      <c r="N538">
        <v>2750</v>
      </c>
    </row>
    <row r="539" spans="1:14" x14ac:dyDescent="0.25">
      <c r="A539">
        <v>78.391226000000003</v>
      </c>
      <c r="B539" s="1">
        <f>DATE(2010,7,18) + TIME(9,23,21)</f>
        <v>40377.391215277778</v>
      </c>
      <c r="C539">
        <v>80</v>
      </c>
      <c r="D539">
        <v>79.949829101999995</v>
      </c>
      <c r="E539">
        <v>60</v>
      </c>
      <c r="F539">
        <v>15.005569458</v>
      </c>
      <c r="G539">
        <v>1340.7961425999999</v>
      </c>
      <c r="H539">
        <v>1338.3096923999999</v>
      </c>
      <c r="I539">
        <v>1320.4082031</v>
      </c>
      <c r="J539">
        <v>1315.8125</v>
      </c>
      <c r="K539">
        <v>2750</v>
      </c>
      <c r="L539">
        <v>0</v>
      </c>
      <c r="M539">
        <v>0</v>
      </c>
      <c r="N539">
        <v>2750</v>
      </c>
    </row>
    <row r="540" spans="1:14" x14ac:dyDescent="0.25">
      <c r="A540">
        <v>78.645712000000003</v>
      </c>
      <c r="B540" s="1">
        <f>DATE(2010,7,18) + TIME(15,29,49)</f>
        <v>40377.64570601852</v>
      </c>
      <c r="C540">
        <v>80</v>
      </c>
      <c r="D540">
        <v>79.949836731000005</v>
      </c>
      <c r="E540">
        <v>60</v>
      </c>
      <c r="F540">
        <v>15.006041527000001</v>
      </c>
      <c r="G540">
        <v>1340.7929687999999</v>
      </c>
      <c r="H540">
        <v>1338.3071289</v>
      </c>
      <c r="I540">
        <v>1320.4100341999999</v>
      </c>
      <c r="J540">
        <v>1315.8137207</v>
      </c>
      <c r="K540">
        <v>2750</v>
      </c>
      <c r="L540">
        <v>0</v>
      </c>
      <c r="M540">
        <v>0</v>
      </c>
      <c r="N540">
        <v>2750</v>
      </c>
    </row>
    <row r="541" spans="1:14" x14ac:dyDescent="0.25">
      <c r="A541">
        <v>78.899952999999996</v>
      </c>
      <c r="B541" s="1">
        <f>DATE(2010,7,18) + TIME(21,35,55)</f>
        <v>40377.899942129632</v>
      </c>
      <c r="C541">
        <v>80</v>
      </c>
      <c r="D541">
        <v>79.94984436</v>
      </c>
      <c r="E541">
        <v>60</v>
      </c>
      <c r="F541">
        <v>15.006541252</v>
      </c>
      <c r="G541">
        <v>1340.7899170000001</v>
      </c>
      <c r="H541">
        <v>1338.3046875</v>
      </c>
      <c r="I541">
        <v>1320.4118652</v>
      </c>
      <c r="J541">
        <v>1315.8148193</v>
      </c>
      <c r="K541">
        <v>2750</v>
      </c>
      <c r="L541">
        <v>0</v>
      </c>
      <c r="M541">
        <v>0</v>
      </c>
      <c r="N541">
        <v>2750</v>
      </c>
    </row>
    <row r="542" spans="1:14" x14ac:dyDescent="0.25">
      <c r="A542">
        <v>79.154115000000004</v>
      </c>
      <c r="B542" s="1">
        <f>DATE(2010,7,19) + TIME(3,41,55)</f>
        <v>40378.154108796298</v>
      </c>
      <c r="C542">
        <v>80</v>
      </c>
      <c r="D542">
        <v>79.949851989999999</v>
      </c>
      <c r="E542">
        <v>60</v>
      </c>
      <c r="F542">
        <v>15.007072449000001</v>
      </c>
      <c r="G542">
        <v>1340.7868652</v>
      </c>
      <c r="H542">
        <v>1338.3023682</v>
      </c>
      <c r="I542">
        <v>1320.4136963000001</v>
      </c>
      <c r="J542">
        <v>1315.8160399999999</v>
      </c>
      <c r="K542">
        <v>2750</v>
      </c>
      <c r="L542">
        <v>0</v>
      </c>
      <c r="M542">
        <v>0</v>
      </c>
      <c r="N542">
        <v>2750</v>
      </c>
    </row>
    <row r="543" spans="1:14" x14ac:dyDescent="0.25">
      <c r="A543">
        <v>79.408276000000001</v>
      </c>
      <c r="B543" s="1">
        <f>DATE(2010,7,19) + TIME(9,47,55)</f>
        <v>40378.408275462964</v>
      </c>
      <c r="C543">
        <v>80</v>
      </c>
      <c r="D543">
        <v>79.949867248999993</v>
      </c>
      <c r="E543">
        <v>60</v>
      </c>
      <c r="F543">
        <v>15.007639885</v>
      </c>
      <c r="G543">
        <v>1340.7838135</v>
      </c>
      <c r="H543">
        <v>1338.2999268000001</v>
      </c>
      <c r="I543">
        <v>1320.4155272999999</v>
      </c>
      <c r="J543">
        <v>1315.8172606999999</v>
      </c>
      <c r="K543">
        <v>2750</v>
      </c>
      <c r="L543">
        <v>0</v>
      </c>
      <c r="M543">
        <v>0</v>
      </c>
      <c r="N543">
        <v>2750</v>
      </c>
    </row>
    <row r="544" spans="1:14" x14ac:dyDescent="0.25">
      <c r="A544">
        <v>79.662437999999995</v>
      </c>
      <c r="B544" s="1">
        <f>DATE(2010,7,19) + TIME(15,53,54)</f>
        <v>40378.662430555552</v>
      </c>
      <c r="C544">
        <v>80</v>
      </c>
      <c r="D544">
        <v>79.949874878000003</v>
      </c>
      <c r="E544">
        <v>60</v>
      </c>
      <c r="F544">
        <v>15.008244513999999</v>
      </c>
      <c r="G544">
        <v>1340.7806396000001</v>
      </c>
      <c r="H544">
        <v>1338.2974853999999</v>
      </c>
      <c r="I544">
        <v>1320.4173584</v>
      </c>
      <c r="J544">
        <v>1315.8183594</v>
      </c>
      <c r="K544">
        <v>2750</v>
      </c>
      <c r="L544">
        <v>0</v>
      </c>
      <c r="M544">
        <v>0</v>
      </c>
      <c r="N544">
        <v>2750</v>
      </c>
    </row>
    <row r="545" spans="1:14" x14ac:dyDescent="0.25">
      <c r="A545">
        <v>79.916600000000003</v>
      </c>
      <c r="B545" s="1">
        <f>DATE(2010,7,19) + TIME(21,59,54)</f>
        <v>40378.916597222225</v>
      </c>
      <c r="C545">
        <v>80</v>
      </c>
      <c r="D545">
        <v>79.949882506999998</v>
      </c>
      <c r="E545">
        <v>60</v>
      </c>
      <c r="F545">
        <v>15.008890151999999</v>
      </c>
      <c r="G545">
        <v>1340.7777100000001</v>
      </c>
      <c r="H545">
        <v>1338.2950439000001</v>
      </c>
      <c r="I545">
        <v>1320.4191894999999</v>
      </c>
      <c r="J545">
        <v>1315.8195800999999</v>
      </c>
      <c r="K545">
        <v>2750</v>
      </c>
      <c r="L545">
        <v>0</v>
      </c>
      <c r="M545">
        <v>0</v>
      </c>
      <c r="N545">
        <v>2750</v>
      </c>
    </row>
    <row r="546" spans="1:14" x14ac:dyDescent="0.25">
      <c r="A546">
        <v>80.170760999999999</v>
      </c>
      <c r="B546" s="1">
        <f>DATE(2010,7,20) + TIME(4,5,53)</f>
        <v>40379.170752314814</v>
      </c>
      <c r="C546">
        <v>80</v>
      </c>
      <c r="D546">
        <v>79.949890136999997</v>
      </c>
      <c r="E546">
        <v>60</v>
      </c>
      <c r="F546">
        <v>15.009580612000001</v>
      </c>
      <c r="G546">
        <v>1340.7746582</v>
      </c>
      <c r="H546">
        <v>1338.2926024999999</v>
      </c>
      <c r="I546">
        <v>1320.4211425999999</v>
      </c>
      <c r="J546">
        <v>1315.8208007999999</v>
      </c>
      <c r="K546">
        <v>2750</v>
      </c>
      <c r="L546">
        <v>0</v>
      </c>
      <c r="M546">
        <v>0</v>
      </c>
      <c r="N546">
        <v>2750</v>
      </c>
    </row>
    <row r="547" spans="1:14" x14ac:dyDescent="0.25">
      <c r="A547">
        <v>80.424923000000007</v>
      </c>
      <c r="B547" s="1">
        <f>DATE(2010,7,20) + TIME(10,11,53)</f>
        <v>40379.42491898148</v>
      </c>
      <c r="C547">
        <v>80</v>
      </c>
      <c r="D547">
        <v>79.949897766000007</v>
      </c>
      <c r="E547">
        <v>60</v>
      </c>
      <c r="F547">
        <v>15.010318756</v>
      </c>
      <c r="G547">
        <v>1340.7716064000001</v>
      </c>
      <c r="H547">
        <v>1338.2902832</v>
      </c>
      <c r="I547">
        <v>1320.4229736</v>
      </c>
      <c r="J547">
        <v>1315.8220214999999</v>
      </c>
      <c r="K547">
        <v>2750</v>
      </c>
      <c r="L547">
        <v>0</v>
      </c>
      <c r="M547">
        <v>0</v>
      </c>
      <c r="N547">
        <v>2750</v>
      </c>
    </row>
    <row r="548" spans="1:14" x14ac:dyDescent="0.25">
      <c r="A548">
        <v>80.679085000000001</v>
      </c>
      <c r="B548" s="1">
        <f>DATE(2010,7,20) + TIME(16,17,52)</f>
        <v>40379.679074074076</v>
      </c>
      <c r="C548">
        <v>80</v>
      </c>
      <c r="D548">
        <v>79.949905396000005</v>
      </c>
      <c r="E548">
        <v>60</v>
      </c>
      <c r="F548">
        <v>15.011108397999999</v>
      </c>
      <c r="G548">
        <v>1340.7685547000001</v>
      </c>
      <c r="H548">
        <v>1338.2878418</v>
      </c>
      <c r="I548">
        <v>1320.4249268000001</v>
      </c>
      <c r="J548">
        <v>1315.8232422000001</v>
      </c>
      <c r="K548">
        <v>2750</v>
      </c>
      <c r="L548">
        <v>0</v>
      </c>
      <c r="M548">
        <v>0</v>
      </c>
      <c r="N548">
        <v>2750</v>
      </c>
    </row>
    <row r="549" spans="1:14" x14ac:dyDescent="0.25">
      <c r="A549">
        <v>81.187408000000005</v>
      </c>
      <c r="B549" s="1">
        <f>DATE(2010,7,21) + TIME(4,29,52)</f>
        <v>40380.187407407408</v>
      </c>
      <c r="C549">
        <v>80</v>
      </c>
      <c r="D549">
        <v>79.949935913000004</v>
      </c>
      <c r="E549">
        <v>60</v>
      </c>
      <c r="F549">
        <v>15.012457848</v>
      </c>
      <c r="G549">
        <v>1340.765625</v>
      </c>
      <c r="H549">
        <v>1338.2855225000001</v>
      </c>
      <c r="I549">
        <v>1320.4268798999999</v>
      </c>
      <c r="J549">
        <v>1315.8245850000001</v>
      </c>
      <c r="K549">
        <v>2750</v>
      </c>
      <c r="L549">
        <v>0</v>
      </c>
      <c r="M549">
        <v>0</v>
      </c>
      <c r="N549">
        <v>2750</v>
      </c>
    </row>
    <row r="550" spans="1:14" x14ac:dyDescent="0.25">
      <c r="A550">
        <v>81.697291000000007</v>
      </c>
      <c r="B550" s="1">
        <f>DATE(2010,7,21) + TIME(16,44,5)</f>
        <v>40380.697280092594</v>
      </c>
      <c r="C550">
        <v>80</v>
      </c>
      <c r="D550">
        <v>79.949951171999999</v>
      </c>
      <c r="E550">
        <v>60</v>
      </c>
      <c r="F550">
        <v>15.014133452999999</v>
      </c>
      <c r="G550">
        <v>1340.7596435999999</v>
      </c>
      <c r="H550">
        <v>1338.2808838000001</v>
      </c>
      <c r="I550">
        <v>1320.4307861</v>
      </c>
      <c r="J550">
        <v>1315.8270264</v>
      </c>
      <c r="K550">
        <v>2750</v>
      </c>
      <c r="L550">
        <v>0</v>
      </c>
      <c r="M550">
        <v>0</v>
      </c>
      <c r="N550">
        <v>2750</v>
      </c>
    </row>
    <row r="551" spans="1:14" x14ac:dyDescent="0.25">
      <c r="A551">
        <v>82.213813000000002</v>
      </c>
      <c r="B551" s="1">
        <f>DATE(2010,7,22) + TIME(5,7,53)</f>
        <v>40381.213807870372</v>
      </c>
      <c r="C551">
        <v>80</v>
      </c>
      <c r="D551">
        <v>79.949974060000002</v>
      </c>
      <c r="E551">
        <v>60</v>
      </c>
      <c r="F551">
        <v>15.01613903</v>
      </c>
      <c r="G551">
        <v>1340.7536620999999</v>
      </c>
      <c r="H551">
        <v>1338.2761230000001</v>
      </c>
      <c r="I551">
        <v>1320.4348144999999</v>
      </c>
      <c r="J551">
        <v>1315.8295897999999</v>
      </c>
      <c r="K551">
        <v>2750</v>
      </c>
      <c r="L551">
        <v>0</v>
      </c>
      <c r="M551">
        <v>0</v>
      </c>
      <c r="N551">
        <v>2750</v>
      </c>
    </row>
    <row r="552" spans="1:14" x14ac:dyDescent="0.25">
      <c r="A552">
        <v>82.738270999999997</v>
      </c>
      <c r="B552" s="1">
        <f>DATE(2010,7,22) + TIME(17,43,6)</f>
        <v>40381.738263888888</v>
      </c>
      <c r="C552">
        <v>80</v>
      </c>
      <c r="D552">
        <v>79.949996948000006</v>
      </c>
      <c r="E552">
        <v>60</v>
      </c>
      <c r="F552">
        <v>15.018499373999999</v>
      </c>
      <c r="G552">
        <v>1340.7476807</v>
      </c>
      <c r="H552">
        <v>1338.2713623</v>
      </c>
      <c r="I552">
        <v>1320.4389647999999</v>
      </c>
      <c r="J552">
        <v>1315.8321533000001</v>
      </c>
      <c r="K552">
        <v>2750</v>
      </c>
      <c r="L552">
        <v>0</v>
      </c>
      <c r="M552">
        <v>0</v>
      </c>
      <c r="N552">
        <v>2750</v>
      </c>
    </row>
    <row r="553" spans="1:14" x14ac:dyDescent="0.25">
      <c r="A553">
        <v>83.269379000000001</v>
      </c>
      <c r="B553" s="1">
        <f>DATE(2010,7,23) + TIME(6,27,54)</f>
        <v>40382.269375000003</v>
      </c>
      <c r="C553">
        <v>80</v>
      </c>
      <c r="D553">
        <v>79.950012207</v>
      </c>
      <c r="E553">
        <v>60</v>
      </c>
      <c r="F553">
        <v>15.021251678</v>
      </c>
      <c r="G553">
        <v>1340.7415771000001</v>
      </c>
      <c r="H553">
        <v>1338.2664795000001</v>
      </c>
      <c r="I553">
        <v>1320.4432373</v>
      </c>
      <c r="J553">
        <v>1315.8349608999999</v>
      </c>
      <c r="K553">
        <v>2750</v>
      </c>
      <c r="L553">
        <v>0</v>
      </c>
      <c r="M553">
        <v>0</v>
      </c>
      <c r="N553">
        <v>2750</v>
      </c>
    </row>
    <row r="554" spans="1:14" x14ac:dyDescent="0.25">
      <c r="A554">
        <v>83.804508999999996</v>
      </c>
      <c r="B554" s="1">
        <f>DATE(2010,7,23) + TIME(19,18,29)</f>
        <v>40382.804502314815</v>
      </c>
      <c r="C554">
        <v>80</v>
      </c>
      <c r="D554">
        <v>79.950035095000004</v>
      </c>
      <c r="E554">
        <v>60</v>
      </c>
      <c r="F554">
        <v>15.024435043</v>
      </c>
      <c r="G554">
        <v>1340.7354736</v>
      </c>
      <c r="H554">
        <v>1338.2617187999999</v>
      </c>
      <c r="I554">
        <v>1320.4477539</v>
      </c>
      <c r="J554">
        <v>1315.8377685999999</v>
      </c>
      <c r="K554">
        <v>2750</v>
      </c>
      <c r="L554">
        <v>0</v>
      </c>
      <c r="M554">
        <v>0</v>
      </c>
      <c r="N554">
        <v>2750</v>
      </c>
    </row>
    <row r="555" spans="1:14" x14ac:dyDescent="0.25">
      <c r="A555">
        <v>84.344303999999994</v>
      </c>
      <c r="B555" s="1">
        <f>DATE(2010,7,24) + TIME(8,15,47)</f>
        <v>40383.344293981485</v>
      </c>
      <c r="C555">
        <v>80</v>
      </c>
      <c r="D555">
        <v>79.950050353999998</v>
      </c>
      <c r="E555">
        <v>60</v>
      </c>
      <c r="F555">
        <v>15.028108596999999</v>
      </c>
      <c r="G555">
        <v>1340.7293701000001</v>
      </c>
      <c r="H555">
        <v>1338.2568358999999</v>
      </c>
      <c r="I555">
        <v>1320.4522704999999</v>
      </c>
      <c r="J555">
        <v>1315.8405762</v>
      </c>
      <c r="K555">
        <v>2750</v>
      </c>
      <c r="L555">
        <v>0</v>
      </c>
      <c r="M555">
        <v>0</v>
      </c>
      <c r="N555">
        <v>2750</v>
      </c>
    </row>
    <row r="556" spans="1:14" x14ac:dyDescent="0.25">
      <c r="A556">
        <v>84.615368000000004</v>
      </c>
      <c r="B556" s="1">
        <f>DATE(2010,7,24) + TIME(14,46,7)</f>
        <v>40383.615358796298</v>
      </c>
      <c r="C556">
        <v>80</v>
      </c>
      <c r="D556">
        <v>79.950057982999994</v>
      </c>
      <c r="E556">
        <v>60</v>
      </c>
      <c r="F556">
        <v>15.030776978</v>
      </c>
      <c r="G556">
        <v>1340.7232666</v>
      </c>
      <c r="H556">
        <v>1338.2519531</v>
      </c>
      <c r="I556">
        <v>1320.4570312000001</v>
      </c>
      <c r="J556">
        <v>1315.8435059000001</v>
      </c>
      <c r="K556">
        <v>2750</v>
      </c>
      <c r="L556">
        <v>0</v>
      </c>
      <c r="M556">
        <v>0</v>
      </c>
      <c r="N556">
        <v>2750</v>
      </c>
    </row>
    <row r="557" spans="1:14" x14ac:dyDescent="0.25">
      <c r="A557">
        <v>84.885900000000007</v>
      </c>
      <c r="B557" s="1">
        <f>DATE(2010,7,24) + TIME(21,15,41)</f>
        <v>40383.885891203703</v>
      </c>
      <c r="C557">
        <v>80</v>
      </c>
      <c r="D557">
        <v>79.950065613000007</v>
      </c>
      <c r="E557">
        <v>60</v>
      </c>
      <c r="F557">
        <v>15.033485412999999</v>
      </c>
      <c r="G557">
        <v>1340.7202147999999</v>
      </c>
      <c r="H557">
        <v>1338.2495117000001</v>
      </c>
      <c r="I557">
        <v>1320.4594727000001</v>
      </c>
      <c r="J557">
        <v>1315.8449707</v>
      </c>
      <c r="K557">
        <v>2750</v>
      </c>
      <c r="L557">
        <v>0</v>
      </c>
      <c r="M557">
        <v>0</v>
      </c>
      <c r="N557">
        <v>2750</v>
      </c>
    </row>
    <row r="558" spans="1:14" x14ac:dyDescent="0.25">
      <c r="A558">
        <v>85.156031999999996</v>
      </c>
      <c r="B558" s="1">
        <f>DATE(2010,7,25) + TIME(3,44,41)</f>
        <v>40384.156030092592</v>
      </c>
      <c r="C558">
        <v>80</v>
      </c>
      <c r="D558">
        <v>79.950073242000002</v>
      </c>
      <c r="E558">
        <v>60</v>
      </c>
      <c r="F558">
        <v>15.036273956</v>
      </c>
      <c r="G558">
        <v>1340.7171631000001</v>
      </c>
      <c r="H558">
        <v>1338.2470702999999</v>
      </c>
      <c r="I558">
        <v>1320.4619141000001</v>
      </c>
      <c r="J558">
        <v>1315.8465576000001</v>
      </c>
      <c r="K558">
        <v>2750</v>
      </c>
      <c r="L558">
        <v>0</v>
      </c>
      <c r="M558">
        <v>0</v>
      </c>
      <c r="N558">
        <v>2750</v>
      </c>
    </row>
    <row r="559" spans="1:14" x14ac:dyDescent="0.25">
      <c r="A559">
        <v>85.425956999999997</v>
      </c>
      <c r="B559" s="1">
        <f>DATE(2010,7,25) + TIME(10,13,22)</f>
        <v>40384.425949074073</v>
      </c>
      <c r="C559">
        <v>80</v>
      </c>
      <c r="D559">
        <v>79.950080872000001</v>
      </c>
      <c r="E559">
        <v>60</v>
      </c>
      <c r="F559">
        <v>15.039176940999999</v>
      </c>
      <c r="G559">
        <v>1340.7141113</v>
      </c>
      <c r="H559">
        <v>1338.2446289</v>
      </c>
      <c r="I559">
        <v>1320.4643555</v>
      </c>
      <c r="J559">
        <v>1315.8481445</v>
      </c>
      <c r="K559">
        <v>2750</v>
      </c>
      <c r="L559">
        <v>0</v>
      </c>
      <c r="M559">
        <v>0</v>
      </c>
      <c r="N559">
        <v>2750</v>
      </c>
    </row>
    <row r="560" spans="1:14" x14ac:dyDescent="0.25">
      <c r="A560">
        <v>85.695865999999995</v>
      </c>
      <c r="B560" s="1">
        <f>DATE(2010,7,25) + TIME(16,42,2)</f>
        <v>40384.695856481485</v>
      </c>
      <c r="C560">
        <v>80</v>
      </c>
      <c r="D560">
        <v>79.950096130000006</v>
      </c>
      <c r="E560">
        <v>60</v>
      </c>
      <c r="F560">
        <v>15.042222023000001</v>
      </c>
      <c r="G560">
        <v>1340.7111815999999</v>
      </c>
      <c r="H560">
        <v>1338.2423096</v>
      </c>
      <c r="I560">
        <v>1320.4669189000001</v>
      </c>
      <c r="J560">
        <v>1315.8497314000001</v>
      </c>
      <c r="K560">
        <v>2750</v>
      </c>
      <c r="L560">
        <v>0</v>
      </c>
      <c r="M560">
        <v>0</v>
      </c>
      <c r="N560">
        <v>2750</v>
      </c>
    </row>
    <row r="561" spans="1:14" x14ac:dyDescent="0.25">
      <c r="A561">
        <v>85.965773999999996</v>
      </c>
      <c r="B561" s="1">
        <f>DATE(2010,7,25) + TIME(23,10,42)</f>
        <v>40384.965763888889</v>
      </c>
      <c r="C561">
        <v>80</v>
      </c>
      <c r="D561">
        <v>79.950103760000005</v>
      </c>
      <c r="E561">
        <v>60</v>
      </c>
      <c r="F561">
        <v>15.045433998</v>
      </c>
      <c r="G561">
        <v>1340.7081298999999</v>
      </c>
      <c r="H561">
        <v>1338.2398682</v>
      </c>
      <c r="I561">
        <v>1320.4694824000001</v>
      </c>
      <c r="J561">
        <v>1315.8513184000001</v>
      </c>
      <c r="K561">
        <v>2750</v>
      </c>
      <c r="L561">
        <v>0</v>
      </c>
      <c r="M561">
        <v>0</v>
      </c>
      <c r="N561">
        <v>2750</v>
      </c>
    </row>
    <row r="562" spans="1:14" x14ac:dyDescent="0.25">
      <c r="A562">
        <v>86.235682999999995</v>
      </c>
      <c r="B562" s="1">
        <f>DATE(2010,7,26) + TIME(5,39,23)</f>
        <v>40385.235682870371</v>
      </c>
      <c r="C562">
        <v>80</v>
      </c>
      <c r="D562">
        <v>79.950111389</v>
      </c>
      <c r="E562">
        <v>60</v>
      </c>
      <c r="F562">
        <v>15.048832893</v>
      </c>
      <c r="G562">
        <v>1340.7050781</v>
      </c>
      <c r="H562">
        <v>1338.2375488</v>
      </c>
      <c r="I562">
        <v>1320.4720459</v>
      </c>
      <c r="J562">
        <v>1315.8529053</v>
      </c>
      <c r="K562">
        <v>2750</v>
      </c>
      <c r="L562">
        <v>0</v>
      </c>
      <c r="M562">
        <v>0</v>
      </c>
      <c r="N562">
        <v>2750</v>
      </c>
    </row>
    <row r="563" spans="1:14" x14ac:dyDescent="0.25">
      <c r="A563">
        <v>86.505591999999993</v>
      </c>
      <c r="B563" s="1">
        <f>DATE(2010,7,26) + TIME(12,8,3)</f>
        <v>40385.505590277775</v>
      </c>
      <c r="C563">
        <v>80</v>
      </c>
      <c r="D563">
        <v>79.950119018999999</v>
      </c>
      <c r="E563">
        <v>60</v>
      </c>
      <c r="F563">
        <v>15.052438735999999</v>
      </c>
      <c r="G563">
        <v>1340.7021483999999</v>
      </c>
      <c r="H563">
        <v>1338.2351074000001</v>
      </c>
      <c r="I563">
        <v>1320.4746094</v>
      </c>
      <c r="J563">
        <v>1315.8544922000001</v>
      </c>
      <c r="K563">
        <v>2750</v>
      </c>
      <c r="L563">
        <v>0</v>
      </c>
      <c r="M563">
        <v>0</v>
      </c>
      <c r="N563">
        <v>2750</v>
      </c>
    </row>
    <row r="564" spans="1:14" x14ac:dyDescent="0.25">
      <c r="A564">
        <v>86.775499999999994</v>
      </c>
      <c r="B564" s="1">
        <f>DATE(2010,7,26) + TIME(18,36,43)</f>
        <v>40385.775497685187</v>
      </c>
      <c r="C564">
        <v>80</v>
      </c>
      <c r="D564">
        <v>79.950134277000004</v>
      </c>
      <c r="E564">
        <v>60</v>
      </c>
      <c r="F564">
        <v>15.056270598999999</v>
      </c>
      <c r="G564">
        <v>1340.6992187999999</v>
      </c>
      <c r="H564">
        <v>1338.2327881000001</v>
      </c>
      <c r="I564">
        <v>1320.4772949000001</v>
      </c>
      <c r="J564">
        <v>1315.8562012</v>
      </c>
      <c r="K564">
        <v>2750</v>
      </c>
      <c r="L564">
        <v>0</v>
      </c>
      <c r="M564">
        <v>0</v>
      </c>
      <c r="N564">
        <v>2750</v>
      </c>
    </row>
    <row r="565" spans="1:14" x14ac:dyDescent="0.25">
      <c r="A565">
        <v>87.045409000000006</v>
      </c>
      <c r="B565" s="1">
        <f>DATE(2010,7,27) + TIME(1,5,23)</f>
        <v>40386.045405092591</v>
      </c>
      <c r="C565">
        <v>80</v>
      </c>
      <c r="D565">
        <v>79.950141907000003</v>
      </c>
      <c r="E565">
        <v>60</v>
      </c>
      <c r="F565">
        <v>15.060346602999999</v>
      </c>
      <c r="G565">
        <v>1340.6961670000001</v>
      </c>
      <c r="H565">
        <v>1338.2303466999999</v>
      </c>
      <c r="I565">
        <v>1320.4798584</v>
      </c>
      <c r="J565">
        <v>1315.8579102000001</v>
      </c>
      <c r="K565">
        <v>2750</v>
      </c>
      <c r="L565">
        <v>0</v>
      </c>
      <c r="M565">
        <v>0</v>
      </c>
      <c r="N565">
        <v>2750</v>
      </c>
    </row>
    <row r="566" spans="1:14" x14ac:dyDescent="0.25">
      <c r="A566">
        <v>87.585226000000006</v>
      </c>
      <c r="B566" s="1">
        <f>DATE(2010,7,27) + TIME(14,2,43)</f>
        <v>40386.585219907407</v>
      </c>
      <c r="C566">
        <v>80</v>
      </c>
      <c r="D566">
        <v>79.950172424000002</v>
      </c>
      <c r="E566">
        <v>60</v>
      </c>
      <c r="F566">
        <v>15.067209244000001</v>
      </c>
      <c r="G566">
        <v>1340.6933594</v>
      </c>
      <c r="H566">
        <v>1338.2281493999999</v>
      </c>
      <c r="I566">
        <v>1320.4825439000001</v>
      </c>
      <c r="J566">
        <v>1315.8596190999999</v>
      </c>
      <c r="K566">
        <v>2750</v>
      </c>
      <c r="L566">
        <v>0</v>
      </c>
      <c r="M566">
        <v>0</v>
      </c>
      <c r="N566">
        <v>2750</v>
      </c>
    </row>
    <row r="567" spans="1:14" x14ac:dyDescent="0.25">
      <c r="A567">
        <v>88.125781000000003</v>
      </c>
      <c r="B567" s="1">
        <f>DATE(2010,7,28) + TIME(3,1,7)</f>
        <v>40387.125775462962</v>
      </c>
      <c r="C567">
        <v>80</v>
      </c>
      <c r="D567">
        <v>79.950195312000005</v>
      </c>
      <c r="E567">
        <v>60</v>
      </c>
      <c r="F567">
        <v>15.075723648</v>
      </c>
      <c r="G567">
        <v>1340.6875</v>
      </c>
      <c r="H567">
        <v>1338.2233887</v>
      </c>
      <c r="I567">
        <v>1320.4880370999999</v>
      </c>
      <c r="J567">
        <v>1315.8630370999999</v>
      </c>
      <c r="K567">
        <v>2750</v>
      </c>
      <c r="L567">
        <v>0</v>
      </c>
      <c r="M567">
        <v>0</v>
      </c>
      <c r="N567">
        <v>2750</v>
      </c>
    </row>
    <row r="568" spans="1:14" x14ac:dyDescent="0.25">
      <c r="A568">
        <v>88.672706000000005</v>
      </c>
      <c r="B568" s="1">
        <f>DATE(2010,7,28) + TIME(16,8,41)</f>
        <v>40387.672696759262</v>
      </c>
      <c r="C568">
        <v>80</v>
      </c>
      <c r="D568">
        <v>79.950218200999998</v>
      </c>
      <c r="E568">
        <v>60</v>
      </c>
      <c r="F568">
        <v>15.085857390999999</v>
      </c>
      <c r="G568">
        <v>1340.6816406</v>
      </c>
      <c r="H568">
        <v>1338.21875</v>
      </c>
      <c r="I568">
        <v>1320.4936522999999</v>
      </c>
      <c r="J568">
        <v>1315.8665771000001</v>
      </c>
      <c r="K568">
        <v>2750</v>
      </c>
      <c r="L568">
        <v>0</v>
      </c>
      <c r="M568">
        <v>0</v>
      </c>
      <c r="N568">
        <v>2750</v>
      </c>
    </row>
    <row r="569" spans="1:14" x14ac:dyDescent="0.25">
      <c r="A569">
        <v>89.227400000000003</v>
      </c>
      <c r="B569" s="1">
        <f>DATE(2010,7,29) + TIME(5,27,27)</f>
        <v>40388.227395833332</v>
      </c>
      <c r="C569">
        <v>80</v>
      </c>
      <c r="D569">
        <v>79.950241089000002</v>
      </c>
      <c r="E569">
        <v>60</v>
      </c>
      <c r="F569">
        <v>15.097702026</v>
      </c>
      <c r="G569">
        <v>1340.6756591999999</v>
      </c>
      <c r="H569">
        <v>1338.2139893000001</v>
      </c>
      <c r="I569">
        <v>1320.4995117000001</v>
      </c>
      <c r="J569">
        <v>1315.8702393000001</v>
      </c>
      <c r="K569">
        <v>2750</v>
      </c>
      <c r="L569">
        <v>0</v>
      </c>
      <c r="M569">
        <v>0</v>
      </c>
      <c r="N569">
        <v>2750</v>
      </c>
    </row>
    <row r="570" spans="1:14" x14ac:dyDescent="0.25">
      <c r="A570">
        <v>89.788487000000003</v>
      </c>
      <c r="B570" s="1">
        <f>DATE(2010,7,29) + TIME(18,55,25)</f>
        <v>40388.788483796299</v>
      </c>
      <c r="C570">
        <v>80</v>
      </c>
      <c r="D570">
        <v>79.950263977000006</v>
      </c>
      <c r="E570">
        <v>60</v>
      </c>
      <c r="F570">
        <v>15.111401558000001</v>
      </c>
      <c r="G570">
        <v>1340.6697998</v>
      </c>
      <c r="H570">
        <v>1338.2092285000001</v>
      </c>
      <c r="I570">
        <v>1320.5056152</v>
      </c>
      <c r="J570">
        <v>1315.8740233999999</v>
      </c>
      <c r="K570">
        <v>2750</v>
      </c>
      <c r="L570">
        <v>0</v>
      </c>
      <c r="M570">
        <v>0</v>
      </c>
      <c r="N570">
        <v>2750</v>
      </c>
    </row>
    <row r="571" spans="1:14" x14ac:dyDescent="0.25">
      <c r="A571">
        <v>90.352318999999994</v>
      </c>
      <c r="B571" s="1">
        <f>DATE(2010,7,30) + TIME(8,27,20)</f>
        <v>40389.352314814816</v>
      </c>
      <c r="C571">
        <v>80</v>
      </c>
      <c r="D571">
        <v>79.950286864999995</v>
      </c>
      <c r="E571">
        <v>60</v>
      </c>
      <c r="F571">
        <v>15.127110481000001</v>
      </c>
      <c r="G571">
        <v>1340.6638184000001</v>
      </c>
      <c r="H571">
        <v>1338.2044678</v>
      </c>
      <c r="I571">
        <v>1320.5119629000001</v>
      </c>
      <c r="J571">
        <v>1315.8780518000001</v>
      </c>
      <c r="K571">
        <v>2750</v>
      </c>
      <c r="L571">
        <v>0</v>
      </c>
      <c r="M571">
        <v>0</v>
      </c>
      <c r="N571">
        <v>2750</v>
      </c>
    </row>
    <row r="572" spans="1:14" x14ac:dyDescent="0.25">
      <c r="A572">
        <v>90.917207000000005</v>
      </c>
      <c r="B572" s="1">
        <f>DATE(2010,7,30) + TIME(22,0,46)</f>
        <v>40389.917199074072</v>
      </c>
      <c r="C572">
        <v>80</v>
      </c>
      <c r="D572">
        <v>79.950309752999999</v>
      </c>
      <c r="E572">
        <v>60</v>
      </c>
      <c r="F572">
        <v>15.145015717</v>
      </c>
      <c r="G572">
        <v>1340.6578368999999</v>
      </c>
      <c r="H572">
        <v>1338.199707</v>
      </c>
      <c r="I572">
        <v>1320.5184326000001</v>
      </c>
      <c r="J572">
        <v>1315.8822021000001</v>
      </c>
      <c r="K572">
        <v>2750</v>
      </c>
      <c r="L572">
        <v>0</v>
      </c>
      <c r="M572">
        <v>0</v>
      </c>
      <c r="N572">
        <v>2750</v>
      </c>
    </row>
    <row r="573" spans="1:14" x14ac:dyDescent="0.25">
      <c r="A573">
        <v>91.484716000000006</v>
      </c>
      <c r="B573" s="1">
        <f>DATE(2010,7,31) + TIME(11,37,59)</f>
        <v>40390.484710648147</v>
      </c>
      <c r="C573">
        <v>80</v>
      </c>
      <c r="D573">
        <v>79.950332642000006</v>
      </c>
      <c r="E573">
        <v>60</v>
      </c>
      <c r="F573">
        <v>15.165390015</v>
      </c>
      <c r="G573">
        <v>1340.6518555</v>
      </c>
      <c r="H573">
        <v>1338.1949463000001</v>
      </c>
      <c r="I573">
        <v>1320.5251464999999</v>
      </c>
      <c r="J573">
        <v>1315.8865966999999</v>
      </c>
      <c r="K573">
        <v>2750</v>
      </c>
      <c r="L573">
        <v>0</v>
      </c>
      <c r="M573">
        <v>0</v>
      </c>
      <c r="N573">
        <v>2750</v>
      </c>
    </row>
    <row r="574" spans="1:14" x14ac:dyDescent="0.25">
      <c r="A574">
        <v>92</v>
      </c>
      <c r="B574" s="1">
        <f>DATE(2010,8,1) + TIME(0,0,0)</f>
        <v>40391</v>
      </c>
      <c r="C574">
        <v>80</v>
      </c>
      <c r="D574">
        <v>79.950355529999996</v>
      </c>
      <c r="E574">
        <v>60</v>
      </c>
      <c r="F574">
        <v>15.187225342</v>
      </c>
      <c r="G574">
        <v>1340.6459961</v>
      </c>
      <c r="H574">
        <v>1338.1901855000001</v>
      </c>
      <c r="I574">
        <v>1320.5322266000001</v>
      </c>
      <c r="J574">
        <v>1315.8911132999999</v>
      </c>
      <c r="K574">
        <v>2750</v>
      </c>
      <c r="L574">
        <v>0</v>
      </c>
      <c r="M574">
        <v>0</v>
      </c>
      <c r="N574">
        <v>2750</v>
      </c>
    </row>
    <row r="575" spans="1:14" x14ac:dyDescent="0.25">
      <c r="A575">
        <v>92.283863999999994</v>
      </c>
      <c r="B575" s="1">
        <f>DATE(2010,8,1) + TIME(6,48,45)</f>
        <v>40391.283854166664</v>
      </c>
      <c r="C575">
        <v>80</v>
      </c>
      <c r="D575">
        <v>79.950363159000005</v>
      </c>
      <c r="E575">
        <v>60</v>
      </c>
      <c r="F575">
        <v>15.203472137</v>
      </c>
      <c r="G575">
        <v>1340.640625</v>
      </c>
      <c r="H575">
        <v>1338.1859131000001</v>
      </c>
      <c r="I575">
        <v>1320.5391846</v>
      </c>
      <c r="J575">
        <v>1315.8952637</v>
      </c>
      <c r="K575">
        <v>2750</v>
      </c>
      <c r="L575">
        <v>0</v>
      </c>
      <c r="M575">
        <v>0</v>
      </c>
      <c r="N575">
        <v>2750</v>
      </c>
    </row>
    <row r="576" spans="1:14" x14ac:dyDescent="0.25">
      <c r="A576">
        <v>92.567728000000002</v>
      </c>
      <c r="B576" s="1">
        <f>DATE(2010,8,1) + TIME(13,37,31)</f>
        <v>40391.567719907405</v>
      </c>
      <c r="C576">
        <v>80</v>
      </c>
      <c r="D576">
        <v>79.950370789000004</v>
      </c>
      <c r="E576">
        <v>60</v>
      </c>
      <c r="F576">
        <v>15.219862938</v>
      </c>
      <c r="G576">
        <v>1340.6375731999999</v>
      </c>
      <c r="H576">
        <v>1338.1834716999999</v>
      </c>
      <c r="I576">
        <v>1320.5427245999999</v>
      </c>
      <c r="J576">
        <v>1315.8977050999999</v>
      </c>
      <c r="K576">
        <v>2750</v>
      </c>
      <c r="L576">
        <v>0</v>
      </c>
      <c r="M576">
        <v>0</v>
      </c>
      <c r="N576">
        <v>2750</v>
      </c>
    </row>
    <row r="577" spans="1:14" x14ac:dyDescent="0.25">
      <c r="A577">
        <v>92.851590999999999</v>
      </c>
      <c r="B577" s="1">
        <f>DATE(2010,8,1) + TIME(20,26,17)</f>
        <v>40391.851585648146</v>
      </c>
      <c r="C577">
        <v>80</v>
      </c>
      <c r="D577">
        <v>79.950378418</v>
      </c>
      <c r="E577">
        <v>60</v>
      </c>
      <c r="F577">
        <v>15.236644745</v>
      </c>
      <c r="G577">
        <v>1340.6346435999999</v>
      </c>
      <c r="H577">
        <v>1338.1811522999999</v>
      </c>
      <c r="I577">
        <v>1320.5463867000001</v>
      </c>
      <c r="J577">
        <v>1315.9002685999999</v>
      </c>
      <c r="K577">
        <v>2750</v>
      </c>
      <c r="L577">
        <v>0</v>
      </c>
      <c r="M577">
        <v>0</v>
      </c>
      <c r="N577">
        <v>2750</v>
      </c>
    </row>
    <row r="578" spans="1:14" x14ac:dyDescent="0.25">
      <c r="A578">
        <v>93.135454999999993</v>
      </c>
      <c r="B578" s="1">
        <f>DATE(2010,8,2) + TIME(3,15,3)</f>
        <v>40392.135451388887</v>
      </c>
      <c r="C578">
        <v>80</v>
      </c>
      <c r="D578">
        <v>79.950393676999994</v>
      </c>
      <c r="E578">
        <v>60</v>
      </c>
      <c r="F578">
        <v>15.254015923000001</v>
      </c>
      <c r="G578">
        <v>1340.6317139</v>
      </c>
      <c r="H578">
        <v>1338.1788329999999</v>
      </c>
      <c r="I578">
        <v>1320.5501709</v>
      </c>
      <c r="J578">
        <v>1315.902832</v>
      </c>
      <c r="K578">
        <v>2750</v>
      </c>
      <c r="L578">
        <v>0</v>
      </c>
      <c r="M578">
        <v>0</v>
      </c>
      <c r="N578">
        <v>2750</v>
      </c>
    </row>
    <row r="579" spans="1:14" x14ac:dyDescent="0.25">
      <c r="A579">
        <v>93.419319000000002</v>
      </c>
      <c r="B579" s="1">
        <f>DATE(2010,8,2) + TIME(10,3,49)</f>
        <v>40392.419317129628</v>
      </c>
      <c r="C579">
        <v>80</v>
      </c>
      <c r="D579">
        <v>79.950401306000003</v>
      </c>
      <c r="E579">
        <v>60</v>
      </c>
      <c r="F579">
        <v>15.272132874</v>
      </c>
      <c r="G579">
        <v>1340.6289062000001</v>
      </c>
      <c r="H579">
        <v>1338.1763916</v>
      </c>
      <c r="I579">
        <v>1320.5539550999999</v>
      </c>
      <c r="J579">
        <v>1315.9053954999999</v>
      </c>
      <c r="K579">
        <v>2750</v>
      </c>
      <c r="L579">
        <v>0</v>
      </c>
      <c r="M579">
        <v>0</v>
      </c>
      <c r="N579">
        <v>2750</v>
      </c>
    </row>
    <row r="580" spans="1:14" x14ac:dyDescent="0.25">
      <c r="A580">
        <v>93.703182999999996</v>
      </c>
      <c r="B580" s="1">
        <f>DATE(2010,8,2) + TIME(16,52,34)</f>
        <v>40392.7031712963</v>
      </c>
      <c r="C580">
        <v>80</v>
      </c>
      <c r="D580">
        <v>79.950416564999998</v>
      </c>
      <c r="E580">
        <v>60</v>
      </c>
      <c r="F580">
        <v>15.291129112</v>
      </c>
      <c r="G580">
        <v>1340.6259766000001</v>
      </c>
      <c r="H580">
        <v>1338.1740723</v>
      </c>
      <c r="I580">
        <v>1320.5578613</v>
      </c>
      <c r="J580">
        <v>1315.9080810999999</v>
      </c>
      <c r="K580">
        <v>2750</v>
      </c>
      <c r="L580">
        <v>0</v>
      </c>
      <c r="M580">
        <v>0</v>
      </c>
      <c r="N580">
        <v>2750</v>
      </c>
    </row>
    <row r="581" spans="1:14" x14ac:dyDescent="0.25">
      <c r="A581">
        <v>93.987046000000007</v>
      </c>
      <c r="B581" s="1">
        <f>DATE(2010,8,2) + TIME(23,41,20)</f>
        <v>40392.987037037034</v>
      </c>
      <c r="C581">
        <v>80</v>
      </c>
      <c r="D581">
        <v>79.950424193999993</v>
      </c>
      <c r="E581">
        <v>60</v>
      </c>
      <c r="F581">
        <v>15.311118126</v>
      </c>
      <c r="G581">
        <v>1340.6230469</v>
      </c>
      <c r="H581">
        <v>1338.1717529</v>
      </c>
      <c r="I581">
        <v>1320.5617675999999</v>
      </c>
      <c r="J581">
        <v>1315.9107666</v>
      </c>
      <c r="K581">
        <v>2750</v>
      </c>
      <c r="L581">
        <v>0</v>
      </c>
      <c r="M581">
        <v>0</v>
      </c>
      <c r="N581">
        <v>2750</v>
      </c>
    </row>
    <row r="582" spans="1:14" x14ac:dyDescent="0.25">
      <c r="A582">
        <v>94.270910000000001</v>
      </c>
      <c r="B582" s="1">
        <f>DATE(2010,8,3) + TIME(6,30,6)</f>
        <v>40393.270902777775</v>
      </c>
      <c r="C582">
        <v>80</v>
      </c>
      <c r="D582">
        <v>79.950439453000001</v>
      </c>
      <c r="E582">
        <v>60</v>
      </c>
      <c r="F582">
        <v>15.332200050000001</v>
      </c>
      <c r="G582">
        <v>1340.6201172000001</v>
      </c>
      <c r="H582">
        <v>1338.1694336</v>
      </c>
      <c r="I582">
        <v>1320.5657959</v>
      </c>
      <c r="J582">
        <v>1315.9135742000001</v>
      </c>
      <c r="K582">
        <v>2750</v>
      </c>
      <c r="L582">
        <v>0</v>
      </c>
      <c r="M582">
        <v>0</v>
      </c>
      <c r="N582">
        <v>2750</v>
      </c>
    </row>
    <row r="583" spans="1:14" x14ac:dyDescent="0.25">
      <c r="A583">
        <v>94.838638000000003</v>
      </c>
      <c r="B583" s="1">
        <f>DATE(2010,8,3) + TIME(20,7,38)</f>
        <v>40393.838634259257</v>
      </c>
      <c r="C583">
        <v>80</v>
      </c>
      <c r="D583">
        <v>79.950469971000004</v>
      </c>
      <c r="E583">
        <v>60</v>
      </c>
      <c r="F583">
        <v>15.367067337</v>
      </c>
      <c r="G583">
        <v>1340.6173096</v>
      </c>
      <c r="H583">
        <v>1338.1672363</v>
      </c>
      <c r="I583">
        <v>1320.5690918</v>
      </c>
      <c r="J583">
        <v>1315.9165039</v>
      </c>
      <c r="K583">
        <v>2750</v>
      </c>
      <c r="L583">
        <v>0</v>
      </c>
      <c r="M583">
        <v>0</v>
      </c>
      <c r="N583">
        <v>2750</v>
      </c>
    </row>
    <row r="584" spans="1:14" x14ac:dyDescent="0.25">
      <c r="A584">
        <v>95.407240999999999</v>
      </c>
      <c r="B584" s="1">
        <f>DATE(2010,8,4) + TIME(9,46,25)</f>
        <v>40394.407233796293</v>
      </c>
      <c r="C584">
        <v>80</v>
      </c>
      <c r="D584">
        <v>79.950492858999993</v>
      </c>
      <c r="E584">
        <v>60</v>
      </c>
      <c r="F584">
        <v>15.410177231</v>
      </c>
      <c r="G584">
        <v>1340.6115723</v>
      </c>
      <c r="H584">
        <v>1338.1625977000001</v>
      </c>
      <c r="I584">
        <v>1320.5775146000001</v>
      </c>
      <c r="J584">
        <v>1315.9222411999999</v>
      </c>
      <c r="K584">
        <v>2750</v>
      </c>
      <c r="L584">
        <v>0</v>
      </c>
      <c r="M584">
        <v>0</v>
      </c>
      <c r="N584">
        <v>2750</v>
      </c>
    </row>
    <row r="585" spans="1:14" x14ac:dyDescent="0.25">
      <c r="A585">
        <v>95.984855999999994</v>
      </c>
      <c r="B585" s="1">
        <f>DATE(2010,8,4) + TIME(23,38,11)</f>
        <v>40394.984849537039</v>
      </c>
      <c r="C585">
        <v>80</v>
      </c>
      <c r="D585">
        <v>79.950523376000007</v>
      </c>
      <c r="E585">
        <v>60</v>
      </c>
      <c r="F585">
        <v>15.461183547999999</v>
      </c>
      <c r="G585">
        <v>1340.605957</v>
      </c>
      <c r="H585">
        <v>1338.1579589999999</v>
      </c>
      <c r="I585">
        <v>1320.5860596</v>
      </c>
      <c r="J585">
        <v>1315.9282227000001</v>
      </c>
      <c r="K585">
        <v>2750</v>
      </c>
      <c r="L585">
        <v>0</v>
      </c>
      <c r="M585">
        <v>0</v>
      </c>
      <c r="N585">
        <v>2750</v>
      </c>
    </row>
    <row r="586" spans="1:14" x14ac:dyDescent="0.25">
      <c r="A586">
        <v>96.565209999999993</v>
      </c>
      <c r="B586" s="1">
        <f>DATE(2010,8,5) + TIME(13,33,54)</f>
        <v>40395.565208333333</v>
      </c>
      <c r="C586">
        <v>80</v>
      </c>
      <c r="D586">
        <v>79.950546265</v>
      </c>
      <c r="E586">
        <v>60</v>
      </c>
      <c r="F586">
        <v>15.519965171999999</v>
      </c>
      <c r="G586">
        <v>1340.6000977000001</v>
      </c>
      <c r="H586">
        <v>1338.1533202999999</v>
      </c>
      <c r="I586">
        <v>1320.5948486</v>
      </c>
      <c r="J586">
        <v>1315.9346923999999</v>
      </c>
      <c r="K586">
        <v>2750</v>
      </c>
      <c r="L586">
        <v>0</v>
      </c>
      <c r="M586">
        <v>0</v>
      </c>
      <c r="N586">
        <v>2750</v>
      </c>
    </row>
    <row r="587" spans="1:14" x14ac:dyDescent="0.25">
      <c r="A587">
        <v>96.856900999999993</v>
      </c>
      <c r="B587" s="1">
        <f>DATE(2010,8,5) + TIME(20,33,56)</f>
        <v>40395.856898148151</v>
      </c>
      <c r="C587">
        <v>80</v>
      </c>
      <c r="D587">
        <v>79.950553893999995</v>
      </c>
      <c r="E587">
        <v>60</v>
      </c>
      <c r="F587">
        <v>15.562935829000001</v>
      </c>
      <c r="G587">
        <v>1340.5943603999999</v>
      </c>
      <c r="H587">
        <v>1338.1485596</v>
      </c>
      <c r="I587">
        <v>1320.6053466999999</v>
      </c>
      <c r="J587">
        <v>1315.9410399999999</v>
      </c>
      <c r="K587">
        <v>2750</v>
      </c>
      <c r="L587">
        <v>0</v>
      </c>
      <c r="M587">
        <v>0</v>
      </c>
      <c r="N587">
        <v>2750</v>
      </c>
    </row>
    <row r="588" spans="1:14" x14ac:dyDescent="0.25">
      <c r="A588">
        <v>97.148591999999994</v>
      </c>
      <c r="B588" s="1">
        <f>DATE(2010,8,6) + TIME(3,33,58)</f>
        <v>40396.148587962962</v>
      </c>
      <c r="C588">
        <v>80</v>
      </c>
      <c r="D588">
        <v>79.950569153000004</v>
      </c>
      <c r="E588">
        <v>60</v>
      </c>
      <c r="F588">
        <v>15.60591507</v>
      </c>
      <c r="G588">
        <v>1340.5914307</v>
      </c>
      <c r="H588">
        <v>1338.1462402</v>
      </c>
      <c r="I588">
        <v>1320.6097411999999</v>
      </c>
      <c r="J588">
        <v>1315.9448242000001</v>
      </c>
      <c r="K588">
        <v>2750</v>
      </c>
      <c r="L588">
        <v>0</v>
      </c>
      <c r="M588">
        <v>0</v>
      </c>
      <c r="N588">
        <v>2750</v>
      </c>
    </row>
    <row r="589" spans="1:14" x14ac:dyDescent="0.25">
      <c r="A589">
        <v>97.440282999999994</v>
      </c>
      <c r="B589" s="1">
        <f>DATE(2010,8,6) + TIME(10,34,0)</f>
        <v>40396.44027777778</v>
      </c>
      <c r="C589">
        <v>80</v>
      </c>
      <c r="D589">
        <v>79.950576781999999</v>
      </c>
      <c r="E589">
        <v>60</v>
      </c>
      <c r="F589">
        <v>15.649594306999999</v>
      </c>
      <c r="G589">
        <v>1340.588501</v>
      </c>
      <c r="H589">
        <v>1338.1439209</v>
      </c>
      <c r="I589">
        <v>1320.6142577999999</v>
      </c>
      <c r="J589">
        <v>1315.9486084</v>
      </c>
      <c r="K589">
        <v>2750</v>
      </c>
      <c r="L589">
        <v>0</v>
      </c>
      <c r="M589">
        <v>0</v>
      </c>
      <c r="N589">
        <v>2750</v>
      </c>
    </row>
    <row r="590" spans="1:14" x14ac:dyDescent="0.25">
      <c r="A590">
        <v>97.731973999999994</v>
      </c>
      <c r="B590" s="1">
        <f>DATE(2010,8,6) + TIME(17,34,2)</f>
        <v>40396.73196759259</v>
      </c>
      <c r="C590">
        <v>80</v>
      </c>
      <c r="D590">
        <v>79.950592040999993</v>
      </c>
      <c r="E590">
        <v>60</v>
      </c>
      <c r="F590">
        <v>15.694498061999999</v>
      </c>
      <c r="G590">
        <v>1340.5856934000001</v>
      </c>
      <c r="H590">
        <v>1338.1416016000001</v>
      </c>
      <c r="I590">
        <v>1320.6188964999999</v>
      </c>
      <c r="J590">
        <v>1315.9523925999999</v>
      </c>
      <c r="K590">
        <v>2750</v>
      </c>
      <c r="L590">
        <v>0</v>
      </c>
      <c r="M590">
        <v>0</v>
      </c>
      <c r="N590">
        <v>2750</v>
      </c>
    </row>
    <row r="591" spans="1:14" x14ac:dyDescent="0.25">
      <c r="A591">
        <v>98.023663999999997</v>
      </c>
      <c r="B591" s="1">
        <f>DATE(2010,8,7) + TIME(0,34,4)</f>
        <v>40397.023657407408</v>
      </c>
      <c r="C591">
        <v>80</v>
      </c>
      <c r="D591">
        <v>79.950599670000003</v>
      </c>
      <c r="E591">
        <v>60</v>
      </c>
      <c r="F591">
        <v>15.741036415</v>
      </c>
      <c r="G591">
        <v>1340.5827637</v>
      </c>
      <c r="H591">
        <v>1338.1392822</v>
      </c>
      <c r="I591">
        <v>1320.6236572</v>
      </c>
      <c r="J591">
        <v>1315.9564209</v>
      </c>
      <c r="K591">
        <v>2750</v>
      </c>
      <c r="L591">
        <v>0</v>
      </c>
      <c r="M591">
        <v>0</v>
      </c>
      <c r="N591">
        <v>2750</v>
      </c>
    </row>
    <row r="592" spans="1:14" x14ac:dyDescent="0.25">
      <c r="A592">
        <v>98.315354999999997</v>
      </c>
      <c r="B592" s="1">
        <f>DATE(2010,8,7) + TIME(7,34,6)</f>
        <v>40397.315347222226</v>
      </c>
      <c r="C592">
        <v>80</v>
      </c>
      <c r="D592">
        <v>79.950614928999997</v>
      </c>
      <c r="E592">
        <v>60</v>
      </c>
      <c r="F592">
        <v>15.789535522</v>
      </c>
      <c r="G592">
        <v>1340.5799560999999</v>
      </c>
      <c r="H592">
        <v>1338.1369629000001</v>
      </c>
      <c r="I592">
        <v>1320.6285399999999</v>
      </c>
      <c r="J592">
        <v>1315.9604492000001</v>
      </c>
      <c r="K592">
        <v>2750</v>
      </c>
      <c r="L592">
        <v>0</v>
      </c>
      <c r="M592">
        <v>0</v>
      </c>
      <c r="N592">
        <v>2750</v>
      </c>
    </row>
    <row r="593" spans="1:14" x14ac:dyDescent="0.25">
      <c r="A593">
        <v>98.607045999999997</v>
      </c>
      <c r="B593" s="1">
        <f>DATE(2010,8,7) + TIME(14,34,8)</f>
        <v>40397.607037037036</v>
      </c>
      <c r="C593">
        <v>80</v>
      </c>
      <c r="D593">
        <v>79.950630188000005</v>
      </c>
      <c r="E593">
        <v>60</v>
      </c>
      <c r="F593">
        <v>15.840264319999999</v>
      </c>
      <c r="G593">
        <v>1340.5770264</v>
      </c>
      <c r="H593">
        <v>1338.1346435999999</v>
      </c>
      <c r="I593">
        <v>1320.6334228999999</v>
      </c>
      <c r="J593">
        <v>1315.9644774999999</v>
      </c>
      <c r="K593">
        <v>2750</v>
      </c>
      <c r="L593">
        <v>0</v>
      </c>
      <c r="M593">
        <v>0</v>
      </c>
      <c r="N593">
        <v>2750</v>
      </c>
    </row>
    <row r="594" spans="1:14" x14ac:dyDescent="0.25">
      <c r="A594">
        <v>98.898736999999997</v>
      </c>
      <c r="B594" s="1">
        <f>DATE(2010,8,7) + TIME(21,34,10)</f>
        <v>40397.898726851854</v>
      </c>
      <c r="C594">
        <v>80</v>
      </c>
      <c r="D594">
        <v>79.950637817</v>
      </c>
      <c r="E594">
        <v>60</v>
      </c>
      <c r="F594">
        <v>15.893451690999999</v>
      </c>
      <c r="G594">
        <v>1340.5742187999999</v>
      </c>
      <c r="H594">
        <v>1338.1323242000001</v>
      </c>
      <c r="I594">
        <v>1320.6383057</v>
      </c>
      <c r="J594">
        <v>1315.96875</v>
      </c>
      <c r="K594">
        <v>2750</v>
      </c>
      <c r="L594">
        <v>0</v>
      </c>
      <c r="M594">
        <v>0</v>
      </c>
      <c r="N594">
        <v>2750</v>
      </c>
    </row>
    <row r="595" spans="1:14" x14ac:dyDescent="0.25">
      <c r="A595">
        <v>99.190427999999997</v>
      </c>
      <c r="B595" s="1">
        <f>DATE(2010,8,8) + TIME(4,34,12)</f>
        <v>40398.190416666665</v>
      </c>
      <c r="C595">
        <v>80</v>
      </c>
      <c r="D595">
        <v>79.950653075999995</v>
      </c>
      <c r="E595">
        <v>60</v>
      </c>
      <c r="F595">
        <v>15.94929409</v>
      </c>
      <c r="G595">
        <v>1340.5714111</v>
      </c>
      <c r="H595">
        <v>1338.1300048999999</v>
      </c>
      <c r="I595">
        <v>1320.6433105000001</v>
      </c>
      <c r="J595">
        <v>1315.9731445</v>
      </c>
      <c r="K595">
        <v>2750</v>
      </c>
      <c r="L595">
        <v>0</v>
      </c>
      <c r="M595">
        <v>0</v>
      </c>
      <c r="N595">
        <v>2750</v>
      </c>
    </row>
    <row r="596" spans="1:14" x14ac:dyDescent="0.25">
      <c r="A596">
        <v>99.482118</v>
      </c>
      <c r="B596" s="1">
        <f>DATE(2010,8,8) + TIME(11,34,15)</f>
        <v>40398.482118055559</v>
      </c>
      <c r="C596">
        <v>80</v>
      </c>
      <c r="D596">
        <v>79.950668335000003</v>
      </c>
      <c r="E596">
        <v>60</v>
      </c>
      <c r="F596">
        <v>16.007968902999998</v>
      </c>
      <c r="G596">
        <v>1340.5684814000001</v>
      </c>
      <c r="H596">
        <v>1338.1276855000001</v>
      </c>
      <c r="I596">
        <v>1320.6484375</v>
      </c>
      <c r="J596">
        <v>1315.9775391000001</v>
      </c>
      <c r="K596">
        <v>2750</v>
      </c>
      <c r="L596">
        <v>0</v>
      </c>
      <c r="M596">
        <v>0</v>
      </c>
      <c r="N596">
        <v>2750</v>
      </c>
    </row>
    <row r="597" spans="1:14" x14ac:dyDescent="0.25">
      <c r="A597">
        <v>99.773809</v>
      </c>
      <c r="B597" s="1">
        <f>DATE(2010,8,8) + TIME(18,34,17)</f>
        <v>40398.77380787037</v>
      </c>
      <c r="C597">
        <v>80</v>
      </c>
      <c r="D597">
        <v>79.950675963999998</v>
      </c>
      <c r="E597">
        <v>60</v>
      </c>
      <c r="F597">
        <v>16.069635390999998</v>
      </c>
      <c r="G597">
        <v>1340.5656738</v>
      </c>
      <c r="H597">
        <v>1338.1253661999999</v>
      </c>
      <c r="I597">
        <v>1320.6534423999999</v>
      </c>
      <c r="J597">
        <v>1315.9821777</v>
      </c>
      <c r="K597">
        <v>2750</v>
      </c>
      <c r="L597">
        <v>0</v>
      </c>
      <c r="M597">
        <v>0</v>
      </c>
      <c r="N597">
        <v>2750</v>
      </c>
    </row>
    <row r="598" spans="1:14" x14ac:dyDescent="0.25">
      <c r="A598">
        <v>100.06522200000001</v>
      </c>
      <c r="B598" s="1">
        <f>DATE(2010,8,9) + TIME(1,33,55)</f>
        <v>40399.06521990741</v>
      </c>
      <c r="C598">
        <v>80</v>
      </c>
      <c r="D598">
        <v>79.950691223000007</v>
      </c>
      <c r="E598">
        <v>60</v>
      </c>
      <c r="F598">
        <v>16.134405136000002</v>
      </c>
      <c r="G598">
        <v>1340.5628661999999</v>
      </c>
      <c r="H598">
        <v>1338.1230469</v>
      </c>
      <c r="I598">
        <v>1320.6586914</v>
      </c>
      <c r="J598">
        <v>1315.9868164</v>
      </c>
      <c r="K598">
        <v>2750</v>
      </c>
      <c r="L598">
        <v>0</v>
      </c>
      <c r="M598">
        <v>0</v>
      </c>
      <c r="N598">
        <v>2750</v>
      </c>
    </row>
    <row r="599" spans="1:14" x14ac:dyDescent="0.25">
      <c r="A599">
        <v>100.35615900000001</v>
      </c>
      <c r="B599" s="1">
        <f>DATE(2010,8,9) + TIME(8,32,52)</f>
        <v>40399.356157407405</v>
      </c>
      <c r="C599">
        <v>80</v>
      </c>
      <c r="D599">
        <v>79.950706482000001</v>
      </c>
      <c r="E599">
        <v>60</v>
      </c>
      <c r="F599">
        <v>16.202369690000001</v>
      </c>
      <c r="G599">
        <v>1340.5600586</v>
      </c>
      <c r="H599">
        <v>1338.1208495999999</v>
      </c>
      <c r="I599">
        <v>1320.6638184000001</v>
      </c>
      <c r="J599">
        <v>1315.9916992000001</v>
      </c>
      <c r="K599">
        <v>2750</v>
      </c>
      <c r="L599">
        <v>0</v>
      </c>
      <c r="M599">
        <v>0</v>
      </c>
      <c r="N599">
        <v>2750</v>
      </c>
    </row>
    <row r="600" spans="1:14" x14ac:dyDescent="0.25">
      <c r="A600">
        <v>100.646772</v>
      </c>
      <c r="B600" s="1">
        <f>DATE(2010,8,9) + TIME(15,31,21)</f>
        <v>40399.646770833337</v>
      </c>
      <c r="C600">
        <v>80</v>
      </c>
      <c r="D600">
        <v>79.950714110999996</v>
      </c>
      <c r="E600">
        <v>60</v>
      </c>
      <c r="F600">
        <v>16.273672103999999</v>
      </c>
      <c r="G600">
        <v>1340.557251</v>
      </c>
      <c r="H600">
        <v>1338.1185303</v>
      </c>
      <c r="I600">
        <v>1320.6689452999999</v>
      </c>
      <c r="J600">
        <v>1315.996582</v>
      </c>
      <c r="K600">
        <v>2750</v>
      </c>
      <c r="L600">
        <v>0</v>
      </c>
      <c r="M600">
        <v>0</v>
      </c>
      <c r="N600">
        <v>2750</v>
      </c>
    </row>
    <row r="601" spans="1:14" x14ac:dyDescent="0.25">
      <c r="A601">
        <v>101.227621</v>
      </c>
      <c r="B601" s="1">
        <f>DATE(2010,8,10) + TIME(5,27,46)</f>
        <v>40400.22761574074</v>
      </c>
      <c r="C601">
        <v>80</v>
      </c>
      <c r="D601">
        <v>79.950752257999994</v>
      </c>
      <c r="E601">
        <v>60</v>
      </c>
      <c r="F601">
        <v>16.389715195000001</v>
      </c>
      <c r="G601">
        <v>1340.5545654</v>
      </c>
      <c r="H601">
        <v>1338.1163329999999</v>
      </c>
      <c r="I601">
        <v>1320.671875</v>
      </c>
      <c r="J601">
        <v>1316.0023193</v>
      </c>
      <c r="K601">
        <v>2750</v>
      </c>
      <c r="L601">
        <v>0</v>
      </c>
      <c r="M601">
        <v>0</v>
      </c>
      <c r="N601">
        <v>2750</v>
      </c>
    </row>
    <row r="602" spans="1:14" x14ac:dyDescent="0.25">
      <c r="A602">
        <v>101.810794</v>
      </c>
      <c r="B602" s="1">
        <f>DATE(2010,8,10) + TIME(19,27,32)</f>
        <v>40400.810787037037</v>
      </c>
      <c r="C602">
        <v>80</v>
      </c>
      <c r="D602">
        <v>79.950775145999998</v>
      </c>
      <c r="E602">
        <v>60</v>
      </c>
      <c r="F602">
        <v>16.532461166000001</v>
      </c>
      <c r="G602">
        <v>1340.5489502</v>
      </c>
      <c r="H602">
        <v>1338.1118164</v>
      </c>
      <c r="I602">
        <v>1320.6829834</v>
      </c>
      <c r="J602">
        <v>1316.0123291</v>
      </c>
      <c r="K602">
        <v>2750</v>
      </c>
      <c r="L602">
        <v>0</v>
      </c>
      <c r="M602">
        <v>0</v>
      </c>
      <c r="N602">
        <v>2750</v>
      </c>
    </row>
    <row r="603" spans="1:14" x14ac:dyDescent="0.25">
      <c r="A603">
        <v>102.408384</v>
      </c>
      <c r="B603" s="1">
        <f>DATE(2010,8,11) + TIME(9,48,4)</f>
        <v>40401.408379629633</v>
      </c>
      <c r="C603">
        <v>80</v>
      </c>
      <c r="D603">
        <v>79.950805664000001</v>
      </c>
      <c r="E603">
        <v>60</v>
      </c>
      <c r="F603">
        <v>16.699602126999999</v>
      </c>
      <c r="G603">
        <v>1340.543457</v>
      </c>
      <c r="H603">
        <v>1338.1071777</v>
      </c>
      <c r="I603">
        <v>1320.6937256000001</v>
      </c>
      <c r="J603">
        <v>1316.0230713000001</v>
      </c>
      <c r="K603">
        <v>2750</v>
      </c>
      <c r="L603">
        <v>0</v>
      </c>
      <c r="M603">
        <v>0</v>
      </c>
      <c r="N603">
        <v>2750</v>
      </c>
    </row>
    <row r="604" spans="1:14" x14ac:dyDescent="0.25">
      <c r="A604">
        <v>102.709458</v>
      </c>
      <c r="B604" s="1">
        <f>DATE(2010,8,11) + TIME(17,1,37)</f>
        <v>40401.709456018521</v>
      </c>
      <c r="C604">
        <v>80</v>
      </c>
      <c r="D604">
        <v>79.950813292999996</v>
      </c>
      <c r="E604">
        <v>60</v>
      </c>
      <c r="F604">
        <v>16.822729111000001</v>
      </c>
      <c r="G604">
        <v>1340.5377197</v>
      </c>
      <c r="H604">
        <v>1338.1025391000001</v>
      </c>
      <c r="I604">
        <v>1320.708374</v>
      </c>
      <c r="J604">
        <v>1316.0338135</v>
      </c>
      <c r="K604">
        <v>2750</v>
      </c>
      <c r="L604">
        <v>0</v>
      </c>
      <c r="M604">
        <v>0</v>
      </c>
      <c r="N604">
        <v>2750</v>
      </c>
    </row>
    <row r="605" spans="1:14" x14ac:dyDescent="0.25">
      <c r="A605">
        <v>103.282341</v>
      </c>
      <c r="B605" s="1">
        <f>DATE(2010,8,12) + TIME(6,46,34)</f>
        <v>40402.282337962963</v>
      </c>
      <c r="C605">
        <v>80</v>
      </c>
      <c r="D605">
        <v>79.950843810999999</v>
      </c>
      <c r="E605">
        <v>60</v>
      </c>
      <c r="F605">
        <v>17.004436493</v>
      </c>
      <c r="G605">
        <v>1340.5349120999999</v>
      </c>
      <c r="H605">
        <v>1338.1002197</v>
      </c>
      <c r="I605">
        <v>1320.7097168</v>
      </c>
      <c r="J605">
        <v>1316.0413818</v>
      </c>
      <c r="K605">
        <v>2750</v>
      </c>
      <c r="L605">
        <v>0</v>
      </c>
      <c r="M605">
        <v>0</v>
      </c>
      <c r="N605">
        <v>2750</v>
      </c>
    </row>
    <row r="606" spans="1:14" x14ac:dyDescent="0.25">
      <c r="A606">
        <v>103.87455199999999</v>
      </c>
      <c r="B606" s="1">
        <f>DATE(2010,8,12) + TIME(20,59,21)</f>
        <v>40402.874548611115</v>
      </c>
      <c r="C606">
        <v>80</v>
      </c>
      <c r="D606">
        <v>79.950874329000001</v>
      </c>
      <c r="E606">
        <v>60</v>
      </c>
      <c r="F606">
        <v>17.212629318000001</v>
      </c>
      <c r="G606">
        <v>1340.5295410000001</v>
      </c>
      <c r="H606">
        <v>1338.0958252</v>
      </c>
      <c r="I606">
        <v>1320.7202147999999</v>
      </c>
      <c r="J606">
        <v>1316.0534668</v>
      </c>
      <c r="K606">
        <v>2750</v>
      </c>
      <c r="L606">
        <v>0</v>
      </c>
      <c r="M606">
        <v>0</v>
      </c>
      <c r="N606">
        <v>2750</v>
      </c>
    </row>
    <row r="607" spans="1:14" x14ac:dyDescent="0.25">
      <c r="A607">
        <v>104.46729000000001</v>
      </c>
      <c r="B607" s="1">
        <f>DATE(2010,8,13) + TIME(11,12,53)</f>
        <v>40403.467280092591</v>
      </c>
      <c r="C607">
        <v>80</v>
      </c>
      <c r="D607">
        <v>79.950904846</v>
      </c>
      <c r="E607">
        <v>60</v>
      </c>
      <c r="F607">
        <v>17.444257736000001</v>
      </c>
      <c r="G607">
        <v>1340.5239257999999</v>
      </c>
      <c r="H607">
        <v>1338.0913086</v>
      </c>
      <c r="I607">
        <v>1320.7310791</v>
      </c>
      <c r="J607">
        <v>1316.0666504000001</v>
      </c>
      <c r="K607">
        <v>2750</v>
      </c>
      <c r="L607">
        <v>0</v>
      </c>
      <c r="M607">
        <v>0</v>
      </c>
      <c r="N607">
        <v>2750</v>
      </c>
    </row>
    <row r="608" spans="1:14" x14ac:dyDescent="0.25">
      <c r="A608">
        <v>105.06329700000001</v>
      </c>
      <c r="B608" s="1">
        <f>DATE(2010,8,14) + TIME(1,31,8)</f>
        <v>40404.063287037039</v>
      </c>
      <c r="C608">
        <v>80</v>
      </c>
      <c r="D608">
        <v>79.950927734000004</v>
      </c>
      <c r="E608">
        <v>60</v>
      </c>
      <c r="F608">
        <v>17.698213577000001</v>
      </c>
      <c r="G608">
        <v>1340.5184326000001</v>
      </c>
      <c r="H608">
        <v>1338.0867920000001</v>
      </c>
      <c r="I608">
        <v>1320.7416992000001</v>
      </c>
      <c r="J608">
        <v>1316.0805664</v>
      </c>
      <c r="K608">
        <v>2750</v>
      </c>
      <c r="L608">
        <v>0</v>
      </c>
      <c r="M608">
        <v>0</v>
      </c>
      <c r="N608">
        <v>2750</v>
      </c>
    </row>
    <row r="609" spans="1:14" x14ac:dyDescent="0.25">
      <c r="A609">
        <v>105.362314</v>
      </c>
      <c r="B609" s="1">
        <f>DATE(2010,8,14) + TIME(8,41,43)</f>
        <v>40404.362303240741</v>
      </c>
      <c r="C609">
        <v>80</v>
      </c>
      <c r="D609">
        <v>79.950935364000003</v>
      </c>
      <c r="E609">
        <v>60</v>
      </c>
      <c r="F609">
        <v>17.877923965000001</v>
      </c>
      <c r="G609">
        <v>1340.5128173999999</v>
      </c>
      <c r="H609">
        <v>1338.0821533000001</v>
      </c>
      <c r="I609">
        <v>1320.7576904</v>
      </c>
      <c r="J609">
        <v>1316.09375</v>
      </c>
      <c r="K609">
        <v>2750</v>
      </c>
      <c r="L609">
        <v>0</v>
      </c>
      <c r="M609">
        <v>0</v>
      </c>
      <c r="N609">
        <v>2750</v>
      </c>
    </row>
    <row r="610" spans="1:14" x14ac:dyDescent="0.25">
      <c r="A610">
        <v>105.661331</v>
      </c>
      <c r="B610" s="1">
        <f>DATE(2010,8,14) + TIME(15,52,18)</f>
        <v>40404.661319444444</v>
      </c>
      <c r="C610">
        <v>80</v>
      </c>
      <c r="D610">
        <v>79.950950622999997</v>
      </c>
      <c r="E610">
        <v>60</v>
      </c>
      <c r="F610">
        <v>18.051750182999999</v>
      </c>
      <c r="G610">
        <v>1340.5100098</v>
      </c>
      <c r="H610">
        <v>1338.0799560999999</v>
      </c>
      <c r="I610">
        <v>1320.7617187999999</v>
      </c>
      <c r="J610">
        <v>1316.1021728999999</v>
      </c>
      <c r="K610">
        <v>2750</v>
      </c>
      <c r="L610">
        <v>0</v>
      </c>
      <c r="M610">
        <v>0</v>
      </c>
      <c r="N610">
        <v>2750</v>
      </c>
    </row>
    <row r="611" spans="1:14" x14ac:dyDescent="0.25">
      <c r="A611">
        <v>105.960348</v>
      </c>
      <c r="B611" s="1">
        <f>DATE(2010,8,14) + TIME(23,2,54)</f>
        <v>40404.960347222222</v>
      </c>
      <c r="C611">
        <v>80</v>
      </c>
      <c r="D611">
        <v>79.950965881000002</v>
      </c>
      <c r="E611">
        <v>60</v>
      </c>
      <c r="F611">
        <v>18.223644257</v>
      </c>
      <c r="G611">
        <v>1340.5073242000001</v>
      </c>
      <c r="H611">
        <v>1338.0776367000001</v>
      </c>
      <c r="I611">
        <v>1320.7662353999999</v>
      </c>
      <c r="J611">
        <v>1316.1104736</v>
      </c>
      <c r="K611">
        <v>2750</v>
      </c>
      <c r="L611">
        <v>0</v>
      </c>
      <c r="M611">
        <v>0</v>
      </c>
      <c r="N611">
        <v>2750</v>
      </c>
    </row>
    <row r="612" spans="1:14" x14ac:dyDescent="0.25">
      <c r="A612">
        <v>106.259365</v>
      </c>
      <c r="B612" s="1">
        <f>DATE(2010,8,15) + TIME(6,13,29)</f>
        <v>40405.259363425925</v>
      </c>
      <c r="C612">
        <v>80</v>
      </c>
      <c r="D612">
        <v>79.950973511000001</v>
      </c>
      <c r="E612">
        <v>60</v>
      </c>
      <c r="F612">
        <v>18.396112442</v>
      </c>
      <c r="G612">
        <v>1340.5045166</v>
      </c>
      <c r="H612">
        <v>1338.0754394999999</v>
      </c>
      <c r="I612">
        <v>1320.770874</v>
      </c>
      <c r="J612">
        <v>1316.1188964999999</v>
      </c>
      <c r="K612">
        <v>2750</v>
      </c>
      <c r="L612">
        <v>0</v>
      </c>
      <c r="M612">
        <v>0</v>
      </c>
      <c r="N612">
        <v>2750</v>
      </c>
    </row>
    <row r="613" spans="1:14" x14ac:dyDescent="0.25">
      <c r="A613">
        <v>106.55838199999999</v>
      </c>
      <c r="B613" s="1">
        <f>DATE(2010,8,15) + TIME(13,24,4)</f>
        <v>40405.558379629627</v>
      </c>
      <c r="C613">
        <v>80</v>
      </c>
      <c r="D613">
        <v>79.950988769999995</v>
      </c>
      <c r="E613">
        <v>60</v>
      </c>
      <c r="F613">
        <v>18.570705413999999</v>
      </c>
      <c r="G613">
        <v>1340.5017089999999</v>
      </c>
      <c r="H613">
        <v>1338.0731201000001</v>
      </c>
      <c r="I613">
        <v>1320.7756348</v>
      </c>
      <c r="J613">
        <v>1316.1273193</v>
      </c>
      <c r="K613">
        <v>2750</v>
      </c>
      <c r="L613">
        <v>0</v>
      </c>
      <c r="M613">
        <v>0</v>
      </c>
      <c r="N613">
        <v>2750</v>
      </c>
    </row>
    <row r="614" spans="1:14" x14ac:dyDescent="0.25">
      <c r="A614">
        <v>106.857399</v>
      </c>
      <c r="B614" s="1">
        <f>DATE(2010,8,15) + TIME(20,34,39)</f>
        <v>40405.857395833336</v>
      </c>
      <c r="C614">
        <v>80</v>
      </c>
      <c r="D614">
        <v>79.951004028</v>
      </c>
      <c r="E614">
        <v>60</v>
      </c>
      <c r="F614">
        <v>18.748338699000001</v>
      </c>
      <c r="G614">
        <v>1340.4990233999999</v>
      </c>
      <c r="H614">
        <v>1338.0709228999999</v>
      </c>
      <c r="I614">
        <v>1320.7803954999999</v>
      </c>
      <c r="J614">
        <v>1316.1359863</v>
      </c>
      <c r="K614">
        <v>2750</v>
      </c>
      <c r="L614">
        <v>0</v>
      </c>
      <c r="M614">
        <v>0</v>
      </c>
      <c r="N614">
        <v>2750</v>
      </c>
    </row>
    <row r="615" spans="1:14" x14ac:dyDescent="0.25">
      <c r="A615">
        <v>107.15641599999999</v>
      </c>
      <c r="B615" s="1">
        <f>DATE(2010,8,16) + TIME(3,45,14)</f>
        <v>40406.156412037039</v>
      </c>
      <c r="C615">
        <v>80</v>
      </c>
      <c r="D615">
        <v>79.951019286999994</v>
      </c>
      <c r="E615">
        <v>60</v>
      </c>
      <c r="F615">
        <v>18.929521561000001</v>
      </c>
      <c r="G615">
        <v>1340.4963379000001</v>
      </c>
      <c r="H615">
        <v>1338.0686035000001</v>
      </c>
      <c r="I615">
        <v>1320.7851562000001</v>
      </c>
      <c r="J615">
        <v>1316.1447754000001</v>
      </c>
      <c r="K615">
        <v>2750</v>
      </c>
      <c r="L615">
        <v>0</v>
      </c>
      <c r="M615">
        <v>0</v>
      </c>
      <c r="N615">
        <v>2750</v>
      </c>
    </row>
    <row r="616" spans="1:14" x14ac:dyDescent="0.25">
      <c r="A616">
        <v>107.455432</v>
      </c>
      <c r="B616" s="1">
        <f>DATE(2010,8,16) + TIME(10,55,49)</f>
        <v>40406.455428240741</v>
      </c>
      <c r="C616">
        <v>80</v>
      </c>
      <c r="D616">
        <v>79.951026916999993</v>
      </c>
      <c r="E616">
        <v>60</v>
      </c>
      <c r="F616">
        <v>19.114475250000002</v>
      </c>
      <c r="G616">
        <v>1340.4935303</v>
      </c>
      <c r="H616">
        <v>1338.0664062000001</v>
      </c>
      <c r="I616">
        <v>1320.7897949000001</v>
      </c>
      <c r="J616">
        <v>1316.1535644999999</v>
      </c>
      <c r="K616">
        <v>2750</v>
      </c>
      <c r="L616">
        <v>0</v>
      </c>
      <c r="M616">
        <v>0</v>
      </c>
      <c r="N616">
        <v>2750</v>
      </c>
    </row>
    <row r="617" spans="1:14" x14ac:dyDescent="0.25">
      <c r="A617">
        <v>107.75444899999999</v>
      </c>
      <c r="B617" s="1">
        <f>DATE(2010,8,16) + TIME(18,6,24)</f>
        <v>40406.754444444443</v>
      </c>
      <c r="C617">
        <v>80</v>
      </c>
      <c r="D617">
        <v>79.951042174999998</v>
      </c>
      <c r="E617">
        <v>60</v>
      </c>
      <c r="F617">
        <v>19.303300858</v>
      </c>
      <c r="G617">
        <v>1340.4908447</v>
      </c>
      <c r="H617">
        <v>1338.0642089999999</v>
      </c>
      <c r="I617">
        <v>1320.7945557</v>
      </c>
      <c r="J617">
        <v>1316.1625977000001</v>
      </c>
      <c r="K617">
        <v>2750</v>
      </c>
      <c r="L617">
        <v>0</v>
      </c>
      <c r="M617">
        <v>0</v>
      </c>
      <c r="N617">
        <v>2750</v>
      </c>
    </row>
    <row r="618" spans="1:14" x14ac:dyDescent="0.25">
      <c r="A618">
        <v>108.053466</v>
      </c>
      <c r="B618" s="1">
        <f>DATE(2010,8,17) + TIME(1,16,59)</f>
        <v>40407.053460648145</v>
      </c>
      <c r="C618">
        <v>80</v>
      </c>
      <c r="D618">
        <v>79.951057434000006</v>
      </c>
      <c r="E618">
        <v>60</v>
      </c>
      <c r="F618">
        <v>19.496011734</v>
      </c>
      <c r="G618">
        <v>1340.4881591999999</v>
      </c>
      <c r="H618">
        <v>1338.0618896000001</v>
      </c>
      <c r="I618">
        <v>1320.7991943</v>
      </c>
      <c r="J618">
        <v>1316.1717529</v>
      </c>
      <c r="K618">
        <v>2750</v>
      </c>
      <c r="L618">
        <v>0</v>
      </c>
      <c r="M618">
        <v>0</v>
      </c>
      <c r="N618">
        <v>2750</v>
      </c>
    </row>
    <row r="619" spans="1:14" x14ac:dyDescent="0.25">
      <c r="A619">
        <v>108.35248300000001</v>
      </c>
      <c r="B619" s="1">
        <f>DATE(2010,8,17) + TIME(8,27,34)</f>
        <v>40407.352476851855</v>
      </c>
      <c r="C619">
        <v>80</v>
      </c>
      <c r="D619">
        <v>79.951072693</v>
      </c>
      <c r="E619">
        <v>60</v>
      </c>
      <c r="F619">
        <v>19.692558289000001</v>
      </c>
      <c r="G619">
        <v>1340.4854736</v>
      </c>
      <c r="H619">
        <v>1338.0596923999999</v>
      </c>
      <c r="I619">
        <v>1320.8039550999999</v>
      </c>
      <c r="J619">
        <v>1316.1810303</v>
      </c>
      <c r="K619">
        <v>2750</v>
      </c>
      <c r="L619">
        <v>0</v>
      </c>
      <c r="M619">
        <v>0</v>
      </c>
      <c r="N619">
        <v>2750</v>
      </c>
    </row>
    <row r="620" spans="1:14" x14ac:dyDescent="0.25">
      <c r="A620">
        <v>108.6515</v>
      </c>
      <c r="B620" s="1">
        <f>DATE(2010,8,17) + TIME(15,38,9)</f>
        <v>40407.651493055557</v>
      </c>
      <c r="C620">
        <v>80</v>
      </c>
      <c r="D620">
        <v>79.951087951999995</v>
      </c>
      <c r="E620">
        <v>60</v>
      </c>
      <c r="F620">
        <v>19.892860413000001</v>
      </c>
      <c r="G620">
        <v>1340.4826660000001</v>
      </c>
      <c r="H620">
        <v>1338.0574951000001</v>
      </c>
      <c r="I620">
        <v>1320.8084716999999</v>
      </c>
      <c r="J620">
        <v>1316.1904297000001</v>
      </c>
      <c r="K620">
        <v>2750</v>
      </c>
      <c r="L620">
        <v>0</v>
      </c>
      <c r="M620">
        <v>0</v>
      </c>
      <c r="N620">
        <v>2750</v>
      </c>
    </row>
    <row r="621" spans="1:14" x14ac:dyDescent="0.25">
      <c r="A621">
        <v>108.950517</v>
      </c>
      <c r="B621" s="1">
        <f>DATE(2010,8,17) + TIME(22,48,44)</f>
        <v>40407.950509259259</v>
      </c>
      <c r="C621">
        <v>80</v>
      </c>
      <c r="D621">
        <v>79.951103209999999</v>
      </c>
      <c r="E621">
        <v>60</v>
      </c>
      <c r="F621">
        <v>20.096939086999999</v>
      </c>
      <c r="G621">
        <v>1340.4799805</v>
      </c>
      <c r="H621">
        <v>1338.0552978999999</v>
      </c>
      <c r="I621">
        <v>1320.8131103999999</v>
      </c>
      <c r="J621">
        <v>1316.1999512</v>
      </c>
      <c r="K621">
        <v>2750</v>
      </c>
      <c r="L621">
        <v>0</v>
      </c>
      <c r="M621">
        <v>0</v>
      </c>
      <c r="N621">
        <v>2750</v>
      </c>
    </row>
    <row r="622" spans="1:14" x14ac:dyDescent="0.25">
      <c r="A622">
        <v>109.249534</v>
      </c>
      <c r="B622" s="1">
        <f>DATE(2010,8,18) + TIME(5,59,19)</f>
        <v>40408.249525462961</v>
      </c>
      <c r="C622">
        <v>80</v>
      </c>
      <c r="D622">
        <v>79.951118468999994</v>
      </c>
      <c r="E622">
        <v>60</v>
      </c>
      <c r="F622">
        <v>20.304725647000001</v>
      </c>
      <c r="G622">
        <v>1340.4772949000001</v>
      </c>
      <c r="H622">
        <v>1338.0531006000001</v>
      </c>
      <c r="I622">
        <v>1320.8176269999999</v>
      </c>
      <c r="J622">
        <v>1316.2095947</v>
      </c>
      <c r="K622">
        <v>2750</v>
      </c>
      <c r="L622">
        <v>0</v>
      </c>
      <c r="M622">
        <v>0</v>
      </c>
      <c r="N622">
        <v>2750</v>
      </c>
    </row>
    <row r="623" spans="1:14" x14ac:dyDescent="0.25">
      <c r="A623">
        <v>109.548551</v>
      </c>
      <c r="B623" s="1">
        <f>DATE(2010,8,18) + TIME(13,9,54)</f>
        <v>40408.548541666663</v>
      </c>
      <c r="C623">
        <v>80</v>
      </c>
      <c r="D623">
        <v>79.951126099000007</v>
      </c>
      <c r="E623">
        <v>60</v>
      </c>
      <c r="F623">
        <v>20.516002655000001</v>
      </c>
      <c r="G623">
        <v>1340.4747314000001</v>
      </c>
      <c r="H623">
        <v>1338.0509033000001</v>
      </c>
      <c r="I623">
        <v>1320.8221435999999</v>
      </c>
      <c r="J623">
        <v>1316.2193603999999</v>
      </c>
      <c r="K623">
        <v>2750</v>
      </c>
      <c r="L623">
        <v>0</v>
      </c>
      <c r="M623">
        <v>0</v>
      </c>
      <c r="N623">
        <v>2750</v>
      </c>
    </row>
    <row r="624" spans="1:14" x14ac:dyDescent="0.25">
      <c r="A624">
        <v>109.847568</v>
      </c>
      <c r="B624" s="1">
        <f>DATE(2010,8,18) + TIME(20,20,29)</f>
        <v>40408.847557870373</v>
      </c>
      <c r="C624">
        <v>80</v>
      </c>
      <c r="D624">
        <v>79.951141356999997</v>
      </c>
      <c r="E624">
        <v>60</v>
      </c>
      <c r="F624">
        <v>20.730648040999998</v>
      </c>
      <c r="G624">
        <v>1340.4720459</v>
      </c>
      <c r="H624">
        <v>1338.0487060999999</v>
      </c>
      <c r="I624">
        <v>1320.8265381000001</v>
      </c>
      <c r="J624">
        <v>1316.229126</v>
      </c>
      <c r="K624">
        <v>2750</v>
      </c>
      <c r="L624">
        <v>0</v>
      </c>
      <c r="M624">
        <v>0</v>
      </c>
      <c r="N624">
        <v>2750</v>
      </c>
    </row>
    <row r="625" spans="1:14" x14ac:dyDescent="0.25">
      <c r="A625">
        <v>110.146585</v>
      </c>
      <c r="B625" s="1">
        <f>DATE(2010,8,19) + TIME(3,31,4)</f>
        <v>40409.146574074075</v>
      </c>
      <c r="C625">
        <v>80</v>
      </c>
      <c r="D625">
        <v>79.951156616000006</v>
      </c>
      <c r="E625">
        <v>60</v>
      </c>
      <c r="F625">
        <v>20.948537826999999</v>
      </c>
      <c r="G625">
        <v>1340.4693603999999</v>
      </c>
      <c r="H625">
        <v>1338.0465088000001</v>
      </c>
      <c r="I625">
        <v>1320.8309326000001</v>
      </c>
      <c r="J625">
        <v>1316.2391356999999</v>
      </c>
      <c r="K625">
        <v>2750</v>
      </c>
      <c r="L625">
        <v>0</v>
      </c>
      <c r="M625">
        <v>0</v>
      </c>
      <c r="N625">
        <v>2750</v>
      </c>
    </row>
    <row r="626" spans="1:14" x14ac:dyDescent="0.25">
      <c r="A626">
        <v>110.44560199999999</v>
      </c>
      <c r="B626" s="1">
        <f>DATE(2010,8,19) + TIME(10,41,39)</f>
        <v>40409.445590277777</v>
      </c>
      <c r="C626">
        <v>80</v>
      </c>
      <c r="D626">
        <v>79.951171875</v>
      </c>
      <c r="E626">
        <v>60</v>
      </c>
      <c r="F626">
        <v>21.169549942</v>
      </c>
      <c r="G626">
        <v>1340.4666748</v>
      </c>
      <c r="H626">
        <v>1338.0443115</v>
      </c>
      <c r="I626">
        <v>1320.8353271000001</v>
      </c>
      <c r="J626">
        <v>1316.2492675999999</v>
      </c>
      <c r="K626">
        <v>2750</v>
      </c>
      <c r="L626">
        <v>0</v>
      </c>
      <c r="M626">
        <v>0</v>
      </c>
      <c r="N626">
        <v>2750</v>
      </c>
    </row>
    <row r="627" spans="1:14" x14ac:dyDescent="0.25">
      <c r="A627">
        <v>110.744618</v>
      </c>
      <c r="B627" s="1">
        <f>DATE(2010,8,19) + TIME(17,52,15)</f>
        <v>40409.744618055556</v>
      </c>
      <c r="C627">
        <v>80</v>
      </c>
      <c r="D627">
        <v>79.951187133999994</v>
      </c>
      <c r="E627">
        <v>60</v>
      </c>
      <c r="F627">
        <v>21.393562317000001</v>
      </c>
      <c r="G627">
        <v>1340.4641113</v>
      </c>
      <c r="H627">
        <v>1338.0421143000001</v>
      </c>
      <c r="I627">
        <v>1320.8397216999999</v>
      </c>
      <c r="J627">
        <v>1316.2595214999999</v>
      </c>
      <c r="K627">
        <v>2750</v>
      </c>
      <c r="L627">
        <v>0</v>
      </c>
      <c r="M627">
        <v>0</v>
      </c>
      <c r="N627">
        <v>2750</v>
      </c>
    </row>
    <row r="628" spans="1:14" x14ac:dyDescent="0.25">
      <c r="A628">
        <v>111.342652</v>
      </c>
      <c r="B628" s="1">
        <f>DATE(2010,8,20) + TIME(8,13,25)</f>
        <v>40410.342650462961</v>
      </c>
      <c r="C628">
        <v>80</v>
      </c>
      <c r="D628">
        <v>79.951217650999993</v>
      </c>
      <c r="E628">
        <v>60</v>
      </c>
      <c r="F628">
        <v>21.736623764000001</v>
      </c>
      <c r="G628">
        <v>1340.4615478999999</v>
      </c>
      <c r="H628">
        <v>1338.0400391000001</v>
      </c>
      <c r="I628">
        <v>1320.8381348</v>
      </c>
      <c r="J628">
        <v>1316.2714844</v>
      </c>
      <c r="K628">
        <v>2750</v>
      </c>
      <c r="L628">
        <v>0</v>
      </c>
      <c r="M628">
        <v>0</v>
      </c>
      <c r="N628">
        <v>2750</v>
      </c>
    </row>
    <row r="629" spans="1:14" x14ac:dyDescent="0.25">
      <c r="A629">
        <v>111.944999</v>
      </c>
      <c r="B629" s="1">
        <f>DATE(2010,8,20) + TIME(22,40,47)</f>
        <v>40410.944988425923</v>
      </c>
      <c r="C629">
        <v>80</v>
      </c>
      <c r="D629">
        <v>79.951248168999996</v>
      </c>
      <c r="E629">
        <v>60</v>
      </c>
      <c r="F629">
        <v>22.142274857</v>
      </c>
      <c r="G629">
        <v>1340.4562988</v>
      </c>
      <c r="H629">
        <v>1338.0357666</v>
      </c>
      <c r="I629">
        <v>1320.8487548999999</v>
      </c>
      <c r="J629">
        <v>1316.2907714999999</v>
      </c>
      <c r="K629">
        <v>2750</v>
      </c>
      <c r="L629">
        <v>0</v>
      </c>
      <c r="M629">
        <v>0</v>
      </c>
      <c r="N629">
        <v>2750</v>
      </c>
    </row>
    <row r="630" spans="1:14" x14ac:dyDescent="0.25">
      <c r="A630">
        <v>112.577333</v>
      </c>
      <c r="B630" s="1">
        <f>DATE(2010,8,21) + TIME(13,51,21)</f>
        <v>40411.577326388891</v>
      </c>
      <c r="C630">
        <v>80</v>
      </c>
      <c r="D630">
        <v>79.951286315999994</v>
      </c>
      <c r="E630">
        <v>60</v>
      </c>
      <c r="F630">
        <v>22.58855629</v>
      </c>
      <c r="G630">
        <v>1340.4510498</v>
      </c>
      <c r="H630">
        <v>1338.0314940999999</v>
      </c>
      <c r="I630">
        <v>1320.8580322</v>
      </c>
      <c r="J630">
        <v>1316.3111572</v>
      </c>
      <c r="K630">
        <v>2750</v>
      </c>
      <c r="L630">
        <v>0</v>
      </c>
      <c r="M630">
        <v>0</v>
      </c>
      <c r="N630">
        <v>2750</v>
      </c>
    </row>
    <row r="631" spans="1:14" x14ac:dyDescent="0.25">
      <c r="A631">
        <v>113.240942</v>
      </c>
      <c r="B631" s="1">
        <f>DATE(2010,8,22) + TIME(5,46,57)</f>
        <v>40412.240937499999</v>
      </c>
      <c r="C631">
        <v>80</v>
      </c>
      <c r="D631">
        <v>79.951316833000007</v>
      </c>
      <c r="E631">
        <v>60</v>
      </c>
      <c r="F631">
        <v>23.072114943999999</v>
      </c>
      <c r="G631">
        <v>1340.4455565999999</v>
      </c>
      <c r="H631">
        <v>1338.0269774999999</v>
      </c>
      <c r="I631">
        <v>1320.8675536999999</v>
      </c>
      <c r="J631">
        <v>1316.3331298999999</v>
      </c>
      <c r="K631">
        <v>2750</v>
      </c>
      <c r="L631">
        <v>0</v>
      </c>
      <c r="M631">
        <v>0</v>
      </c>
      <c r="N631">
        <v>2750</v>
      </c>
    </row>
    <row r="632" spans="1:14" x14ac:dyDescent="0.25">
      <c r="A632">
        <v>113.90589799999999</v>
      </c>
      <c r="B632" s="1">
        <f>DATE(2010,8,22) + TIME(21,44,29)</f>
        <v>40412.905891203707</v>
      </c>
      <c r="C632">
        <v>80</v>
      </c>
      <c r="D632">
        <v>79.951347350999995</v>
      </c>
      <c r="E632">
        <v>60</v>
      </c>
      <c r="F632">
        <v>23.583543776999999</v>
      </c>
      <c r="G632">
        <v>1340.4399414</v>
      </c>
      <c r="H632">
        <v>1338.0223389</v>
      </c>
      <c r="I632">
        <v>1320.8779297000001</v>
      </c>
      <c r="J632">
        <v>1316.3565673999999</v>
      </c>
      <c r="K632">
        <v>2750</v>
      </c>
      <c r="L632">
        <v>0</v>
      </c>
      <c r="M632">
        <v>0</v>
      </c>
      <c r="N632">
        <v>2750</v>
      </c>
    </row>
    <row r="633" spans="1:14" x14ac:dyDescent="0.25">
      <c r="A633">
        <v>114.577231</v>
      </c>
      <c r="B633" s="1">
        <f>DATE(2010,8,23) + TIME(13,51,12)</f>
        <v>40413.577222222222</v>
      </c>
      <c r="C633">
        <v>80</v>
      </c>
      <c r="D633">
        <v>79.951377868999998</v>
      </c>
      <c r="E633">
        <v>60</v>
      </c>
      <c r="F633">
        <v>24.117858887000001</v>
      </c>
      <c r="G633">
        <v>1340.4343262</v>
      </c>
      <c r="H633">
        <v>1338.0175781</v>
      </c>
      <c r="I633">
        <v>1320.8878173999999</v>
      </c>
      <c r="J633">
        <v>1316.3807373</v>
      </c>
      <c r="K633">
        <v>2750</v>
      </c>
      <c r="L633">
        <v>0</v>
      </c>
      <c r="M633">
        <v>0</v>
      </c>
      <c r="N633">
        <v>2750</v>
      </c>
    </row>
    <row r="634" spans="1:14" x14ac:dyDescent="0.25">
      <c r="A634">
        <v>115.26332600000001</v>
      </c>
      <c r="B634" s="1">
        <f>DATE(2010,8,24) + TIME(6,19,11)</f>
        <v>40414.263321759259</v>
      </c>
      <c r="C634">
        <v>80</v>
      </c>
      <c r="D634">
        <v>79.951416015999996</v>
      </c>
      <c r="E634">
        <v>60</v>
      </c>
      <c r="F634">
        <v>24.674791335999998</v>
      </c>
      <c r="G634">
        <v>1340.4285889</v>
      </c>
      <c r="H634">
        <v>1338.0129394999999</v>
      </c>
      <c r="I634">
        <v>1320.8974608999999</v>
      </c>
      <c r="J634">
        <v>1316.4056396000001</v>
      </c>
      <c r="K634">
        <v>2750</v>
      </c>
      <c r="L634">
        <v>0</v>
      </c>
      <c r="M634">
        <v>0</v>
      </c>
      <c r="N634">
        <v>2750</v>
      </c>
    </row>
    <row r="635" spans="1:14" x14ac:dyDescent="0.25">
      <c r="A635">
        <v>115.953954</v>
      </c>
      <c r="B635" s="1">
        <f>DATE(2010,8,24) + TIME(22,53,41)</f>
        <v>40414.953946759262</v>
      </c>
      <c r="C635">
        <v>80</v>
      </c>
      <c r="D635">
        <v>79.951446532999995</v>
      </c>
      <c r="E635">
        <v>60</v>
      </c>
      <c r="F635">
        <v>25.248647689999999</v>
      </c>
      <c r="G635">
        <v>1340.4228516000001</v>
      </c>
      <c r="H635">
        <v>1338.0083007999999</v>
      </c>
      <c r="I635">
        <v>1320.9072266000001</v>
      </c>
      <c r="J635">
        <v>1316.4312743999999</v>
      </c>
      <c r="K635">
        <v>2750</v>
      </c>
      <c r="L635">
        <v>0</v>
      </c>
      <c r="M635">
        <v>0</v>
      </c>
      <c r="N635">
        <v>2750</v>
      </c>
    </row>
    <row r="636" spans="1:14" x14ac:dyDescent="0.25">
      <c r="A636">
        <v>116.646625</v>
      </c>
      <c r="B636" s="1">
        <f>DATE(2010,8,25) + TIME(15,31,8)</f>
        <v>40415.646620370368</v>
      </c>
      <c r="C636">
        <v>80</v>
      </c>
      <c r="D636">
        <v>79.951484679999993</v>
      </c>
      <c r="E636">
        <v>60</v>
      </c>
      <c r="F636">
        <v>25.831493378000001</v>
      </c>
      <c r="G636">
        <v>1340.4171143000001</v>
      </c>
      <c r="H636">
        <v>1338.0035399999999</v>
      </c>
      <c r="I636">
        <v>1320.9168701000001</v>
      </c>
      <c r="J636">
        <v>1316.4573975000001</v>
      </c>
      <c r="K636">
        <v>2750</v>
      </c>
      <c r="L636">
        <v>0</v>
      </c>
      <c r="M636">
        <v>0</v>
      </c>
      <c r="N636">
        <v>2750</v>
      </c>
    </row>
    <row r="637" spans="1:14" x14ac:dyDescent="0.25">
      <c r="A637">
        <v>117.34322899999999</v>
      </c>
      <c r="B637" s="1">
        <f>DATE(2010,8,26) + TIME(8,14,15)</f>
        <v>40416.343229166669</v>
      </c>
      <c r="C637">
        <v>80</v>
      </c>
      <c r="D637">
        <v>79.951515197999996</v>
      </c>
      <c r="E637">
        <v>60</v>
      </c>
      <c r="F637">
        <v>26.416471480999999</v>
      </c>
      <c r="G637">
        <v>1340.411499</v>
      </c>
      <c r="H637">
        <v>1337.9989014</v>
      </c>
      <c r="I637">
        <v>1320.9263916</v>
      </c>
      <c r="J637">
        <v>1316.4837646000001</v>
      </c>
      <c r="K637">
        <v>2750</v>
      </c>
      <c r="L637">
        <v>0</v>
      </c>
      <c r="M637">
        <v>0</v>
      </c>
      <c r="N637">
        <v>2750</v>
      </c>
    </row>
    <row r="638" spans="1:14" x14ac:dyDescent="0.25">
      <c r="A638">
        <v>118.04156500000001</v>
      </c>
      <c r="B638" s="1">
        <f>DATE(2010,8,27) + TIME(0,59,51)</f>
        <v>40417.041562500002</v>
      </c>
      <c r="C638">
        <v>80</v>
      </c>
      <c r="D638">
        <v>79.951545714999995</v>
      </c>
      <c r="E638">
        <v>60</v>
      </c>
      <c r="F638">
        <v>26.997360229000002</v>
      </c>
      <c r="G638">
        <v>1340.4058838000001</v>
      </c>
      <c r="H638">
        <v>1337.9942627</v>
      </c>
      <c r="I638">
        <v>1320.9361572</v>
      </c>
      <c r="J638">
        <v>1316.5101318</v>
      </c>
      <c r="K638">
        <v>2750</v>
      </c>
      <c r="L638">
        <v>0</v>
      </c>
      <c r="M638">
        <v>0</v>
      </c>
      <c r="N638">
        <v>2750</v>
      </c>
    </row>
    <row r="639" spans="1:14" x14ac:dyDescent="0.25">
      <c r="A639">
        <v>118.74344499999999</v>
      </c>
      <c r="B639" s="1">
        <f>DATE(2010,8,27) + TIME(17,50,33)</f>
        <v>40417.743437500001</v>
      </c>
      <c r="C639">
        <v>80</v>
      </c>
      <c r="D639">
        <v>79.951583862000007</v>
      </c>
      <c r="E639">
        <v>60</v>
      </c>
      <c r="F639">
        <v>27.569908141999999</v>
      </c>
      <c r="G639">
        <v>1340.4002685999999</v>
      </c>
      <c r="H639">
        <v>1337.989624</v>
      </c>
      <c r="I639">
        <v>1320.9460449000001</v>
      </c>
      <c r="J639">
        <v>1316.5366211</v>
      </c>
      <c r="K639">
        <v>2750</v>
      </c>
      <c r="L639">
        <v>0</v>
      </c>
      <c r="M639">
        <v>0</v>
      </c>
      <c r="N639">
        <v>2750</v>
      </c>
    </row>
    <row r="640" spans="1:14" x14ac:dyDescent="0.25">
      <c r="A640">
        <v>119.450946</v>
      </c>
      <c r="B640" s="1">
        <f>DATE(2010,8,28) + TIME(10,49,21)</f>
        <v>40418.450937499998</v>
      </c>
      <c r="C640">
        <v>80</v>
      </c>
      <c r="D640">
        <v>79.951614379999995</v>
      </c>
      <c r="E640">
        <v>60</v>
      </c>
      <c r="F640">
        <v>28.132062911999999</v>
      </c>
      <c r="G640">
        <v>1340.3946533000001</v>
      </c>
      <c r="H640">
        <v>1337.9851074000001</v>
      </c>
      <c r="I640">
        <v>1320.9562988</v>
      </c>
      <c r="J640">
        <v>1316.5631103999999</v>
      </c>
      <c r="K640">
        <v>2750</v>
      </c>
      <c r="L640">
        <v>0</v>
      </c>
      <c r="M640">
        <v>0</v>
      </c>
      <c r="N640">
        <v>2750</v>
      </c>
    </row>
    <row r="641" spans="1:14" x14ac:dyDescent="0.25">
      <c r="A641">
        <v>120.166267</v>
      </c>
      <c r="B641" s="1">
        <f>DATE(2010,8,29) + TIME(3,59,25)</f>
        <v>40419.166261574072</v>
      </c>
      <c r="C641">
        <v>80</v>
      </c>
      <c r="D641">
        <v>79.951652526999993</v>
      </c>
      <c r="E641">
        <v>60</v>
      </c>
      <c r="F641">
        <v>28.683694839000001</v>
      </c>
      <c r="G641">
        <v>1340.3891602000001</v>
      </c>
      <c r="H641">
        <v>1337.9805908000001</v>
      </c>
      <c r="I641">
        <v>1320.9670410000001</v>
      </c>
      <c r="J641">
        <v>1316.5895995999999</v>
      </c>
      <c r="K641">
        <v>2750</v>
      </c>
      <c r="L641">
        <v>0</v>
      </c>
      <c r="M641">
        <v>0</v>
      </c>
      <c r="N641">
        <v>2750</v>
      </c>
    </row>
    <row r="642" spans="1:14" x14ac:dyDescent="0.25">
      <c r="A642">
        <v>120.891728</v>
      </c>
      <c r="B642" s="1">
        <f>DATE(2010,8,29) + TIME(21,24,5)</f>
        <v>40419.891724537039</v>
      </c>
      <c r="C642">
        <v>80</v>
      </c>
      <c r="D642">
        <v>79.951690674000005</v>
      </c>
      <c r="E642">
        <v>60</v>
      </c>
      <c r="F642">
        <v>29.225675583000001</v>
      </c>
      <c r="G642">
        <v>1340.3835449000001</v>
      </c>
      <c r="H642">
        <v>1337.9759521000001</v>
      </c>
      <c r="I642">
        <v>1320.9781493999999</v>
      </c>
      <c r="J642">
        <v>1316.6163329999999</v>
      </c>
      <c r="K642">
        <v>2750</v>
      </c>
      <c r="L642">
        <v>0</v>
      </c>
      <c r="M642">
        <v>0</v>
      </c>
      <c r="N642">
        <v>2750</v>
      </c>
    </row>
    <row r="643" spans="1:14" x14ac:dyDescent="0.25">
      <c r="A643">
        <v>121.629656</v>
      </c>
      <c r="B643" s="1">
        <f>DATE(2010,8,30) + TIME(15,6,42)</f>
        <v>40420.629652777781</v>
      </c>
      <c r="C643">
        <v>80</v>
      </c>
      <c r="D643">
        <v>79.951721191000004</v>
      </c>
      <c r="E643">
        <v>60</v>
      </c>
      <c r="F643">
        <v>29.75945282</v>
      </c>
      <c r="G643">
        <v>1340.3780518000001</v>
      </c>
      <c r="H643">
        <v>1337.9714355000001</v>
      </c>
      <c r="I643">
        <v>1320.9898682</v>
      </c>
      <c r="J643">
        <v>1316.6431885</v>
      </c>
      <c r="K643">
        <v>2750</v>
      </c>
      <c r="L643">
        <v>0</v>
      </c>
      <c r="M643">
        <v>0</v>
      </c>
      <c r="N643">
        <v>2750</v>
      </c>
    </row>
    <row r="644" spans="1:14" x14ac:dyDescent="0.25">
      <c r="A644">
        <v>122.000789</v>
      </c>
      <c r="B644" s="1">
        <f>DATE(2010,8,31) + TIME(0,1,8)</f>
        <v>40421.000787037039</v>
      </c>
      <c r="C644">
        <v>80</v>
      </c>
      <c r="D644">
        <v>79.951736449999999</v>
      </c>
      <c r="E644">
        <v>60</v>
      </c>
      <c r="F644">
        <v>30.128442763999999</v>
      </c>
      <c r="G644">
        <v>1340.3724365</v>
      </c>
      <c r="H644">
        <v>1337.9669189000001</v>
      </c>
      <c r="I644">
        <v>1321.0083007999999</v>
      </c>
      <c r="J644">
        <v>1316.6674805</v>
      </c>
      <c r="K644">
        <v>2750</v>
      </c>
      <c r="L644">
        <v>0</v>
      </c>
      <c r="M644">
        <v>0</v>
      </c>
      <c r="N644">
        <v>2750</v>
      </c>
    </row>
    <row r="645" spans="1:14" x14ac:dyDescent="0.25">
      <c r="A645">
        <v>122.371849</v>
      </c>
      <c r="B645" s="1">
        <f>DATE(2010,8,31) + TIME(8,55,27)</f>
        <v>40421.371840277781</v>
      </c>
      <c r="C645">
        <v>80</v>
      </c>
      <c r="D645">
        <v>79.951751709000007</v>
      </c>
      <c r="E645">
        <v>60</v>
      </c>
      <c r="F645">
        <v>30.450124741</v>
      </c>
      <c r="G645">
        <v>1340.3696289</v>
      </c>
      <c r="H645">
        <v>1337.9645995999999</v>
      </c>
      <c r="I645">
        <v>1321.0124512</v>
      </c>
      <c r="J645">
        <v>1316.6831055</v>
      </c>
      <c r="K645">
        <v>2750</v>
      </c>
      <c r="L645">
        <v>0</v>
      </c>
      <c r="M645">
        <v>0</v>
      </c>
      <c r="N645">
        <v>2750</v>
      </c>
    </row>
    <row r="646" spans="1:14" x14ac:dyDescent="0.25">
      <c r="A646">
        <v>123</v>
      </c>
      <c r="B646" s="1">
        <f>DATE(2010,9,1) + TIME(0,0,0)</f>
        <v>40422</v>
      </c>
      <c r="C646">
        <v>80</v>
      </c>
      <c r="D646">
        <v>79.951789856000005</v>
      </c>
      <c r="E646">
        <v>60</v>
      </c>
      <c r="F646">
        <v>30.835231781000001</v>
      </c>
      <c r="G646">
        <v>1340.3668213000001</v>
      </c>
      <c r="H646">
        <v>1337.9622803</v>
      </c>
      <c r="I646">
        <v>1321.0141602000001</v>
      </c>
      <c r="J646">
        <v>1316.699707</v>
      </c>
      <c r="K646">
        <v>2750</v>
      </c>
      <c r="L646">
        <v>0</v>
      </c>
      <c r="M646">
        <v>0</v>
      </c>
      <c r="N646">
        <v>2750</v>
      </c>
    </row>
    <row r="647" spans="1:14" x14ac:dyDescent="0.25">
      <c r="A647">
        <v>123.370304</v>
      </c>
      <c r="B647" s="1">
        <f>DATE(2010,9,1) + TIME(8,53,14)</f>
        <v>40422.370300925926</v>
      </c>
      <c r="C647">
        <v>80</v>
      </c>
      <c r="D647">
        <v>79.951805114999999</v>
      </c>
      <c r="E647">
        <v>60</v>
      </c>
      <c r="F647">
        <v>31.139448166000001</v>
      </c>
      <c r="G647">
        <v>1340.3621826000001</v>
      </c>
      <c r="H647">
        <v>1337.9584961</v>
      </c>
      <c r="I647">
        <v>1321.0295410000001</v>
      </c>
      <c r="J647">
        <v>1316.7200928</v>
      </c>
      <c r="K647">
        <v>2750</v>
      </c>
      <c r="L647">
        <v>0</v>
      </c>
      <c r="M647">
        <v>0</v>
      </c>
      <c r="N647">
        <v>2750</v>
      </c>
    </row>
    <row r="648" spans="1:14" x14ac:dyDescent="0.25">
      <c r="A648">
        <v>123.73966</v>
      </c>
      <c r="B648" s="1">
        <f>DATE(2010,9,1) + TIME(17,45,6)</f>
        <v>40422.739652777775</v>
      </c>
      <c r="C648">
        <v>80</v>
      </c>
      <c r="D648">
        <v>79.951820373999993</v>
      </c>
      <c r="E648">
        <v>60</v>
      </c>
      <c r="F648">
        <v>31.416860580000002</v>
      </c>
      <c r="G648">
        <v>1340.3594971</v>
      </c>
      <c r="H648">
        <v>1337.9562988</v>
      </c>
      <c r="I648">
        <v>1321.0350341999999</v>
      </c>
      <c r="J648">
        <v>1316.7347411999999</v>
      </c>
      <c r="K648">
        <v>2750</v>
      </c>
      <c r="L648">
        <v>0</v>
      </c>
      <c r="M648">
        <v>0</v>
      </c>
      <c r="N648">
        <v>2750</v>
      </c>
    </row>
    <row r="649" spans="1:14" x14ac:dyDescent="0.25">
      <c r="A649">
        <v>124.109015</v>
      </c>
      <c r="B649" s="1">
        <f>DATE(2010,9,2) + TIME(2,36,58)</f>
        <v>40423.10900462963</v>
      </c>
      <c r="C649">
        <v>80</v>
      </c>
      <c r="D649">
        <v>79.951835631999998</v>
      </c>
      <c r="E649">
        <v>60</v>
      </c>
      <c r="F649">
        <v>31.677314758000001</v>
      </c>
      <c r="G649">
        <v>1340.3566894999999</v>
      </c>
      <c r="H649">
        <v>1337.9539795000001</v>
      </c>
      <c r="I649">
        <v>1321.0411377</v>
      </c>
      <c r="J649">
        <v>1316.7489014</v>
      </c>
      <c r="K649">
        <v>2750</v>
      </c>
      <c r="L649">
        <v>0</v>
      </c>
      <c r="M649">
        <v>0</v>
      </c>
      <c r="N649">
        <v>2750</v>
      </c>
    </row>
    <row r="650" spans="1:14" x14ac:dyDescent="0.25">
      <c r="A650">
        <v>124.478371</v>
      </c>
      <c r="B650" s="1">
        <f>DATE(2010,9,2) + TIME(11,28,51)</f>
        <v>40423.478368055556</v>
      </c>
      <c r="C650">
        <v>80</v>
      </c>
      <c r="D650">
        <v>79.951858521000005</v>
      </c>
      <c r="E650">
        <v>60</v>
      </c>
      <c r="F650">
        <v>31.926502228</v>
      </c>
      <c r="G650">
        <v>1340.3540039</v>
      </c>
      <c r="H650">
        <v>1337.9517822</v>
      </c>
      <c r="I650">
        <v>1321.0474853999999</v>
      </c>
      <c r="J650">
        <v>1316.7628173999999</v>
      </c>
      <c r="K650">
        <v>2750</v>
      </c>
      <c r="L650">
        <v>0</v>
      </c>
      <c r="M650">
        <v>0</v>
      </c>
      <c r="N650">
        <v>2750</v>
      </c>
    </row>
    <row r="651" spans="1:14" x14ac:dyDescent="0.25">
      <c r="A651">
        <v>124.84772599999999</v>
      </c>
      <c r="B651" s="1">
        <f>DATE(2010,9,2) + TIME(20,20,43)</f>
        <v>40423.847719907404</v>
      </c>
      <c r="C651">
        <v>80</v>
      </c>
      <c r="D651">
        <v>79.951873778999996</v>
      </c>
      <c r="E651">
        <v>60</v>
      </c>
      <c r="F651">
        <v>32.167827606000003</v>
      </c>
      <c r="G651">
        <v>1340.3513184000001</v>
      </c>
      <c r="H651">
        <v>1337.949707</v>
      </c>
      <c r="I651">
        <v>1321.0540771000001</v>
      </c>
      <c r="J651">
        <v>1316.7766113</v>
      </c>
      <c r="K651">
        <v>2750</v>
      </c>
      <c r="L651">
        <v>0</v>
      </c>
      <c r="M651">
        <v>0</v>
      </c>
      <c r="N651">
        <v>2750</v>
      </c>
    </row>
    <row r="652" spans="1:14" x14ac:dyDescent="0.25">
      <c r="A652">
        <v>125.586437</v>
      </c>
      <c r="B652" s="1">
        <f>DATE(2010,9,3) + TIME(14,4,28)</f>
        <v>40424.586435185185</v>
      </c>
      <c r="C652">
        <v>80</v>
      </c>
      <c r="D652">
        <v>79.951919556000007</v>
      </c>
      <c r="E652">
        <v>60</v>
      </c>
      <c r="F652">
        <v>32.500877379999999</v>
      </c>
      <c r="G652">
        <v>1340.3487548999999</v>
      </c>
      <c r="H652">
        <v>1337.9475098</v>
      </c>
      <c r="I652">
        <v>1321.0571289</v>
      </c>
      <c r="J652">
        <v>1316.7922363</v>
      </c>
      <c r="K652">
        <v>2750</v>
      </c>
      <c r="L652">
        <v>0</v>
      </c>
      <c r="M652">
        <v>0</v>
      </c>
      <c r="N652">
        <v>2750</v>
      </c>
    </row>
    <row r="653" spans="1:14" x14ac:dyDescent="0.25">
      <c r="A653">
        <v>126.32563500000001</v>
      </c>
      <c r="B653" s="1">
        <f>DATE(2010,9,4) + TIME(7,48,54)</f>
        <v>40425.325624999998</v>
      </c>
      <c r="C653">
        <v>80</v>
      </c>
      <c r="D653">
        <v>79.951957703000005</v>
      </c>
      <c r="E653">
        <v>60</v>
      </c>
      <c r="F653">
        <v>32.901340484999999</v>
      </c>
      <c r="G653">
        <v>1340.3433838000001</v>
      </c>
      <c r="H653">
        <v>1337.9432373</v>
      </c>
      <c r="I653">
        <v>1321.0723877</v>
      </c>
      <c r="J653">
        <v>1316.8167725000001</v>
      </c>
      <c r="K653">
        <v>2750</v>
      </c>
      <c r="L653">
        <v>0</v>
      </c>
      <c r="M653">
        <v>0</v>
      </c>
      <c r="N653">
        <v>2750</v>
      </c>
    </row>
    <row r="654" spans="1:14" x14ac:dyDescent="0.25">
      <c r="A654">
        <v>127.072906</v>
      </c>
      <c r="B654" s="1">
        <f>DATE(2010,9,5) + TIME(1,44,59)</f>
        <v>40426.072905092595</v>
      </c>
      <c r="C654">
        <v>80</v>
      </c>
      <c r="D654">
        <v>79.951995850000003</v>
      </c>
      <c r="E654">
        <v>60</v>
      </c>
      <c r="F654">
        <v>33.325523376</v>
      </c>
      <c r="G654">
        <v>1340.3381348</v>
      </c>
      <c r="H654">
        <v>1337.9389647999999</v>
      </c>
      <c r="I654">
        <v>1321.0867920000001</v>
      </c>
      <c r="J654">
        <v>1316.8426514</v>
      </c>
      <c r="K654">
        <v>2750</v>
      </c>
      <c r="L654">
        <v>0</v>
      </c>
      <c r="M654">
        <v>0</v>
      </c>
      <c r="N654">
        <v>2750</v>
      </c>
    </row>
    <row r="655" spans="1:14" x14ac:dyDescent="0.25">
      <c r="A655">
        <v>127.830405</v>
      </c>
      <c r="B655" s="1">
        <f>DATE(2010,9,5) + TIME(19,55,47)</f>
        <v>40426.830405092594</v>
      </c>
      <c r="C655">
        <v>80</v>
      </c>
      <c r="D655">
        <v>79.952033997000001</v>
      </c>
      <c r="E655">
        <v>60</v>
      </c>
      <c r="F655">
        <v>33.756446838000002</v>
      </c>
      <c r="G655">
        <v>1340.3330077999999</v>
      </c>
      <c r="H655">
        <v>1337.9346923999999</v>
      </c>
      <c r="I655">
        <v>1321.1013184000001</v>
      </c>
      <c r="J655">
        <v>1316.8692627</v>
      </c>
      <c r="K655">
        <v>2750</v>
      </c>
      <c r="L655">
        <v>0</v>
      </c>
      <c r="M655">
        <v>0</v>
      </c>
      <c r="N655">
        <v>2750</v>
      </c>
    </row>
    <row r="656" spans="1:14" x14ac:dyDescent="0.25">
      <c r="A656">
        <v>128.596912</v>
      </c>
      <c r="B656" s="1">
        <f>DATE(2010,9,6) + TIME(14,19,33)</f>
        <v>40427.596909722219</v>
      </c>
      <c r="C656">
        <v>80</v>
      </c>
      <c r="D656">
        <v>79.952072143999999</v>
      </c>
      <c r="E656">
        <v>60</v>
      </c>
      <c r="F656">
        <v>34.186798095999997</v>
      </c>
      <c r="G656">
        <v>1340.3276367000001</v>
      </c>
      <c r="H656">
        <v>1337.9304199000001</v>
      </c>
      <c r="I656">
        <v>1321.1162108999999</v>
      </c>
      <c r="J656">
        <v>1316.8964844</v>
      </c>
      <c r="K656">
        <v>2750</v>
      </c>
      <c r="L656">
        <v>0</v>
      </c>
      <c r="M656">
        <v>0</v>
      </c>
      <c r="N656">
        <v>2750</v>
      </c>
    </row>
    <row r="657" spans="1:14" x14ac:dyDescent="0.25">
      <c r="A657">
        <v>129.37263899999999</v>
      </c>
      <c r="B657" s="1">
        <f>DATE(2010,9,7) + TIME(8,56,35)</f>
        <v>40428.372627314813</v>
      </c>
      <c r="C657">
        <v>80</v>
      </c>
      <c r="D657">
        <v>79.952110290999997</v>
      </c>
      <c r="E657">
        <v>60</v>
      </c>
      <c r="F657">
        <v>34.613296509000001</v>
      </c>
      <c r="G657">
        <v>1340.3223877</v>
      </c>
      <c r="H657">
        <v>1337.9261475000001</v>
      </c>
      <c r="I657">
        <v>1321.1312256000001</v>
      </c>
      <c r="J657">
        <v>1316.9241943</v>
      </c>
      <c r="K657">
        <v>2750</v>
      </c>
      <c r="L657">
        <v>0</v>
      </c>
      <c r="M657">
        <v>0</v>
      </c>
      <c r="N657">
        <v>2750</v>
      </c>
    </row>
    <row r="658" spans="1:14" x14ac:dyDescent="0.25">
      <c r="A658">
        <v>130.15519900000001</v>
      </c>
      <c r="B658" s="1">
        <f>DATE(2010,9,8) + TIME(3,43,29)</f>
        <v>40429.15519675926</v>
      </c>
      <c r="C658">
        <v>80</v>
      </c>
      <c r="D658">
        <v>79.952148437999995</v>
      </c>
      <c r="E658">
        <v>60</v>
      </c>
      <c r="F658">
        <v>35.034137725999997</v>
      </c>
      <c r="G658">
        <v>1340.3171387</v>
      </c>
      <c r="H658">
        <v>1337.921875</v>
      </c>
      <c r="I658">
        <v>1321.1467285000001</v>
      </c>
      <c r="J658">
        <v>1316.9521483999999</v>
      </c>
      <c r="K658">
        <v>2750</v>
      </c>
      <c r="L658">
        <v>0</v>
      </c>
      <c r="M658">
        <v>0</v>
      </c>
      <c r="N658">
        <v>2750</v>
      </c>
    </row>
    <row r="659" spans="1:14" x14ac:dyDescent="0.25">
      <c r="A659">
        <v>130.94710699999999</v>
      </c>
      <c r="B659" s="1">
        <f>DATE(2010,9,8) + TIME(22,43,50)</f>
        <v>40429.947106481479</v>
      </c>
      <c r="C659">
        <v>80</v>
      </c>
      <c r="D659">
        <v>79.952186584000003</v>
      </c>
      <c r="E659">
        <v>60</v>
      </c>
      <c r="F659">
        <v>35.448905945</v>
      </c>
      <c r="G659">
        <v>1340.3118896000001</v>
      </c>
      <c r="H659">
        <v>1337.9176024999999</v>
      </c>
      <c r="I659">
        <v>1321.1624756000001</v>
      </c>
      <c r="J659">
        <v>1316.9804687999999</v>
      </c>
      <c r="K659">
        <v>2750</v>
      </c>
      <c r="L659">
        <v>0</v>
      </c>
      <c r="M659">
        <v>0</v>
      </c>
      <c r="N659">
        <v>2750</v>
      </c>
    </row>
    <row r="660" spans="1:14" x14ac:dyDescent="0.25">
      <c r="A660">
        <v>131.34541899999999</v>
      </c>
      <c r="B660" s="1">
        <f>DATE(2010,9,9) + TIME(8,17,24)</f>
        <v>40430.345416666663</v>
      </c>
      <c r="C660">
        <v>80</v>
      </c>
      <c r="D660">
        <v>79.952201842999997</v>
      </c>
      <c r="E660">
        <v>60</v>
      </c>
      <c r="F660">
        <v>35.743663787999999</v>
      </c>
      <c r="G660">
        <v>1340.3066406</v>
      </c>
      <c r="H660">
        <v>1337.9133300999999</v>
      </c>
      <c r="I660">
        <v>1321.1824951000001</v>
      </c>
      <c r="J660">
        <v>1317.0064697</v>
      </c>
      <c r="K660">
        <v>2750</v>
      </c>
      <c r="L660">
        <v>0</v>
      </c>
      <c r="M660">
        <v>0</v>
      </c>
      <c r="N660">
        <v>2750</v>
      </c>
    </row>
    <row r="661" spans="1:14" x14ac:dyDescent="0.25">
      <c r="A661">
        <v>131.74293299999999</v>
      </c>
      <c r="B661" s="1">
        <f>DATE(2010,9,9) + TIME(17,49,49)</f>
        <v>40430.742928240739</v>
      </c>
      <c r="C661">
        <v>80</v>
      </c>
      <c r="D661">
        <v>79.952217102000006</v>
      </c>
      <c r="E661">
        <v>60</v>
      </c>
      <c r="F661">
        <v>35.995410919000001</v>
      </c>
      <c r="G661">
        <v>1340.3039550999999</v>
      </c>
      <c r="H661">
        <v>1337.9111327999999</v>
      </c>
      <c r="I661">
        <v>1321.1895752</v>
      </c>
      <c r="J661">
        <v>1317.0231934000001</v>
      </c>
      <c r="K661">
        <v>2750</v>
      </c>
      <c r="L661">
        <v>0</v>
      </c>
      <c r="M661">
        <v>0</v>
      </c>
      <c r="N661">
        <v>2750</v>
      </c>
    </row>
    <row r="662" spans="1:14" x14ac:dyDescent="0.25">
      <c r="A662">
        <v>132.139375</v>
      </c>
      <c r="B662" s="1">
        <f>DATE(2010,9,10) + TIME(3,20,42)</f>
        <v>40431.139374999999</v>
      </c>
      <c r="C662">
        <v>80</v>
      </c>
      <c r="D662">
        <v>79.952232361</v>
      </c>
      <c r="E662">
        <v>60</v>
      </c>
      <c r="F662">
        <v>36.222045897999998</v>
      </c>
      <c r="G662">
        <v>1340.3013916</v>
      </c>
      <c r="H662">
        <v>1337.9090576000001</v>
      </c>
      <c r="I662">
        <v>1321.1972656</v>
      </c>
      <c r="J662">
        <v>1317.0390625</v>
      </c>
      <c r="K662">
        <v>2750</v>
      </c>
      <c r="L662">
        <v>0</v>
      </c>
      <c r="M662">
        <v>0</v>
      </c>
      <c r="N662">
        <v>2750</v>
      </c>
    </row>
    <row r="663" spans="1:14" x14ac:dyDescent="0.25">
      <c r="A663">
        <v>132.53524100000001</v>
      </c>
      <c r="B663" s="1">
        <f>DATE(2010,9,10) + TIME(12,50,44)</f>
        <v>40431.535231481481</v>
      </c>
      <c r="C663">
        <v>80</v>
      </c>
      <c r="D663">
        <v>79.952255249000004</v>
      </c>
      <c r="E663">
        <v>60</v>
      </c>
      <c r="F663">
        <v>36.433792113999999</v>
      </c>
      <c r="G663">
        <v>1340.2988281</v>
      </c>
      <c r="H663">
        <v>1337.9069824000001</v>
      </c>
      <c r="I663">
        <v>1321.2052002</v>
      </c>
      <c r="J663">
        <v>1317.0543213000001</v>
      </c>
      <c r="K663">
        <v>2750</v>
      </c>
      <c r="L663">
        <v>0</v>
      </c>
      <c r="M663">
        <v>0</v>
      </c>
      <c r="N663">
        <v>2750</v>
      </c>
    </row>
    <row r="664" spans="1:14" x14ac:dyDescent="0.25">
      <c r="A664">
        <v>132.931028</v>
      </c>
      <c r="B664" s="1">
        <f>DATE(2010,9,10) + TIME(22,20,40)</f>
        <v>40431.931018518517</v>
      </c>
      <c r="C664">
        <v>80</v>
      </c>
      <c r="D664">
        <v>79.952278136999993</v>
      </c>
      <c r="E664">
        <v>60</v>
      </c>
      <c r="F664">
        <v>36.636463165000002</v>
      </c>
      <c r="G664">
        <v>1340.2962646000001</v>
      </c>
      <c r="H664">
        <v>1337.9049072</v>
      </c>
      <c r="I664">
        <v>1321.2132568</v>
      </c>
      <c r="J664">
        <v>1317.0692139</v>
      </c>
      <c r="K664">
        <v>2750</v>
      </c>
      <c r="L664">
        <v>0</v>
      </c>
      <c r="M664">
        <v>0</v>
      </c>
      <c r="N664">
        <v>2750</v>
      </c>
    </row>
    <row r="665" spans="1:14" x14ac:dyDescent="0.25">
      <c r="A665">
        <v>133.32681400000001</v>
      </c>
      <c r="B665" s="1">
        <f>DATE(2010,9,11) + TIME(7,50,36)</f>
        <v>40432.326805555553</v>
      </c>
      <c r="C665">
        <v>80</v>
      </c>
      <c r="D665">
        <v>79.952293396000002</v>
      </c>
      <c r="E665">
        <v>60</v>
      </c>
      <c r="F665">
        <v>36.833316803000002</v>
      </c>
      <c r="G665">
        <v>1340.2937012</v>
      </c>
      <c r="H665">
        <v>1337.902832</v>
      </c>
      <c r="I665">
        <v>1321.2214355000001</v>
      </c>
      <c r="J665">
        <v>1317.0838623</v>
      </c>
      <c r="K665">
        <v>2750</v>
      </c>
      <c r="L665">
        <v>0</v>
      </c>
      <c r="M665">
        <v>0</v>
      </c>
      <c r="N665">
        <v>2750</v>
      </c>
    </row>
    <row r="666" spans="1:14" x14ac:dyDescent="0.25">
      <c r="A666">
        <v>133.722601</v>
      </c>
      <c r="B666" s="1">
        <f>DATE(2010,9,11) + TIME(17,20,32)</f>
        <v>40432.722592592596</v>
      </c>
      <c r="C666">
        <v>80</v>
      </c>
      <c r="D666">
        <v>79.952316284000005</v>
      </c>
      <c r="E666">
        <v>60</v>
      </c>
      <c r="F666">
        <v>37.026199341000002</v>
      </c>
      <c r="G666">
        <v>1340.2911377</v>
      </c>
      <c r="H666">
        <v>1337.9007568</v>
      </c>
      <c r="I666">
        <v>1321.2296143000001</v>
      </c>
      <c r="J666">
        <v>1317.0985106999999</v>
      </c>
      <c r="K666">
        <v>2750</v>
      </c>
      <c r="L666">
        <v>0</v>
      </c>
      <c r="M666">
        <v>0</v>
      </c>
      <c r="N666">
        <v>2750</v>
      </c>
    </row>
    <row r="667" spans="1:14" x14ac:dyDescent="0.25">
      <c r="A667">
        <v>134.11838800000001</v>
      </c>
      <c r="B667" s="1">
        <f>DATE(2010,9,12) + TIME(2,50,28)</f>
        <v>40433.118379629632</v>
      </c>
      <c r="C667">
        <v>80</v>
      </c>
      <c r="D667">
        <v>79.952331543</v>
      </c>
      <c r="E667">
        <v>60</v>
      </c>
      <c r="F667">
        <v>37.216163635000001</v>
      </c>
      <c r="G667">
        <v>1340.2885742000001</v>
      </c>
      <c r="H667">
        <v>1337.8986815999999</v>
      </c>
      <c r="I667">
        <v>1321.2379149999999</v>
      </c>
      <c r="J667">
        <v>1317.1130370999999</v>
      </c>
      <c r="K667">
        <v>2750</v>
      </c>
      <c r="L667">
        <v>0</v>
      </c>
      <c r="M667">
        <v>0</v>
      </c>
      <c r="N667">
        <v>2750</v>
      </c>
    </row>
    <row r="668" spans="1:14" x14ac:dyDescent="0.25">
      <c r="A668">
        <v>134.51417499999999</v>
      </c>
      <c r="B668" s="1">
        <f>DATE(2010,9,12) + TIME(12,20,24)</f>
        <v>40433.514166666668</v>
      </c>
      <c r="C668">
        <v>80</v>
      </c>
      <c r="D668">
        <v>79.952354431000003</v>
      </c>
      <c r="E668">
        <v>60</v>
      </c>
      <c r="F668">
        <v>37.403816223</v>
      </c>
      <c r="G668">
        <v>1340.2861327999999</v>
      </c>
      <c r="H668">
        <v>1337.8967285000001</v>
      </c>
      <c r="I668">
        <v>1321.2462158000001</v>
      </c>
      <c r="J668">
        <v>1317.1275635</v>
      </c>
      <c r="K668">
        <v>2750</v>
      </c>
      <c r="L668">
        <v>0</v>
      </c>
      <c r="M668">
        <v>0</v>
      </c>
      <c r="N668">
        <v>2750</v>
      </c>
    </row>
    <row r="669" spans="1:14" x14ac:dyDescent="0.25">
      <c r="A669">
        <v>135.30574799999999</v>
      </c>
      <c r="B669" s="1">
        <f>DATE(2010,9,13) + TIME(7,20,16)</f>
        <v>40434.30574074074</v>
      </c>
      <c r="C669">
        <v>80</v>
      </c>
      <c r="D669">
        <v>79.952400208</v>
      </c>
      <c r="E669">
        <v>60</v>
      </c>
      <c r="F669">
        <v>37.660541533999996</v>
      </c>
      <c r="G669">
        <v>1340.2836914</v>
      </c>
      <c r="H669">
        <v>1337.8946533000001</v>
      </c>
      <c r="I669">
        <v>1321.2523193</v>
      </c>
      <c r="J669">
        <v>1317.1439209</v>
      </c>
      <c r="K669">
        <v>2750</v>
      </c>
      <c r="L669">
        <v>0</v>
      </c>
      <c r="M669">
        <v>0</v>
      </c>
      <c r="N669">
        <v>2750</v>
      </c>
    </row>
    <row r="670" spans="1:14" x14ac:dyDescent="0.25">
      <c r="A670">
        <v>136.098919</v>
      </c>
      <c r="B670" s="1">
        <f>DATE(2010,9,14) + TIME(2,22,26)</f>
        <v>40435.098912037036</v>
      </c>
      <c r="C670">
        <v>80</v>
      </c>
      <c r="D670">
        <v>79.952438353999995</v>
      </c>
      <c r="E670">
        <v>60</v>
      </c>
      <c r="F670">
        <v>37.983215332</v>
      </c>
      <c r="G670">
        <v>1340.2786865</v>
      </c>
      <c r="H670">
        <v>1337.8907471</v>
      </c>
      <c r="I670">
        <v>1321.2694091999999</v>
      </c>
      <c r="J670">
        <v>1317.1696777</v>
      </c>
      <c r="K670">
        <v>2750</v>
      </c>
      <c r="L670">
        <v>0</v>
      </c>
      <c r="M670">
        <v>0</v>
      </c>
      <c r="N670">
        <v>2750</v>
      </c>
    </row>
    <row r="671" spans="1:14" x14ac:dyDescent="0.25">
      <c r="A671">
        <v>136.901715</v>
      </c>
      <c r="B671" s="1">
        <f>DATE(2010,9,14) + TIME(21,38,28)</f>
        <v>40435.901712962965</v>
      </c>
      <c r="C671">
        <v>80</v>
      </c>
      <c r="D671">
        <v>79.952484131000006</v>
      </c>
      <c r="E671">
        <v>60</v>
      </c>
      <c r="F671">
        <v>38.329299927000001</v>
      </c>
      <c r="G671">
        <v>1340.2738036999999</v>
      </c>
      <c r="H671">
        <v>1337.8867187999999</v>
      </c>
      <c r="I671">
        <v>1321.2861327999999</v>
      </c>
      <c r="J671">
        <v>1317.1971435999999</v>
      </c>
      <c r="K671">
        <v>2750</v>
      </c>
      <c r="L671">
        <v>0</v>
      </c>
      <c r="M671">
        <v>0</v>
      </c>
      <c r="N671">
        <v>2750</v>
      </c>
    </row>
    <row r="672" spans="1:14" x14ac:dyDescent="0.25">
      <c r="A672">
        <v>137.716599</v>
      </c>
      <c r="B672" s="1">
        <f>DATE(2010,9,15) + TIME(17,11,54)</f>
        <v>40436.716597222221</v>
      </c>
      <c r="C672">
        <v>80</v>
      </c>
      <c r="D672">
        <v>79.952522278000004</v>
      </c>
      <c r="E672">
        <v>60</v>
      </c>
      <c r="F672">
        <v>38.683849334999998</v>
      </c>
      <c r="G672">
        <v>1340.2689209</v>
      </c>
      <c r="H672">
        <v>1337.8828125</v>
      </c>
      <c r="I672">
        <v>1321.3029785000001</v>
      </c>
      <c r="J672">
        <v>1317.2253418</v>
      </c>
      <c r="K672">
        <v>2750</v>
      </c>
      <c r="L672">
        <v>0</v>
      </c>
      <c r="M672">
        <v>0</v>
      </c>
      <c r="N672">
        <v>2750</v>
      </c>
    </row>
    <row r="673" spans="1:14" x14ac:dyDescent="0.25">
      <c r="A673">
        <v>138.54254700000001</v>
      </c>
      <c r="B673" s="1">
        <f>DATE(2010,9,16) + TIME(13,1,16)</f>
        <v>40437.542546296296</v>
      </c>
      <c r="C673">
        <v>80</v>
      </c>
      <c r="D673">
        <v>79.952560425000001</v>
      </c>
      <c r="E673">
        <v>60</v>
      </c>
      <c r="F673">
        <v>39.041007995999998</v>
      </c>
      <c r="G673">
        <v>1340.2639160000001</v>
      </c>
      <c r="H673">
        <v>1337.8787841999999</v>
      </c>
      <c r="I673">
        <v>1321.3200684000001</v>
      </c>
      <c r="J673">
        <v>1317.2542725000001</v>
      </c>
      <c r="K673">
        <v>2750</v>
      </c>
      <c r="L673">
        <v>0</v>
      </c>
      <c r="M673">
        <v>0</v>
      </c>
      <c r="N673">
        <v>2750</v>
      </c>
    </row>
    <row r="674" spans="1:14" x14ac:dyDescent="0.25">
      <c r="A674">
        <v>139.37776500000001</v>
      </c>
      <c r="B674" s="1">
        <f>DATE(2010,9,17) + TIME(9,3,58)</f>
        <v>40438.377754629626</v>
      </c>
      <c r="C674">
        <v>80</v>
      </c>
      <c r="D674">
        <v>79.952606200999995</v>
      </c>
      <c r="E674">
        <v>60</v>
      </c>
      <c r="F674">
        <v>39.397941588999998</v>
      </c>
      <c r="G674">
        <v>1340.2590332</v>
      </c>
      <c r="H674">
        <v>1337.8748779</v>
      </c>
      <c r="I674">
        <v>1321.3372803</v>
      </c>
      <c r="J674">
        <v>1317.2833252</v>
      </c>
      <c r="K674">
        <v>2750</v>
      </c>
      <c r="L674">
        <v>0</v>
      </c>
      <c r="M674">
        <v>0</v>
      </c>
      <c r="N674">
        <v>2750</v>
      </c>
    </row>
    <row r="675" spans="1:14" x14ac:dyDescent="0.25">
      <c r="A675">
        <v>140.221994</v>
      </c>
      <c r="B675" s="1">
        <f>DATE(2010,9,18) + TIME(5,19,40)</f>
        <v>40439.221990740742</v>
      </c>
      <c r="C675">
        <v>80</v>
      </c>
      <c r="D675">
        <v>79.952644348000007</v>
      </c>
      <c r="E675">
        <v>60</v>
      </c>
      <c r="F675">
        <v>39.753154754999997</v>
      </c>
      <c r="G675">
        <v>1340.2540283000001</v>
      </c>
      <c r="H675">
        <v>1337.8709716999999</v>
      </c>
      <c r="I675">
        <v>1321.3546143000001</v>
      </c>
      <c r="J675">
        <v>1317.3126221</v>
      </c>
      <c r="K675">
        <v>2750</v>
      </c>
      <c r="L675">
        <v>0</v>
      </c>
      <c r="M675">
        <v>0</v>
      </c>
      <c r="N675">
        <v>2750</v>
      </c>
    </row>
    <row r="676" spans="1:14" x14ac:dyDescent="0.25">
      <c r="A676">
        <v>141.073725</v>
      </c>
      <c r="B676" s="1">
        <f>DATE(2010,9,19) + TIME(1,46,9)</f>
        <v>40440.07371527778</v>
      </c>
      <c r="C676">
        <v>80</v>
      </c>
      <c r="D676">
        <v>79.952690125000004</v>
      </c>
      <c r="E676">
        <v>60</v>
      </c>
      <c r="F676">
        <v>40.105712891000003</v>
      </c>
      <c r="G676">
        <v>1340.2491454999999</v>
      </c>
      <c r="H676">
        <v>1337.8669434000001</v>
      </c>
      <c r="I676">
        <v>1321.3720702999999</v>
      </c>
      <c r="J676">
        <v>1317.3420410000001</v>
      </c>
      <c r="K676">
        <v>2750</v>
      </c>
      <c r="L676">
        <v>0</v>
      </c>
      <c r="M676">
        <v>0</v>
      </c>
      <c r="N676">
        <v>2750</v>
      </c>
    </row>
    <row r="677" spans="1:14" x14ac:dyDescent="0.25">
      <c r="A677">
        <v>141.502545</v>
      </c>
      <c r="B677" s="1">
        <f>DATE(2010,9,19) + TIME(12,3,39)</f>
        <v>40440.502534722225</v>
      </c>
      <c r="C677">
        <v>80</v>
      </c>
      <c r="D677">
        <v>79.952705382999994</v>
      </c>
      <c r="E677">
        <v>60</v>
      </c>
      <c r="F677">
        <v>40.363117217999999</v>
      </c>
      <c r="G677">
        <v>1340.2442627</v>
      </c>
      <c r="H677">
        <v>1337.8630370999999</v>
      </c>
      <c r="I677">
        <v>1321.3923339999999</v>
      </c>
      <c r="J677">
        <v>1317.3687743999999</v>
      </c>
      <c r="K677">
        <v>2750</v>
      </c>
      <c r="L677">
        <v>0</v>
      </c>
      <c r="M677">
        <v>0</v>
      </c>
      <c r="N677">
        <v>2750</v>
      </c>
    </row>
    <row r="678" spans="1:14" x14ac:dyDescent="0.25">
      <c r="A678">
        <v>141.929396</v>
      </c>
      <c r="B678" s="1">
        <f>DATE(2010,9,19) + TIME(22,18,19)</f>
        <v>40440.929386574076</v>
      </c>
      <c r="C678">
        <v>80</v>
      </c>
      <c r="D678">
        <v>79.952728270999998</v>
      </c>
      <c r="E678">
        <v>60</v>
      </c>
      <c r="F678">
        <v>40.578937531000001</v>
      </c>
      <c r="G678">
        <v>1340.2418213000001</v>
      </c>
      <c r="H678">
        <v>1337.8610839999999</v>
      </c>
      <c r="I678">
        <v>1321.4006348</v>
      </c>
      <c r="J678">
        <v>1317.3861084</v>
      </c>
      <c r="K678">
        <v>2750</v>
      </c>
      <c r="L678">
        <v>0</v>
      </c>
      <c r="M678">
        <v>0</v>
      </c>
      <c r="N678">
        <v>2750</v>
      </c>
    </row>
    <row r="679" spans="1:14" x14ac:dyDescent="0.25">
      <c r="A679">
        <v>142.35567900000001</v>
      </c>
      <c r="B679" s="1">
        <f>DATE(2010,9,20) + TIME(8,32,10)</f>
        <v>40441.355671296296</v>
      </c>
      <c r="C679">
        <v>80</v>
      </c>
      <c r="D679">
        <v>79.952743530000006</v>
      </c>
      <c r="E679">
        <v>60</v>
      </c>
      <c r="F679">
        <v>40.772155761999997</v>
      </c>
      <c r="G679">
        <v>1340.2393798999999</v>
      </c>
      <c r="H679">
        <v>1337.8591309000001</v>
      </c>
      <c r="I679">
        <v>1321.4091797000001</v>
      </c>
      <c r="J679">
        <v>1317.4020995999999</v>
      </c>
      <c r="K679">
        <v>2750</v>
      </c>
      <c r="L679">
        <v>0</v>
      </c>
      <c r="M679">
        <v>0</v>
      </c>
      <c r="N679">
        <v>2750</v>
      </c>
    </row>
    <row r="680" spans="1:14" x14ac:dyDescent="0.25">
      <c r="A680">
        <v>142.78174999999999</v>
      </c>
      <c r="B680" s="1">
        <f>DATE(2010,9,20) + TIME(18,45,43)</f>
        <v>40441.781747685185</v>
      </c>
      <c r="C680">
        <v>80</v>
      </c>
      <c r="D680">
        <v>79.952766417999996</v>
      </c>
      <c r="E680">
        <v>60</v>
      </c>
      <c r="F680">
        <v>40.952648162999999</v>
      </c>
      <c r="G680">
        <v>1340.2369385</v>
      </c>
      <c r="H680">
        <v>1337.8571777</v>
      </c>
      <c r="I680">
        <v>1321.4178466999999</v>
      </c>
      <c r="J680">
        <v>1317.4173584</v>
      </c>
      <c r="K680">
        <v>2750</v>
      </c>
      <c r="L680">
        <v>0</v>
      </c>
      <c r="M680">
        <v>0</v>
      </c>
      <c r="N680">
        <v>2750</v>
      </c>
    </row>
    <row r="681" spans="1:14" x14ac:dyDescent="0.25">
      <c r="A681">
        <v>143.207821</v>
      </c>
      <c r="B681" s="1">
        <f>DATE(2010,9,21) + TIME(4,59,15)</f>
        <v>40442.207812499997</v>
      </c>
      <c r="C681">
        <v>80</v>
      </c>
      <c r="D681">
        <v>79.952789307000003</v>
      </c>
      <c r="E681">
        <v>60</v>
      </c>
      <c r="F681">
        <v>41.12562561</v>
      </c>
      <c r="G681">
        <v>1340.2346190999999</v>
      </c>
      <c r="H681">
        <v>1337.8553466999999</v>
      </c>
      <c r="I681">
        <v>1321.4263916</v>
      </c>
      <c r="J681">
        <v>1317.432251</v>
      </c>
      <c r="K681">
        <v>2750</v>
      </c>
      <c r="L681">
        <v>0</v>
      </c>
      <c r="M681">
        <v>0</v>
      </c>
      <c r="N681">
        <v>2750</v>
      </c>
    </row>
    <row r="682" spans="1:14" x14ac:dyDescent="0.25">
      <c r="A682">
        <v>143.633893</v>
      </c>
      <c r="B682" s="1">
        <f>DATE(2010,9,21) + TIME(15,12,48)</f>
        <v>40442.633888888886</v>
      </c>
      <c r="C682">
        <v>80</v>
      </c>
      <c r="D682">
        <v>79.952804564999994</v>
      </c>
      <c r="E682">
        <v>60</v>
      </c>
      <c r="F682">
        <v>41.293834685999997</v>
      </c>
      <c r="G682">
        <v>1340.2321777</v>
      </c>
      <c r="H682">
        <v>1337.8533935999999</v>
      </c>
      <c r="I682">
        <v>1321.4350586</v>
      </c>
      <c r="J682">
        <v>1317.4467772999999</v>
      </c>
      <c r="K682">
        <v>2750</v>
      </c>
      <c r="L682">
        <v>0</v>
      </c>
      <c r="M682">
        <v>0</v>
      </c>
      <c r="N682">
        <v>2750</v>
      </c>
    </row>
    <row r="683" spans="1:14" x14ac:dyDescent="0.25">
      <c r="A683">
        <v>144.05996400000001</v>
      </c>
      <c r="B683" s="1">
        <f>DATE(2010,9,22) + TIME(1,26,20)</f>
        <v>40443.059953703705</v>
      </c>
      <c r="C683">
        <v>80</v>
      </c>
      <c r="D683">
        <v>79.952827454000001</v>
      </c>
      <c r="E683">
        <v>60</v>
      </c>
      <c r="F683">
        <v>41.458717346</v>
      </c>
      <c r="G683">
        <v>1340.2298584</v>
      </c>
      <c r="H683">
        <v>1337.8515625</v>
      </c>
      <c r="I683">
        <v>1321.4437256000001</v>
      </c>
      <c r="J683">
        <v>1317.4610596</v>
      </c>
      <c r="K683">
        <v>2750</v>
      </c>
      <c r="L683">
        <v>0</v>
      </c>
      <c r="M683">
        <v>0</v>
      </c>
      <c r="N683">
        <v>2750</v>
      </c>
    </row>
    <row r="684" spans="1:14" x14ac:dyDescent="0.25">
      <c r="A684">
        <v>144.48603499999999</v>
      </c>
      <c r="B684" s="1">
        <f>DATE(2010,9,22) + TIME(11,39,53)</f>
        <v>40443.486030092594</v>
      </c>
      <c r="C684">
        <v>80</v>
      </c>
      <c r="D684">
        <v>79.952850342000005</v>
      </c>
      <c r="E684">
        <v>60</v>
      </c>
      <c r="F684">
        <v>41.621051788000003</v>
      </c>
      <c r="G684">
        <v>1340.2275391000001</v>
      </c>
      <c r="H684">
        <v>1337.8497314000001</v>
      </c>
      <c r="I684">
        <v>1321.4522704999999</v>
      </c>
      <c r="J684">
        <v>1317.4752197</v>
      </c>
      <c r="K684">
        <v>2750</v>
      </c>
      <c r="L684">
        <v>0</v>
      </c>
      <c r="M684">
        <v>0</v>
      </c>
      <c r="N684">
        <v>2750</v>
      </c>
    </row>
    <row r="685" spans="1:14" x14ac:dyDescent="0.25">
      <c r="A685">
        <v>145.338178</v>
      </c>
      <c r="B685" s="1">
        <f>DATE(2010,9,23) + TIME(8,6,58)</f>
        <v>40444.338171296295</v>
      </c>
      <c r="C685">
        <v>80</v>
      </c>
      <c r="D685">
        <v>79.952896117999998</v>
      </c>
      <c r="E685">
        <v>60</v>
      </c>
      <c r="F685">
        <v>41.838073729999998</v>
      </c>
      <c r="G685">
        <v>1340.2252197</v>
      </c>
      <c r="H685">
        <v>1337.8479004000001</v>
      </c>
      <c r="I685">
        <v>1321.4593506000001</v>
      </c>
      <c r="J685">
        <v>1317.4909668</v>
      </c>
      <c r="K685">
        <v>2750</v>
      </c>
      <c r="L685">
        <v>0</v>
      </c>
      <c r="M685">
        <v>0</v>
      </c>
      <c r="N685">
        <v>2750</v>
      </c>
    </row>
    <row r="686" spans="1:14" x14ac:dyDescent="0.25">
      <c r="A686">
        <v>146.19042099999999</v>
      </c>
      <c r="B686" s="1">
        <f>DATE(2010,9,24) + TIME(4,34,12)</f>
        <v>40445.190416666665</v>
      </c>
      <c r="C686">
        <v>80</v>
      </c>
      <c r="D686">
        <v>79.952941894999995</v>
      </c>
      <c r="E686">
        <v>60</v>
      </c>
      <c r="F686">
        <v>42.116394043</v>
      </c>
      <c r="G686">
        <v>1340.2205810999999</v>
      </c>
      <c r="H686">
        <v>1337.8442382999999</v>
      </c>
      <c r="I686">
        <v>1321.4763184000001</v>
      </c>
      <c r="J686">
        <v>1317.515625</v>
      </c>
      <c r="K686">
        <v>2750</v>
      </c>
      <c r="L686">
        <v>0</v>
      </c>
      <c r="M686">
        <v>0</v>
      </c>
      <c r="N686">
        <v>2750</v>
      </c>
    </row>
    <row r="687" spans="1:14" x14ac:dyDescent="0.25">
      <c r="A687">
        <v>147.05219199999999</v>
      </c>
      <c r="B687" s="1">
        <f>DATE(2010,9,25) + TIME(1,15,9)</f>
        <v>40446.052187499998</v>
      </c>
      <c r="C687">
        <v>80</v>
      </c>
      <c r="D687">
        <v>79.952987671000002</v>
      </c>
      <c r="E687">
        <v>60</v>
      </c>
      <c r="F687">
        <v>42.413455962999997</v>
      </c>
      <c r="G687">
        <v>1340.2160644999999</v>
      </c>
      <c r="H687">
        <v>1337.8405762</v>
      </c>
      <c r="I687">
        <v>1321.4930420000001</v>
      </c>
      <c r="J687">
        <v>1317.5418701000001</v>
      </c>
      <c r="K687">
        <v>2750</v>
      </c>
      <c r="L687">
        <v>0</v>
      </c>
      <c r="M687">
        <v>0</v>
      </c>
      <c r="N687">
        <v>2750</v>
      </c>
    </row>
    <row r="688" spans="1:14" x14ac:dyDescent="0.25">
      <c r="A688">
        <v>147.92609200000001</v>
      </c>
      <c r="B688" s="1">
        <f>DATE(2010,9,25) + TIME(22,13,34)</f>
        <v>40446.926087962966</v>
      </c>
      <c r="C688">
        <v>80</v>
      </c>
      <c r="D688">
        <v>79.953033446999996</v>
      </c>
      <c r="E688">
        <v>60</v>
      </c>
      <c r="F688">
        <v>42.715671538999999</v>
      </c>
      <c r="G688">
        <v>1340.2115478999999</v>
      </c>
      <c r="H688">
        <v>1337.8369141000001</v>
      </c>
      <c r="I688">
        <v>1321.5100098</v>
      </c>
      <c r="J688">
        <v>1317.5688477000001</v>
      </c>
      <c r="K688">
        <v>2750</v>
      </c>
      <c r="L688">
        <v>0</v>
      </c>
      <c r="M688">
        <v>0</v>
      </c>
      <c r="N688">
        <v>2750</v>
      </c>
    </row>
    <row r="689" spans="1:14" x14ac:dyDescent="0.25">
      <c r="A689">
        <v>148.81485000000001</v>
      </c>
      <c r="B689" s="1">
        <f>DATE(2010,9,26) + TIME(19,33,23)</f>
        <v>40447.814849537041</v>
      </c>
      <c r="C689">
        <v>80</v>
      </c>
      <c r="D689">
        <v>79.953079224000007</v>
      </c>
      <c r="E689">
        <v>60</v>
      </c>
      <c r="F689">
        <v>43.018703461000001</v>
      </c>
      <c r="G689">
        <v>1340.2069091999999</v>
      </c>
      <c r="H689">
        <v>1337.833374</v>
      </c>
      <c r="I689">
        <v>1321.5269774999999</v>
      </c>
      <c r="J689">
        <v>1317.5960693</v>
      </c>
      <c r="K689">
        <v>2750</v>
      </c>
      <c r="L689">
        <v>0</v>
      </c>
      <c r="M689">
        <v>0</v>
      </c>
      <c r="N689">
        <v>2750</v>
      </c>
    </row>
    <row r="690" spans="1:14" x14ac:dyDescent="0.25">
      <c r="A690">
        <v>149.71060900000001</v>
      </c>
      <c r="B690" s="1">
        <f>DATE(2010,9,27) + TIME(17,3,16)</f>
        <v>40448.710601851853</v>
      </c>
      <c r="C690">
        <v>80</v>
      </c>
      <c r="D690">
        <v>79.953117371000005</v>
      </c>
      <c r="E690">
        <v>60</v>
      </c>
      <c r="F690">
        <v>43.320289612000003</v>
      </c>
      <c r="G690">
        <v>1340.2023925999999</v>
      </c>
      <c r="H690">
        <v>1337.8297118999999</v>
      </c>
      <c r="I690">
        <v>1321.5443115</v>
      </c>
      <c r="J690">
        <v>1317.6234131000001</v>
      </c>
      <c r="K690">
        <v>2750</v>
      </c>
      <c r="L690">
        <v>0</v>
      </c>
      <c r="M690">
        <v>0</v>
      </c>
      <c r="N690">
        <v>2750</v>
      </c>
    </row>
    <row r="691" spans="1:14" x14ac:dyDescent="0.25">
      <c r="A691">
        <v>150.61612199999999</v>
      </c>
      <c r="B691" s="1">
        <f>DATE(2010,9,28) + TIME(14,47,12)</f>
        <v>40449.616111111114</v>
      </c>
      <c r="C691">
        <v>80</v>
      </c>
      <c r="D691">
        <v>79.953163146999998</v>
      </c>
      <c r="E691">
        <v>60</v>
      </c>
      <c r="F691">
        <v>43.619018554999997</v>
      </c>
      <c r="G691">
        <v>1340.1977539</v>
      </c>
      <c r="H691">
        <v>1337.8261719</v>
      </c>
      <c r="I691">
        <v>1321.5615233999999</v>
      </c>
      <c r="J691">
        <v>1317.6507568</v>
      </c>
      <c r="K691">
        <v>2750</v>
      </c>
      <c r="L691">
        <v>0</v>
      </c>
      <c r="M691">
        <v>0</v>
      </c>
      <c r="N691">
        <v>2750</v>
      </c>
    </row>
    <row r="692" spans="1:14" x14ac:dyDescent="0.25">
      <c r="A692">
        <v>151.53394599999999</v>
      </c>
      <c r="B692" s="1">
        <f>DATE(2010,9,29) + TIME(12,48,52)</f>
        <v>40450.533935185187</v>
      </c>
      <c r="C692">
        <v>80</v>
      </c>
      <c r="D692">
        <v>79.953208923000005</v>
      </c>
      <c r="E692">
        <v>60</v>
      </c>
      <c r="F692">
        <v>43.914848327999998</v>
      </c>
      <c r="G692">
        <v>1340.1932373</v>
      </c>
      <c r="H692">
        <v>1337.8225098</v>
      </c>
      <c r="I692">
        <v>1321.5788574000001</v>
      </c>
      <c r="J692">
        <v>1317.6781006000001</v>
      </c>
      <c r="K692">
        <v>2750</v>
      </c>
      <c r="L692">
        <v>0</v>
      </c>
      <c r="M692">
        <v>0</v>
      </c>
      <c r="N692">
        <v>2750</v>
      </c>
    </row>
    <row r="693" spans="1:14" x14ac:dyDescent="0.25">
      <c r="A693">
        <v>151.99411599999999</v>
      </c>
      <c r="B693" s="1">
        <f>DATE(2010,9,29) + TIME(23,51,31)</f>
        <v>40450.994108796294</v>
      </c>
      <c r="C693">
        <v>80</v>
      </c>
      <c r="D693">
        <v>79.953231811999999</v>
      </c>
      <c r="E693">
        <v>60</v>
      </c>
      <c r="F693">
        <v>44.134243011000002</v>
      </c>
      <c r="G693">
        <v>1340.1885986</v>
      </c>
      <c r="H693">
        <v>1337.8189697</v>
      </c>
      <c r="I693">
        <v>1321.5980225000001</v>
      </c>
      <c r="J693">
        <v>1317.7032471</v>
      </c>
      <c r="K693">
        <v>2750</v>
      </c>
      <c r="L693">
        <v>0</v>
      </c>
      <c r="M693">
        <v>0</v>
      </c>
      <c r="N693">
        <v>2750</v>
      </c>
    </row>
    <row r="694" spans="1:14" x14ac:dyDescent="0.25">
      <c r="A694">
        <v>152.45291700000001</v>
      </c>
      <c r="B694" s="1">
        <f>DATE(2010,9,30) + TIME(10,52,12)</f>
        <v>40451.452916666669</v>
      </c>
      <c r="C694">
        <v>80</v>
      </c>
      <c r="D694">
        <v>79.953247070000003</v>
      </c>
      <c r="E694">
        <v>60</v>
      </c>
      <c r="F694">
        <v>44.314666748</v>
      </c>
      <c r="G694">
        <v>1340.1864014</v>
      </c>
      <c r="H694">
        <v>1337.8171387</v>
      </c>
      <c r="I694">
        <v>1321.6066894999999</v>
      </c>
      <c r="J694">
        <v>1317.7193603999999</v>
      </c>
      <c r="K694">
        <v>2750</v>
      </c>
      <c r="L694">
        <v>0</v>
      </c>
      <c r="M694">
        <v>0</v>
      </c>
      <c r="N694">
        <v>2750</v>
      </c>
    </row>
    <row r="695" spans="1:14" x14ac:dyDescent="0.25">
      <c r="A695">
        <v>153</v>
      </c>
      <c r="B695" s="1">
        <f>DATE(2010,10,1) + TIME(0,0,0)</f>
        <v>40452</v>
      </c>
      <c r="C695">
        <v>80</v>
      </c>
      <c r="D695">
        <v>79.953277588000006</v>
      </c>
      <c r="E695">
        <v>60</v>
      </c>
      <c r="F695">
        <v>44.488983154000003</v>
      </c>
      <c r="G695">
        <v>1340.184082</v>
      </c>
      <c r="H695">
        <v>1337.8153076000001</v>
      </c>
      <c r="I695">
        <v>1321.6149902</v>
      </c>
      <c r="J695">
        <v>1317.7347411999999</v>
      </c>
      <c r="K695">
        <v>2750</v>
      </c>
      <c r="L695">
        <v>0</v>
      </c>
      <c r="M695">
        <v>0</v>
      </c>
      <c r="N695">
        <v>2750</v>
      </c>
    </row>
    <row r="696" spans="1:14" x14ac:dyDescent="0.25">
      <c r="A696">
        <v>153.45844299999999</v>
      </c>
      <c r="B696" s="1">
        <f>DATE(2010,10,1) + TIME(11,0,9)</f>
        <v>40452.458437499998</v>
      </c>
      <c r="C696">
        <v>80</v>
      </c>
      <c r="D696">
        <v>79.953300475999995</v>
      </c>
      <c r="E696">
        <v>60</v>
      </c>
      <c r="F696">
        <v>44.644767760999997</v>
      </c>
      <c r="G696">
        <v>1340.1813964999999</v>
      </c>
      <c r="H696">
        <v>1337.8132324000001</v>
      </c>
      <c r="I696">
        <v>1321.6256103999999</v>
      </c>
      <c r="J696">
        <v>1317.7506103999999</v>
      </c>
      <c r="K696">
        <v>2750</v>
      </c>
      <c r="L696">
        <v>0</v>
      </c>
      <c r="M696">
        <v>0</v>
      </c>
      <c r="N696">
        <v>2750</v>
      </c>
    </row>
    <row r="697" spans="1:14" x14ac:dyDescent="0.25">
      <c r="A697">
        <v>154.375328</v>
      </c>
      <c r="B697" s="1">
        <f>DATE(2010,10,2) + TIME(9,0,28)</f>
        <v>40453.375324074077</v>
      </c>
      <c r="C697">
        <v>80</v>
      </c>
      <c r="D697">
        <v>79.953346252000003</v>
      </c>
      <c r="E697">
        <v>60</v>
      </c>
      <c r="F697">
        <v>44.839447020999998</v>
      </c>
      <c r="G697">
        <v>1340.1791992000001</v>
      </c>
      <c r="H697">
        <v>1337.8115233999999</v>
      </c>
      <c r="I697">
        <v>1321.6330565999999</v>
      </c>
      <c r="J697">
        <v>1317.7661132999999</v>
      </c>
      <c r="K697">
        <v>2750</v>
      </c>
      <c r="L697">
        <v>0</v>
      </c>
      <c r="M697">
        <v>0</v>
      </c>
      <c r="N697">
        <v>2750</v>
      </c>
    </row>
    <row r="698" spans="1:14" x14ac:dyDescent="0.25">
      <c r="A698">
        <v>155.292911</v>
      </c>
      <c r="B698" s="1">
        <f>DATE(2010,10,3) + TIME(7,1,47)</f>
        <v>40454.292905092596</v>
      </c>
      <c r="C698">
        <v>80</v>
      </c>
      <c r="D698">
        <v>79.953399657999995</v>
      </c>
      <c r="E698">
        <v>60</v>
      </c>
      <c r="F698">
        <v>45.084575653000002</v>
      </c>
      <c r="G698">
        <v>1340.1748047000001</v>
      </c>
      <c r="H698">
        <v>1337.8081055</v>
      </c>
      <c r="I698">
        <v>1321.6497803</v>
      </c>
      <c r="J698">
        <v>1317.7899170000001</v>
      </c>
      <c r="K698">
        <v>2750</v>
      </c>
      <c r="L698">
        <v>0</v>
      </c>
      <c r="M698">
        <v>0</v>
      </c>
      <c r="N698">
        <v>2750</v>
      </c>
    </row>
    <row r="699" spans="1:14" x14ac:dyDescent="0.25">
      <c r="A699">
        <v>156.21661</v>
      </c>
      <c r="B699" s="1">
        <f>DATE(2010,10,4) + TIME(5,11,55)</f>
        <v>40455.216608796298</v>
      </c>
      <c r="C699">
        <v>80</v>
      </c>
      <c r="D699">
        <v>79.953445435000006</v>
      </c>
      <c r="E699">
        <v>60</v>
      </c>
      <c r="F699">
        <v>45.343143462999997</v>
      </c>
      <c r="G699">
        <v>1340.1704102000001</v>
      </c>
      <c r="H699">
        <v>1337.8046875</v>
      </c>
      <c r="I699">
        <v>1321.666626</v>
      </c>
      <c r="J699">
        <v>1317.8151855000001</v>
      </c>
      <c r="K699">
        <v>2750</v>
      </c>
      <c r="L699">
        <v>0</v>
      </c>
      <c r="M699">
        <v>0</v>
      </c>
      <c r="N699">
        <v>2750</v>
      </c>
    </row>
    <row r="700" spans="1:14" x14ac:dyDescent="0.25">
      <c r="A700">
        <v>157.14599699999999</v>
      </c>
      <c r="B700" s="1">
        <f>DATE(2010,10,5) + TIME(3,30,14)</f>
        <v>40456.145995370367</v>
      </c>
      <c r="C700">
        <v>80</v>
      </c>
      <c r="D700">
        <v>79.953491210999999</v>
      </c>
      <c r="E700">
        <v>60</v>
      </c>
      <c r="F700">
        <v>45.603656768999997</v>
      </c>
      <c r="G700">
        <v>1340.1661377</v>
      </c>
      <c r="H700">
        <v>1337.8012695</v>
      </c>
      <c r="I700">
        <v>1321.6835937999999</v>
      </c>
      <c r="J700">
        <v>1317.8409423999999</v>
      </c>
      <c r="K700">
        <v>2750</v>
      </c>
      <c r="L700">
        <v>0</v>
      </c>
      <c r="M700">
        <v>0</v>
      </c>
      <c r="N700">
        <v>2750</v>
      </c>
    </row>
    <row r="701" spans="1:14" x14ac:dyDescent="0.25">
      <c r="A701">
        <v>158.08412000000001</v>
      </c>
      <c r="B701" s="1">
        <f>DATE(2010,10,6) + TIME(2,1,7)</f>
        <v>40457.084108796298</v>
      </c>
      <c r="C701">
        <v>80</v>
      </c>
      <c r="D701">
        <v>79.953536987000007</v>
      </c>
      <c r="E701">
        <v>60</v>
      </c>
      <c r="F701">
        <v>45.862621306999998</v>
      </c>
      <c r="G701">
        <v>1340.1618652</v>
      </c>
      <c r="H701">
        <v>1337.7978516000001</v>
      </c>
      <c r="I701">
        <v>1321.7005615</v>
      </c>
      <c r="J701">
        <v>1317.8668213000001</v>
      </c>
      <c r="K701">
        <v>2750</v>
      </c>
      <c r="L701">
        <v>0</v>
      </c>
      <c r="M701">
        <v>0</v>
      </c>
      <c r="N701">
        <v>2750</v>
      </c>
    </row>
    <row r="702" spans="1:14" x14ac:dyDescent="0.25">
      <c r="A702">
        <v>159.02944099999999</v>
      </c>
      <c r="B702" s="1">
        <f>DATE(2010,10,7) + TIME(0,42,23)</f>
        <v>40458.029432870368</v>
      </c>
      <c r="C702">
        <v>80</v>
      </c>
      <c r="D702">
        <v>79.953582764000004</v>
      </c>
      <c r="E702">
        <v>60</v>
      </c>
      <c r="F702">
        <v>46.119083404999998</v>
      </c>
      <c r="G702">
        <v>1340.1574707</v>
      </c>
      <c r="H702">
        <v>1337.7945557</v>
      </c>
      <c r="I702">
        <v>1321.7176514</v>
      </c>
      <c r="J702">
        <v>1317.8928223</v>
      </c>
      <c r="K702">
        <v>2750</v>
      </c>
      <c r="L702">
        <v>0</v>
      </c>
      <c r="M702">
        <v>0</v>
      </c>
      <c r="N702">
        <v>2750</v>
      </c>
    </row>
    <row r="703" spans="1:14" x14ac:dyDescent="0.25">
      <c r="A703">
        <v>159.98429100000001</v>
      </c>
      <c r="B703" s="1">
        <f>DATE(2010,10,7) + TIME(23,37,22)</f>
        <v>40458.984282407408</v>
      </c>
      <c r="C703">
        <v>80</v>
      </c>
      <c r="D703">
        <v>79.953628539999997</v>
      </c>
      <c r="E703">
        <v>60</v>
      </c>
      <c r="F703">
        <v>46.372806549000003</v>
      </c>
      <c r="G703">
        <v>1340.1531981999999</v>
      </c>
      <c r="H703">
        <v>1337.7912598</v>
      </c>
      <c r="I703">
        <v>1321.7347411999999</v>
      </c>
      <c r="J703">
        <v>1317.9188231999999</v>
      </c>
      <c r="K703">
        <v>2750</v>
      </c>
      <c r="L703">
        <v>0</v>
      </c>
      <c r="M703">
        <v>0</v>
      </c>
      <c r="N703">
        <v>2750</v>
      </c>
    </row>
    <row r="704" spans="1:14" x14ac:dyDescent="0.25">
      <c r="A704">
        <v>160.950681</v>
      </c>
      <c r="B704" s="1">
        <f>DATE(2010,10,8) + TIME(22,48,58)</f>
        <v>40459.950671296298</v>
      </c>
      <c r="C704">
        <v>80</v>
      </c>
      <c r="D704">
        <v>79.953674316000004</v>
      </c>
      <c r="E704">
        <v>60</v>
      </c>
      <c r="F704">
        <v>46.624114990000002</v>
      </c>
      <c r="G704">
        <v>1340.1489257999999</v>
      </c>
      <c r="H704">
        <v>1337.7878418</v>
      </c>
      <c r="I704">
        <v>1321.7519531</v>
      </c>
      <c r="J704">
        <v>1317.9449463000001</v>
      </c>
      <c r="K704">
        <v>2750</v>
      </c>
      <c r="L704">
        <v>0</v>
      </c>
      <c r="M704">
        <v>0</v>
      </c>
      <c r="N704">
        <v>2750</v>
      </c>
    </row>
    <row r="705" spans="1:14" x14ac:dyDescent="0.25">
      <c r="A705">
        <v>161.92461700000001</v>
      </c>
      <c r="B705" s="1">
        <f>DATE(2010,10,9) + TIME(22,11,26)</f>
        <v>40460.92460648148</v>
      </c>
      <c r="C705">
        <v>80</v>
      </c>
      <c r="D705">
        <v>79.953727721999996</v>
      </c>
      <c r="E705">
        <v>60</v>
      </c>
      <c r="F705">
        <v>46.873016356999997</v>
      </c>
      <c r="G705">
        <v>1340.1446533000001</v>
      </c>
      <c r="H705">
        <v>1337.7845459</v>
      </c>
      <c r="I705">
        <v>1321.7692870999999</v>
      </c>
      <c r="J705">
        <v>1317.9711914</v>
      </c>
      <c r="K705">
        <v>2750</v>
      </c>
      <c r="L705">
        <v>0</v>
      </c>
      <c r="M705">
        <v>0</v>
      </c>
      <c r="N705">
        <v>2750</v>
      </c>
    </row>
    <row r="706" spans="1:14" x14ac:dyDescent="0.25">
      <c r="A706">
        <v>162.909325</v>
      </c>
      <c r="B706" s="1">
        <f>DATE(2010,10,10) + TIME(21,49,25)</f>
        <v>40461.909317129626</v>
      </c>
      <c r="C706">
        <v>80</v>
      </c>
      <c r="D706">
        <v>79.953773498999993</v>
      </c>
      <c r="E706">
        <v>60</v>
      </c>
      <c r="F706">
        <v>47.119403839</v>
      </c>
      <c r="G706">
        <v>1340.1403809000001</v>
      </c>
      <c r="H706">
        <v>1337.78125</v>
      </c>
      <c r="I706">
        <v>1321.7866211</v>
      </c>
      <c r="J706">
        <v>1317.9973144999999</v>
      </c>
      <c r="K706">
        <v>2750</v>
      </c>
      <c r="L706">
        <v>0</v>
      </c>
      <c r="M706">
        <v>0</v>
      </c>
      <c r="N706">
        <v>2750</v>
      </c>
    </row>
    <row r="707" spans="1:14" x14ac:dyDescent="0.25">
      <c r="A707">
        <v>163.403223</v>
      </c>
      <c r="B707" s="1">
        <f>DATE(2010,10,11) + TIME(9,40,38)</f>
        <v>40462.403217592589</v>
      </c>
      <c r="C707">
        <v>80</v>
      </c>
      <c r="D707">
        <v>79.953796386999997</v>
      </c>
      <c r="E707">
        <v>60</v>
      </c>
      <c r="F707">
        <v>47.305320739999999</v>
      </c>
      <c r="G707">
        <v>1340.1361084</v>
      </c>
      <c r="H707">
        <v>1337.7779541</v>
      </c>
      <c r="I707">
        <v>1321.8052978999999</v>
      </c>
      <c r="J707">
        <v>1318.0216064000001</v>
      </c>
      <c r="K707">
        <v>2750</v>
      </c>
      <c r="L707">
        <v>0</v>
      </c>
      <c r="M707">
        <v>0</v>
      </c>
      <c r="N707">
        <v>2750</v>
      </c>
    </row>
    <row r="708" spans="1:14" x14ac:dyDescent="0.25">
      <c r="A708">
        <v>163.89576199999999</v>
      </c>
      <c r="B708" s="1">
        <f>DATE(2010,10,11) + TIME(21,29,53)</f>
        <v>40462.895752314813</v>
      </c>
      <c r="C708">
        <v>80</v>
      </c>
      <c r="D708">
        <v>79.953811646000005</v>
      </c>
      <c r="E708">
        <v>60</v>
      </c>
      <c r="F708">
        <v>47.455764770999998</v>
      </c>
      <c r="G708">
        <v>1340.1340332</v>
      </c>
      <c r="H708">
        <v>1337.7762451000001</v>
      </c>
      <c r="I708">
        <v>1321.8142089999999</v>
      </c>
      <c r="J708">
        <v>1318.0372314000001</v>
      </c>
      <c r="K708">
        <v>2750</v>
      </c>
      <c r="L708">
        <v>0</v>
      </c>
      <c r="M708">
        <v>0</v>
      </c>
      <c r="N708">
        <v>2750</v>
      </c>
    </row>
    <row r="709" spans="1:14" x14ac:dyDescent="0.25">
      <c r="A709">
        <v>164.38830200000001</v>
      </c>
      <c r="B709" s="1">
        <f>DATE(2010,10,12) + TIME(9,19,9)</f>
        <v>40463.388298611113</v>
      </c>
      <c r="C709">
        <v>80</v>
      </c>
      <c r="D709">
        <v>79.953842163000004</v>
      </c>
      <c r="E709">
        <v>60</v>
      </c>
      <c r="F709">
        <v>47.588851929</v>
      </c>
      <c r="G709">
        <v>1340.1319579999999</v>
      </c>
      <c r="H709">
        <v>1337.7746582</v>
      </c>
      <c r="I709">
        <v>1321.8229980000001</v>
      </c>
      <c r="J709">
        <v>1318.0515137</v>
      </c>
      <c r="K709">
        <v>2750</v>
      </c>
      <c r="L709">
        <v>0</v>
      </c>
      <c r="M709">
        <v>0</v>
      </c>
      <c r="N709">
        <v>2750</v>
      </c>
    </row>
    <row r="710" spans="1:14" x14ac:dyDescent="0.25">
      <c r="A710">
        <v>164.880842</v>
      </c>
      <c r="B710" s="1">
        <f>DATE(2010,10,12) + TIME(21,8,24)</f>
        <v>40463.880833333336</v>
      </c>
      <c r="C710">
        <v>80</v>
      </c>
      <c r="D710">
        <v>79.953865050999994</v>
      </c>
      <c r="E710">
        <v>60</v>
      </c>
      <c r="F710">
        <v>47.713050842000001</v>
      </c>
      <c r="G710">
        <v>1340.1297606999999</v>
      </c>
      <c r="H710">
        <v>1337.7730713000001</v>
      </c>
      <c r="I710">
        <v>1321.8317870999999</v>
      </c>
      <c r="J710">
        <v>1318.0651855000001</v>
      </c>
      <c r="K710">
        <v>2750</v>
      </c>
      <c r="L710">
        <v>0</v>
      </c>
      <c r="M710">
        <v>0</v>
      </c>
      <c r="N710">
        <v>2750</v>
      </c>
    </row>
    <row r="711" spans="1:14" x14ac:dyDescent="0.25">
      <c r="A711">
        <v>165.37338099999999</v>
      </c>
      <c r="B711" s="1">
        <f>DATE(2010,10,13) + TIME(8,57,40)</f>
        <v>40464.373379629629</v>
      </c>
      <c r="C711">
        <v>80</v>
      </c>
      <c r="D711">
        <v>79.953887938999998</v>
      </c>
      <c r="E711">
        <v>60</v>
      </c>
      <c r="F711">
        <v>47.832374573000003</v>
      </c>
      <c r="G711">
        <v>1340.1278076000001</v>
      </c>
      <c r="H711">
        <v>1337.7714844</v>
      </c>
      <c r="I711">
        <v>1321.8404541</v>
      </c>
      <c r="J711">
        <v>1318.0784911999999</v>
      </c>
      <c r="K711">
        <v>2750</v>
      </c>
      <c r="L711">
        <v>0</v>
      </c>
      <c r="M711">
        <v>0</v>
      </c>
      <c r="N711">
        <v>2750</v>
      </c>
    </row>
    <row r="712" spans="1:14" x14ac:dyDescent="0.25">
      <c r="A712">
        <v>165.86592099999999</v>
      </c>
      <c r="B712" s="1">
        <f>DATE(2010,10,13) + TIME(20,46,55)</f>
        <v>40464.865914351853</v>
      </c>
      <c r="C712">
        <v>80</v>
      </c>
      <c r="D712">
        <v>79.953910828000005</v>
      </c>
      <c r="E712">
        <v>60</v>
      </c>
      <c r="F712">
        <v>47.948734283</v>
      </c>
      <c r="G712">
        <v>1340.1257324000001</v>
      </c>
      <c r="H712">
        <v>1337.7698975000001</v>
      </c>
      <c r="I712">
        <v>1321.848999</v>
      </c>
      <c r="J712">
        <v>1318.0914307</v>
      </c>
      <c r="K712">
        <v>2750</v>
      </c>
      <c r="L712">
        <v>0</v>
      </c>
      <c r="M712">
        <v>0</v>
      </c>
      <c r="N712">
        <v>2750</v>
      </c>
    </row>
    <row r="713" spans="1:14" x14ac:dyDescent="0.25">
      <c r="A713">
        <v>166.35846100000001</v>
      </c>
      <c r="B713" s="1">
        <f>DATE(2010,10,14) + TIME(8,36,11)</f>
        <v>40465.358460648145</v>
      </c>
      <c r="C713">
        <v>80</v>
      </c>
      <c r="D713">
        <v>79.953933715999995</v>
      </c>
      <c r="E713">
        <v>60</v>
      </c>
      <c r="F713">
        <v>48.063056946000003</v>
      </c>
      <c r="G713">
        <v>1340.1236572</v>
      </c>
      <c r="H713">
        <v>1337.7683105000001</v>
      </c>
      <c r="I713">
        <v>1321.8576660000001</v>
      </c>
      <c r="J713">
        <v>1318.1043701000001</v>
      </c>
      <c r="K713">
        <v>2750</v>
      </c>
      <c r="L713">
        <v>0</v>
      </c>
      <c r="M713">
        <v>0</v>
      </c>
      <c r="N713">
        <v>2750</v>
      </c>
    </row>
    <row r="714" spans="1:14" x14ac:dyDescent="0.25">
      <c r="A714">
        <v>167.34353999999999</v>
      </c>
      <c r="B714" s="1">
        <f>DATE(2010,10,15) + TIME(8,14,41)</f>
        <v>40466.343530092592</v>
      </c>
      <c r="C714">
        <v>80</v>
      </c>
      <c r="D714">
        <v>79.953987122000001</v>
      </c>
      <c r="E714">
        <v>60</v>
      </c>
      <c r="F714">
        <v>48.210716247999997</v>
      </c>
      <c r="G714">
        <v>1340.121582</v>
      </c>
      <c r="H714">
        <v>1337.7667236</v>
      </c>
      <c r="I714">
        <v>1321.8654785000001</v>
      </c>
      <c r="J714">
        <v>1318.1184082</v>
      </c>
      <c r="K714">
        <v>2750</v>
      </c>
      <c r="L714">
        <v>0</v>
      </c>
      <c r="M714">
        <v>0</v>
      </c>
      <c r="N714">
        <v>2750</v>
      </c>
    </row>
    <row r="715" spans="1:14" x14ac:dyDescent="0.25">
      <c r="A715">
        <v>168.32982899999999</v>
      </c>
      <c r="B715" s="1">
        <f>DATE(2010,10,16) + TIME(7,54,57)</f>
        <v>40467.329826388886</v>
      </c>
      <c r="C715">
        <v>80</v>
      </c>
      <c r="D715">
        <v>79.954040527000004</v>
      </c>
      <c r="E715">
        <v>60</v>
      </c>
      <c r="F715">
        <v>48.408386229999998</v>
      </c>
      <c r="G715">
        <v>1340.1175536999999</v>
      </c>
      <c r="H715">
        <v>1337.7635498</v>
      </c>
      <c r="I715">
        <v>1321.8817139</v>
      </c>
      <c r="J715">
        <v>1318.140625</v>
      </c>
      <c r="K715">
        <v>2750</v>
      </c>
      <c r="L715">
        <v>0</v>
      </c>
      <c r="M715">
        <v>0</v>
      </c>
      <c r="N715">
        <v>2750</v>
      </c>
    </row>
    <row r="716" spans="1:14" x14ac:dyDescent="0.25">
      <c r="A716">
        <v>169.32775799999999</v>
      </c>
      <c r="B716" s="1">
        <f>DATE(2010,10,17) + TIME(7,51,58)</f>
        <v>40468.32775462963</v>
      </c>
      <c r="C716">
        <v>80</v>
      </c>
      <c r="D716">
        <v>79.954086304</v>
      </c>
      <c r="E716">
        <v>60</v>
      </c>
      <c r="F716">
        <v>48.619197845000002</v>
      </c>
      <c r="G716">
        <v>1340.1135254000001</v>
      </c>
      <c r="H716">
        <v>1337.7604980000001</v>
      </c>
      <c r="I716">
        <v>1321.8983154</v>
      </c>
      <c r="J716">
        <v>1318.1645507999999</v>
      </c>
      <c r="K716">
        <v>2750</v>
      </c>
      <c r="L716">
        <v>0</v>
      </c>
      <c r="M716">
        <v>0</v>
      </c>
      <c r="N716">
        <v>2750</v>
      </c>
    </row>
    <row r="717" spans="1:14" x14ac:dyDescent="0.25">
      <c r="A717">
        <v>170.34039799999999</v>
      </c>
      <c r="B717" s="1">
        <f>DATE(2010,10,18) + TIME(8,10,10)</f>
        <v>40469.34039351852</v>
      </c>
      <c r="C717">
        <v>80</v>
      </c>
      <c r="D717">
        <v>79.954139709000003</v>
      </c>
      <c r="E717">
        <v>60</v>
      </c>
      <c r="F717">
        <v>48.833305359000001</v>
      </c>
      <c r="G717">
        <v>1340.1094971</v>
      </c>
      <c r="H717">
        <v>1337.7574463000001</v>
      </c>
      <c r="I717">
        <v>1321.9150391000001</v>
      </c>
      <c r="J717">
        <v>1318.1892089999999</v>
      </c>
      <c r="K717">
        <v>2750</v>
      </c>
      <c r="L717">
        <v>0</v>
      </c>
      <c r="M717">
        <v>0</v>
      </c>
      <c r="N717">
        <v>2750</v>
      </c>
    </row>
    <row r="718" spans="1:14" x14ac:dyDescent="0.25">
      <c r="A718">
        <v>171.36572200000001</v>
      </c>
      <c r="B718" s="1">
        <f>DATE(2010,10,19) + TIME(8,46,38)</f>
        <v>40470.365717592591</v>
      </c>
      <c r="C718">
        <v>80</v>
      </c>
      <c r="D718">
        <v>79.954185486</v>
      </c>
      <c r="E718">
        <v>60</v>
      </c>
      <c r="F718">
        <v>49.047710418999998</v>
      </c>
      <c r="G718">
        <v>1340.1055908000001</v>
      </c>
      <c r="H718">
        <v>1337.7543945</v>
      </c>
      <c r="I718">
        <v>1321.9320068</v>
      </c>
      <c r="J718">
        <v>1318.2141113</v>
      </c>
      <c r="K718">
        <v>2750</v>
      </c>
      <c r="L718">
        <v>0</v>
      </c>
      <c r="M718">
        <v>0</v>
      </c>
      <c r="N718">
        <v>2750</v>
      </c>
    </row>
    <row r="719" spans="1:14" x14ac:dyDescent="0.25">
      <c r="A719">
        <v>172.400282</v>
      </c>
      <c r="B719" s="1">
        <f>DATE(2010,10,20) + TIME(9,36,24)</f>
        <v>40471.400277777779</v>
      </c>
      <c r="C719">
        <v>80</v>
      </c>
      <c r="D719">
        <v>79.954238892000006</v>
      </c>
      <c r="E719">
        <v>60</v>
      </c>
      <c r="F719">
        <v>49.261039734000001</v>
      </c>
      <c r="G719">
        <v>1340.1015625</v>
      </c>
      <c r="H719">
        <v>1337.7513428</v>
      </c>
      <c r="I719">
        <v>1321.9490966999999</v>
      </c>
      <c r="J719">
        <v>1318.2392577999999</v>
      </c>
      <c r="K719">
        <v>2750</v>
      </c>
      <c r="L719">
        <v>0</v>
      </c>
      <c r="M719">
        <v>0</v>
      </c>
      <c r="N719">
        <v>2750</v>
      </c>
    </row>
    <row r="720" spans="1:14" x14ac:dyDescent="0.25">
      <c r="A720">
        <v>173.44764000000001</v>
      </c>
      <c r="B720" s="1">
        <f>DATE(2010,10,21) + TIME(10,44,36)</f>
        <v>40472.447638888887</v>
      </c>
      <c r="C720">
        <v>80</v>
      </c>
      <c r="D720">
        <v>79.954292296999995</v>
      </c>
      <c r="E720">
        <v>60</v>
      </c>
      <c r="F720">
        <v>49.472785950000002</v>
      </c>
      <c r="G720">
        <v>1340.0975341999999</v>
      </c>
      <c r="H720">
        <v>1337.7481689000001</v>
      </c>
      <c r="I720">
        <v>1321.9661865</v>
      </c>
      <c r="J720">
        <v>1318.2644043</v>
      </c>
      <c r="K720">
        <v>2750</v>
      </c>
      <c r="L720">
        <v>0</v>
      </c>
      <c r="M720">
        <v>0</v>
      </c>
      <c r="N720">
        <v>2750</v>
      </c>
    </row>
    <row r="721" spans="1:14" x14ac:dyDescent="0.25">
      <c r="A721">
        <v>174.50530000000001</v>
      </c>
      <c r="B721" s="1">
        <f>DATE(2010,10,22) + TIME(12,7,37)</f>
        <v>40473.505289351851</v>
      </c>
      <c r="C721">
        <v>80</v>
      </c>
      <c r="D721">
        <v>79.954338074000006</v>
      </c>
      <c r="E721">
        <v>60</v>
      </c>
      <c r="F721">
        <v>49.682933806999998</v>
      </c>
      <c r="G721">
        <v>1340.0935059000001</v>
      </c>
      <c r="H721">
        <v>1337.7451172000001</v>
      </c>
      <c r="I721">
        <v>1321.9833983999999</v>
      </c>
      <c r="J721">
        <v>1318.2896728999999</v>
      </c>
      <c r="K721">
        <v>2750</v>
      </c>
      <c r="L721">
        <v>0</v>
      </c>
      <c r="M721">
        <v>0</v>
      </c>
      <c r="N721">
        <v>2750</v>
      </c>
    </row>
    <row r="722" spans="1:14" x14ac:dyDescent="0.25">
      <c r="A722">
        <v>175.03886900000001</v>
      </c>
      <c r="B722" s="1">
        <f>DATE(2010,10,23) + TIME(0,55,58)</f>
        <v>40474.038865740738</v>
      </c>
      <c r="C722">
        <v>80</v>
      </c>
      <c r="D722">
        <v>79.954360961999996</v>
      </c>
      <c r="E722">
        <v>60</v>
      </c>
      <c r="F722">
        <v>49.844387054000002</v>
      </c>
      <c r="G722">
        <v>1340.0894774999999</v>
      </c>
      <c r="H722">
        <v>1337.7420654</v>
      </c>
      <c r="I722">
        <v>1322.0013428</v>
      </c>
      <c r="J722">
        <v>1318.3131103999999</v>
      </c>
      <c r="K722">
        <v>2750</v>
      </c>
      <c r="L722">
        <v>0</v>
      </c>
      <c r="M722">
        <v>0</v>
      </c>
      <c r="N722">
        <v>2750</v>
      </c>
    </row>
    <row r="723" spans="1:14" x14ac:dyDescent="0.25">
      <c r="A723">
        <v>175.57243800000001</v>
      </c>
      <c r="B723" s="1">
        <f>DATE(2010,10,23) + TIME(13,44,18)</f>
        <v>40474.572430555556</v>
      </c>
      <c r="C723">
        <v>80</v>
      </c>
      <c r="D723">
        <v>79.954383849999999</v>
      </c>
      <c r="E723">
        <v>60</v>
      </c>
      <c r="F723">
        <v>49.973411560000002</v>
      </c>
      <c r="G723">
        <v>1340.0875243999999</v>
      </c>
      <c r="H723">
        <v>1337.7406006000001</v>
      </c>
      <c r="I723">
        <v>1322.0104980000001</v>
      </c>
      <c r="J723">
        <v>1318.3282471</v>
      </c>
      <c r="K723">
        <v>2750</v>
      </c>
      <c r="L723">
        <v>0</v>
      </c>
      <c r="M723">
        <v>0</v>
      </c>
      <c r="N723">
        <v>2750</v>
      </c>
    </row>
    <row r="724" spans="1:14" x14ac:dyDescent="0.25">
      <c r="A724">
        <v>176.10566399999999</v>
      </c>
      <c r="B724" s="1">
        <f>DATE(2010,10,24) + TIME(2,32,9)</f>
        <v>40475.10565972222</v>
      </c>
      <c r="C724">
        <v>80</v>
      </c>
      <c r="D724">
        <v>79.954414368000002</v>
      </c>
      <c r="E724">
        <v>60</v>
      </c>
      <c r="F724">
        <v>50.0872612</v>
      </c>
      <c r="G724">
        <v>1340.0854492000001</v>
      </c>
      <c r="H724">
        <v>1337.7391356999999</v>
      </c>
      <c r="I724">
        <v>1322.0194091999999</v>
      </c>
      <c r="J724">
        <v>1318.3421631000001</v>
      </c>
      <c r="K724">
        <v>2750</v>
      </c>
      <c r="L724">
        <v>0</v>
      </c>
      <c r="M724">
        <v>0</v>
      </c>
      <c r="N724">
        <v>2750</v>
      </c>
    </row>
    <row r="725" spans="1:14" x14ac:dyDescent="0.25">
      <c r="A725">
        <v>176.63834299999999</v>
      </c>
      <c r="B725" s="1">
        <f>DATE(2010,10,24) + TIME(15,19,12)</f>
        <v>40475.638333333336</v>
      </c>
      <c r="C725">
        <v>80</v>
      </c>
      <c r="D725">
        <v>79.954437256000006</v>
      </c>
      <c r="E725">
        <v>60</v>
      </c>
      <c r="F725">
        <v>50.19367218</v>
      </c>
      <c r="G725">
        <v>1340.0834961</v>
      </c>
      <c r="H725">
        <v>1337.7375488</v>
      </c>
      <c r="I725">
        <v>1322.0280762</v>
      </c>
      <c r="J725">
        <v>1318.3552245999999</v>
      </c>
      <c r="K725">
        <v>2750</v>
      </c>
      <c r="L725">
        <v>0</v>
      </c>
      <c r="M725">
        <v>0</v>
      </c>
      <c r="N725">
        <v>2750</v>
      </c>
    </row>
    <row r="726" spans="1:14" x14ac:dyDescent="0.25">
      <c r="A726">
        <v>177.17095900000001</v>
      </c>
      <c r="B726" s="1">
        <f>DATE(2010,10,25) + TIME(4,6,10)</f>
        <v>40476.170949074076</v>
      </c>
      <c r="C726">
        <v>80</v>
      </c>
      <c r="D726">
        <v>79.954460143999995</v>
      </c>
      <c r="E726">
        <v>60</v>
      </c>
      <c r="F726">
        <v>50.296134948999999</v>
      </c>
      <c r="G726">
        <v>1340.081543</v>
      </c>
      <c r="H726">
        <v>1337.7360839999999</v>
      </c>
      <c r="I726">
        <v>1322.0367432</v>
      </c>
      <c r="J726">
        <v>1318.3680420000001</v>
      </c>
      <c r="K726">
        <v>2750</v>
      </c>
      <c r="L726">
        <v>0</v>
      </c>
      <c r="M726">
        <v>0</v>
      </c>
      <c r="N726">
        <v>2750</v>
      </c>
    </row>
    <row r="727" spans="1:14" x14ac:dyDescent="0.25">
      <c r="A727">
        <v>177.703575</v>
      </c>
      <c r="B727" s="1">
        <f>DATE(2010,10,25) + TIME(16,53,8)</f>
        <v>40476.703564814816</v>
      </c>
      <c r="C727">
        <v>80</v>
      </c>
      <c r="D727">
        <v>79.954490661999998</v>
      </c>
      <c r="E727">
        <v>60</v>
      </c>
      <c r="F727">
        <v>50.396236420000001</v>
      </c>
      <c r="G727">
        <v>1340.0795897999999</v>
      </c>
      <c r="H727">
        <v>1337.7346190999999</v>
      </c>
      <c r="I727">
        <v>1322.0452881000001</v>
      </c>
      <c r="J727">
        <v>1318.3804932</v>
      </c>
      <c r="K727">
        <v>2750</v>
      </c>
      <c r="L727">
        <v>0</v>
      </c>
      <c r="M727">
        <v>0</v>
      </c>
      <c r="N727">
        <v>2750</v>
      </c>
    </row>
    <row r="728" spans="1:14" x14ac:dyDescent="0.25">
      <c r="A728">
        <v>178.23619199999999</v>
      </c>
      <c r="B728" s="1">
        <f>DATE(2010,10,26) + TIME(5,40,6)</f>
        <v>40477.236180555556</v>
      </c>
      <c r="C728">
        <v>80</v>
      </c>
      <c r="D728">
        <v>79.954513550000001</v>
      </c>
      <c r="E728">
        <v>60</v>
      </c>
      <c r="F728">
        <v>50.494701384999999</v>
      </c>
      <c r="G728">
        <v>1340.0776367000001</v>
      </c>
      <c r="H728">
        <v>1337.7331543</v>
      </c>
      <c r="I728">
        <v>1322.0537108999999</v>
      </c>
      <c r="J728">
        <v>1318.3928223</v>
      </c>
      <c r="K728">
        <v>2750</v>
      </c>
      <c r="L728">
        <v>0</v>
      </c>
      <c r="M728">
        <v>0</v>
      </c>
      <c r="N728">
        <v>2750</v>
      </c>
    </row>
    <row r="729" spans="1:14" x14ac:dyDescent="0.25">
      <c r="A729">
        <v>179.301424</v>
      </c>
      <c r="B729" s="1">
        <f>DATE(2010,10,27) + TIME(7,14,3)</f>
        <v>40478.301423611112</v>
      </c>
      <c r="C729">
        <v>80</v>
      </c>
      <c r="D729">
        <v>79.954574585000003</v>
      </c>
      <c r="E729">
        <v>60</v>
      </c>
      <c r="F729">
        <v>50.620037078999999</v>
      </c>
      <c r="G729">
        <v>1340.0758057</v>
      </c>
      <c r="H729">
        <v>1337.7316894999999</v>
      </c>
      <c r="I729">
        <v>1322.0616454999999</v>
      </c>
      <c r="J729">
        <v>1318.4061279</v>
      </c>
      <c r="K729">
        <v>2750</v>
      </c>
      <c r="L729">
        <v>0</v>
      </c>
      <c r="M729">
        <v>0</v>
      </c>
      <c r="N729">
        <v>2750</v>
      </c>
    </row>
    <row r="730" spans="1:14" x14ac:dyDescent="0.25">
      <c r="A730">
        <v>180.36852200000001</v>
      </c>
      <c r="B730" s="1">
        <f>DATE(2010,10,28) + TIME(8,50,40)</f>
        <v>40479.368518518517</v>
      </c>
      <c r="C730">
        <v>80</v>
      </c>
      <c r="D730">
        <v>79.954620360999996</v>
      </c>
      <c r="E730">
        <v>60</v>
      </c>
      <c r="F730">
        <v>50.791286468999999</v>
      </c>
      <c r="G730">
        <v>1340.0718993999999</v>
      </c>
      <c r="H730">
        <v>1337.7287598</v>
      </c>
      <c r="I730">
        <v>1322.0773925999999</v>
      </c>
      <c r="J730">
        <v>1318.4272461</v>
      </c>
      <c r="K730">
        <v>2750</v>
      </c>
      <c r="L730">
        <v>0</v>
      </c>
      <c r="M730">
        <v>0</v>
      </c>
      <c r="N730">
        <v>2750</v>
      </c>
    </row>
    <row r="731" spans="1:14" x14ac:dyDescent="0.25">
      <c r="A731">
        <v>181.448543</v>
      </c>
      <c r="B731" s="1">
        <f>DATE(2010,10,29) + TIME(10,45,54)</f>
        <v>40480.448541666665</v>
      </c>
      <c r="C731">
        <v>80</v>
      </c>
      <c r="D731">
        <v>79.954673767000003</v>
      </c>
      <c r="E731">
        <v>60</v>
      </c>
      <c r="F731">
        <v>50.973632811999998</v>
      </c>
      <c r="G731">
        <v>1340.0679932</v>
      </c>
      <c r="H731">
        <v>1337.7258300999999</v>
      </c>
      <c r="I731">
        <v>1322.0936279</v>
      </c>
      <c r="J731">
        <v>1318.4500731999999</v>
      </c>
      <c r="K731">
        <v>2750</v>
      </c>
      <c r="L731">
        <v>0</v>
      </c>
      <c r="M731">
        <v>0</v>
      </c>
      <c r="N731">
        <v>2750</v>
      </c>
    </row>
    <row r="732" spans="1:14" x14ac:dyDescent="0.25">
      <c r="A732">
        <v>182.54134500000001</v>
      </c>
      <c r="B732" s="1">
        <f>DATE(2010,10,30) + TIME(12,59,32)</f>
        <v>40481.541342592594</v>
      </c>
      <c r="C732">
        <v>80</v>
      </c>
      <c r="D732">
        <v>79.954727172999995</v>
      </c>
      <c r="E732">
        <v>60</v>
      </c>
      <c r="F732">
        <v>51.158363342000001</v>
      </c>
      <c r="G732">
        <v>1340.0642089999999</v>
      </c>
      <c r="H732">
        <v>1337.7230225000001</v>
      </c>
      <c r="I732">
        <v>1322.1101074000001</v>
      </c>
      <c r="J732">
        <v>1318.4735106999999</v>
      </c>
      <c r="K732">
        <v>2750</v>
      </c>
      <c r="L732">
        <v>0</v>
      </c>
      <c r="M732">
        <v>0</v>
      </c>
      <c r="N732">
        <v>2750</v>
      </c>
    </row>
    <row r="733" spans="1:14" x14ac:dyDescent="0.25">
      <c r="A733">
        <v>183.644903</v>
      </c>
      <c r="B733" s="1">
        <f>DATE(2010,10,31) + TIME(15,28,39)</f>
        <v>40482.644895833335</v>
      </c>
      <c r="C733">
        <v>80</v>
      </c>
      <c r="D733">
        <v>79.954780579000001</v>
      </c>
      <c r="E733">
        <v>60</v>
      </c>
      <c r="F733">
        <v>51.342750549000002</v>
      </c>
      <c r="G733">
        <v>1340.0603027</v>
      </c>
      <c r="H733">
        <v>1337.7200928</v>
      </c>
      <c r="I733">
        <v>1322.1267089999999</v>
      </c>
      <c r="J733">
        <v>1318.4971923999999</v>
      </c>
      <c r="K733">
        <v>2750</v>
      </c>
      <c r="L733">
        <v>0</v>
      </c>
      <c r="M733">
        <v>0</v>
      </c>
      <c r="N733">
        <v>2750</v>
      </c>
    </row>
    <row r="734" spans="1:14" x14ac:dyDescent="0.25">
      <c r="A734">
        <v>184</v>
      </c>
      <c r="B734" s="1">
        <f>DATE(2010,11,1) + TIME(0,0,0)</f>
        <v>40483</v>
      </c>
      <c r="C734">
        <v>80</v>
      </c>
      <c r="D734">
        <v>79.954795837000006</v>
      </c>
      <c r="E734">
        <v>60</v>
      </c>
      <c r="F734">
        <v>51.457450866999999</v>
      </c>
      <c r="G734">
        <v>1340.0565185999999</v>
      </c>
      <c r="H734">
        <v>1337.7172852000001</v>
      </c>
      <c r="I734">
        <v>1322.1442870999999</v>
      </c>
      <c r="J734">
        <v>1318.5183105000001</v>
      </c>
      <c r="K734">
        <v>2750</v>
      </c>
      <c r="L734">
        <v>0</v>
      </c>
      <c r="M734">
        <v>0</v>
      </c>
      <c r="N734">
        <v>2750</v>
      </c>
    </row>
    <row r="735" spans="1:14" x14ac:dyDescent="0.25">
      <c r="A735">
        <v>184.000001</v>
      </c>
      <c r="B735" s="1">
        <f>DATE(2010,11,1) + TIME(0,0,0)</f>
        <v>40483</v>
      </c>
      <c r="C735">
        <v>80</v>
      </c>
      <c r="D735">
        <v>79.954689025999997</v>
      </c>
      <c r="E735">
        <v>60</v>
      </c>
      <c r="F735">
        <v>51.457633971999996</v>
      </c>
      <c r="G735">
        <v>1336.9967041</v>
      </c>
      <c r="H735">
        <v>1336.2282714999999</v>
      </c>
      <c r="I735">
        <v>1326.8392334</v>
      </c>
      <c r="J735">
        <v>1323.4071045000001</v>
      </c>
      <c r="K735">
        <v>0</v>
      </c>
      <c r="L735">
        <v>2750</v>
      </c>
      <c r="M735">
        <v>2750</v>
      </c>
      <c r="N735">
        <v>0</v>
      </c>
    </row>
    <row r="736" spans="1:14" x14ac:dyDescent="0.25">
      <c r="A736">
        <v>184.00000399999999</v>
      </c>
      <c r="B736" s="1">
        <f>DATE(2010,11,1) + TIME(0,0,0)</f>
        <v>40483</v>
      </c>
      <c r="C736">
        <v>80</v>
      </c>
      <c r="D736">
        <v>79.954551696999999</v>
      </c>
      <c r="E736">
        <v>60</v>
      </c>
      <c r="F736">
        <v>51.457920074</v>
      </c>
      <c r="G736">
        <v>1336.0356445</v>
      </c>
      <c r="H736">
        <v>1335.2592772999999</v>
      </c>
      <c r="I736">
        <v>1328.4367675999999</v>
      </c>
      <c r="J736">
        <v>1325.2719727000001</v>
      </c>
      <c r="K736">
        <v>0</v>
      </c>
      <c r="L736">
        <v>2750</v>
      </c>
      <c r="M736">
        <v>2750</v>
      </c>
      <c r="N736">
        <v>0</v>
      </c>
    </row>
    <row r="737" spans="1:14" x14ac:dyDescent="0.25">
      <c r="A737">
        <v>184.000013</v>
      </c>
      <c r="B737" s="1">
        <f>DATE(2010,11,1) + TIME(0,0,1)</f>
        <v>40483.000011574077</v>
      </c>
      <c r="C737">
        <v>80</v>
      </c>
      <c r="D737">
        <v>79.954406738000003</v>
      </c>
      <c r="E737">
        <v>60</v>
      </c>
      <c r="F737">
        <v>51.458343505999999</v>
      </c>
      <c r="G737">
        <v>1335.0421143000001</v>
      </c>
      <c r="H737">
        <v>1334.2365723</v>
      </c>
      <c r="I737">
        <v>1330.5467529</v>
      </c>
      <c r="J737">
        <v>1327.3947754000001</v>
      </c>
      <c r="K737">
        <v>0</v>
      </c>
      <c r="L737">
        <v>2750</v>
      </c>
      <c r="M737">
        <v>2750</v>
      </c>
      <c r="N737">
        <v>0</v>
      </c>
    </row>
    <row r="738" spans="1:14" x14ac:dyDescent="0.25">
      <c r="A738">
        <v>184.00004000000001</v>
      </c>
      <c r="B738" s="1">
        <f>DATE(2010,11,1) + TIME(0,0,3)</f>
        <v>40483.000034722223</v>
      </c>
      <c r="C738">
        <v>80</v>
      </c>
      <c r="D738">
        <v>79.954261779999996</v>
      </c>
      <c r="E738">
        <v>60</v>
      </c>
      <c r="F738">
        <v>51.459091186999999</v>
      </c>
      <c r="G738">
        <v>1334.0607910000001</v>
      </c>
      <c r="H738">
        <v>1333.2102050999999</v>
      </c>
      <c r="I738">
        <v>1332.7906493999999</v>
      </c>
      <c r="J738">
        <v>1329.5874022999999</v>
      </c>
      <c r="K738">
        <v>0</v>
      </c>
      <c r="L738">
        <v>2750</v>
      </c>
      <c r="M738">
        <v>2750</v>
      </c>
      <c r="N738">
        <v>0</v>
      </c>
    </row>
    <row r="739" spans="1:14" x14ac:dyDescent="0.25">
      <c r="A739">
        <v>184.00012100000001</v>
      </c>
      <c r="B739" s="1">
        <f>DATE(2010,11,1) + TIME(0,0,10)</f>
        <v>40483.000115740739</v>
      </c>
      <c r="C739">
        <v>80</v>
      </c>
      <c r="D739">
        <v>79.954101562000005</v>
      </c>
      <c r="E739">
        <v>60</v>
      </c>
      <c r="F739">
        <v>51.460796356000003</v>
      </c>
      <c r="G739">
        <v>1333.0362548999999</v>
      </c>
      <c r="H739">
        <v>1332.1224365</v>
      </c>
      <c r="I739">
        <v>1335.0216064000001</v>
      </c>
      <c r="J739">
        <v>1331.7729492000001</v>
      </c>
      <c r="K739">
        <v>0</v>
      </c>
      <c r="L739">
        <v>2750</v>
      </c>
      <c r="M739">
        <v>2750</v>
      </c>
      <c r="N739">
        <v>0</v>
      </c>
    </row>
    <row r="740" spans="1:14" x14ac:dyDescent="0.25">
      <c r="A740">
        <v>184.00036399999999</v>
      </c>
      <c r="B740" s="1">
        <f>DATE(2010,11,1) + TIME(0,0,31)</f>
        <v>40483.000358796293</v>
      </c>
      <c r="C740">
        <v>80</v>
      </c>
      <c r="D740">
        <v>79.953887938999998</v>
      </c>
      <c r="E740">
        <v>60</v>
      </c>
      <c r="F740">
        <v>51.465431213000002</v>
      </c>
      <c r="G740">
        <v>1331.9191894999999</v>
      </c>
      <c r="H740">
        <v>1330.9320068</v>
      </c>
      <c r="I740">
        <v>1337.2084961</v>
      </c>
      <c r="J740">
        <v>1333.8985596</v>
      </c>
      <c r="K740">
        <v>0</v>
      </c>
      <c r="L740">
        <v>2750</v>
      </c>
      <c r="M740">
        <v>2750</v>
      </c>
      <c r="N740">
        <v>0</v>
      </c>
    </row>
    <row r="741" spans="1:14" x14ac:dyDescent="0.25">
      <c r="A741">
        <v>184.001093</v>
      </c>
      <c r="B741" s="1">
        <f>DATE(2010,11,1) + TIME(0,1,34)</f>
        <v>40483.001087962963</v>
      </c>
      <c r="C741">
        <v>80</v>
      </c>
      <c r="D741">
        <v>79.953552246000001</v>
      </c>
      <c r="E741">
        <v>60</v>
      </c>
      <c r="F741">
        <v>51.479064940999997</v>
      </c>
      <c r="G741">
        <v>1330.7780762</v>
      </c>
      <c r="H741">
        <v>1329.7255858999999</v>
      </c>
      <c r="I741">
        <v>1339.1923827999999</v>
      </c>
      <c r="J741">
        <v>1335.8026123</v>
      </c>
      <c r="K741">
        <v>0</v>
      </c>
      <c r="L741">
        <v>2750</v>
      </c>
      <c r="M741">
        <v>2750</v>
      </c>
      <c r="N741">
        <v>0</v>
      </c>
    </row>
    <row r="742" spans="1:14" x14ac:dyDescent="0.25">
      <c r="A742">
        <v>184.00327999999999</v>
      </c>
      <c r="B742" s="1">
        <f>DATE(2010,11,1) + TIME(0,4,43)</f>
        <v>40483.003275462965</v>
      </c>
      <c r="C742">
        <v>80</v>
      </c>
      <c r="D742">
        <v>79.952896117999998</v>
      </c>
      <c r="E742">
        <v>60</v>
      </c>
      <c r="F742">
        <v>51.520061493</v>
      </c>
      <c r="G742">
        <v>1329.8387451000001</v>
      </c>
      <c r="H742">
        <v>1328.7491454999999</v>
      </c>
      <c r="I742">
        <v>1340.6326904</v>
      </c>
      <c r="J742">
        <v>1337.1749268000001</v>
      </c>
      <c r="K742">
        <v>0</v>
      </c>
      <c r="L742">
        <v>2750</v>
      </c>
      <c r="M742">
        <v>2750</v>
      </c>
      <c r="N742">
        <v>0</v>
      </c>
    </row>
    <row r="743" spans="1:14" x14ac:dyDescent="0.25">
      <c r="A743">
        <v>184.00984099999999</v>
      </c>
      <c r="B743" s="1">
        <f>DATE(2010,11,1) + TIME(0,14,10)</f>
        <v>40483.009837962964</v>
      </c>
      <c r="C743">
        <v>80</v>
      </c>
      <c r="D743">
        <v>79.951232910000002</v>
      </c>
      <c r="E743">
        <v>60</v>
      </c>
      <c r="F743">
        <v>51.641841888000002</v>
      </c>
      <c r="G743">
        <v>1329.2956543</v>
      </c>
      <c r="H743">
        <v>1328.1933594</v>
      </c>
      <c r="I743">
        <v>1341.3089600000001</v>
      </c>
      <c r="J743">
        <v>1337.8295897999999</v>
      </c>
      <c r="K743">
        <v>0</v>
      </c>
      <c r="L743">
        <v>2750</v>
      </c>
      <c r="M743">
        <v>2750</v>
      </c>
      <c r="N743">
        <v>0</v>
      </c>
    </row>
    <row r="744" spans="1:14" x14ac:dyDescent="0.25">
      <c r="A744">
        <v>184.02952400000001</v>
      </c>
      <c r="B744" s="1">
        <f>DATE(2010,11,1) + TIME(0,42,30)</f>
        <v>40483.029513888891</v>
      </c>
      <c r="C744">
        <v>80</v>
      </c>
      <c r="D744">
        <v>79.946525574000006</v>
      </c>
      <c r="E744">
        <v>60</v>
      </c>
      <c r="F744">
        <v>51.989799499999997</v>
      </c>
      <c r="G744">
        <v>1329.1168213000001</v>
      </c>
      <c r="H744">
        <v>1328.0109863</v>
      </c>
      <c r="I744">
        <v>1341.3842772999999</v>
      </c>
      <c r="J744">
        <v>1337.9428711</v>
      </c>
      <c r="K744">
        <v>0</v>
      </c>
      <c r="L744">
        <v>2750</v>
      </c>
      <c r="M744">
        <v>2750</v>
      </c>
      <c r="N744">
        <v>0</v>
      </c>
    </row>
    <row r="745" spans="1:14" x14ac:dyDescent="0.25">
      <c r="A745">
        <v>184.05034000000001</v>
      </c>
      <c r="B745" s="1">
        <f>DATE(2010,11,1) + TIME(1,12,29)</f>
        <v>40483.050335648149</v>
      </c>
      <c r="C745">
        <v>80</v>
      </c>
      <c r="D745">
        <v>79.941596985000004</v>
      </c>
      <c r="E745">
        <v>60</v>
      </c>
      <c r="F745">
        <v>52.339900970000002</v>
      </c>
      <c r="G745">
        <v>1329.0893555</v>
      </c>
      <c r="H745">
        <v>1327.9813231999999</v>
      </c>
      <c r="I745">
        <v>1341.3259277</v>
      </c>
      <c r="J745">
        <v>1337.9208983999999</v>
      </c>
      <c r="K745">
        <v>0</v>
      </c>
      <c r="L745">
        <v>2750</v>
      </c>
      <c r="M745">
        <v>2750</v>
      </c>
      <c r="N745">
        <v>0</v>
      </c>
    </row>
    <row r="746" spans="1:14" x14ac:dyDescent="0.25">
      <c r="A746">
        <v>184.07160400000001</v>
      </c>
      <c r="B746" s="1">
        <f>DATE(2010,11,1) + TIME(1,43,6)</f>
        <v>40483.071597222224</v>
      </c>
      <c r="C746">
        <v>80</v>
      </c>
      <c r="D746">
        <v>79.936592102000006</v>
      </c>
      <c r="E746">
        <v>60</v>
      </c>
      <c r="F746">
        <v>52.679996490000001</v>
      </c>
      <c r="G746">
        <v>1329.0821533000001</v>
      </c>
      <c r="H746">
        <v>1327.9722899999999</v>
      </c>
      <c r="I746">
        <v>1341.2611084</v>
      </c>
      <c r="J746">
        <v>1337.890625</v>
      </c>
      <c r="K746">
        <v>0</v>
      </c>
      <c r="L746">
        <v>2750</v>
      </c>
      <c r="M746">
        <v>2750</v>
      </c>
      <c r="N746">
        <v>0</v>
      </c>
    </row>
    <row r="747" spans="1:14" x14ac:dyDescent="0.25">
      <c r="A747">
        <v>184.093309</v>
      </c>
      <c r="B747" s="1">
        <f>DATE(2010,11,1) + TIME(2,14,21)</f>
        <v>40483.093298611115</v>
      </c>
      <c r="C747">
        <v>80</v>
      </c>
      <c r="D747">
        <v>79.931518554999997</v>
      </c>
      <c r="E747">
        <v>60</v>
      </c>
      <c r="F747">
        <v>53.009986877000003</v>
      </c>
      <c r="G747">
        <v>1329.078125</v>
      </c>
      <c r="H747">
        <v>1327.9661865</v>
      </c>
      <c r="I747">
        <v>1341.2008057</v>
      </c>
      <c r="J747">
        <v>1337.8624268000001</v>
      </c>
      <c r="K747">
        <v>0</v>
      </c>
      <c r="L747">
        <v>2750</v>
      </c>
      <c r="M747">
        <v>2750</v>
      </c>
      <c r="N747">
        <v>0</v>
      </c>
    </row>
    <row r="748" spans="1:14" x14ac:dyDescent="0.25">
      <c r="A748">
        <v>184.11544699999999</v>
      </c>
      <c r="B748" s="1">
        <f>DATE(2010,11,1) + TIME(2,46,14)</f>
        <v>40483.115439814814</v>
      </c>
      <c r="C748">
        <v>80</v>
      </c>
      <c r="D748">
        <v>79.926368713000002</v>
      </c>
      <c r="E748">
        <v>60</v>
      </c>
      <c r="F748">
        <v>53.329631804999998</v>
      </c>
      <c r="G748">
        <v>1329.0745850000001</v>
      </c>
      <c r="H748">
        <v>1327.9608154</v>
      </c>
      <c r="I748">
        <v>1341.1453856999999</v>
      </c>
      <c r="J748">
        <v>1337.8370361</v>
      </c>
      <c r="K748">
        <v>0</v>
      </c>
      <c r="L748">
        <v>2750</v>
      </c>
      <c r="M748">
        <v>2750</v>
      </c>
      <c r="N748">
        <v>0</v>
      </c>
    </row>
    <row r="749" spans="1:14" x14ac:dyDescent="0.25">
      <c r="A749">
        <v>184.138012</v>
      </c>
      <c r="B749" s="1">
        <f>DATE(2010,11,1) + TIME(3,18,44)</f>
        <v>40483.138009259259</v>
      </c>
      <c r="C749">
        <v>80</v>
      </c>
      <c r="D749">
        <v>79.921150208</v>
      </c>
      <c r="E749">
        <v>60</v>
      </c>
      <c r="F749">
        <v>53.638957976999997</v>
      </c>
      <c r="G749">
        <v>1329.0710449000001</v>
      </c>
      <c r="H749">
        <v>1327.9554443</v>
      </c>
      <c r="I749">
        <v>1341.0948486</v>
      </c>
      <c r="J749">
        <v>1337.8142089999999</v>
      </c>
      <c r="K749">
        <v>0</v>
      </c>
      <c r="L749">
        <v>2750</v>
      </c>
      <c r="M749">
        <v>2750</v>
      </c>
      <c r="N749">
        <v>0</v>
      </c>
    </row>
    <row r="750" spans="1:14" x14ac:dyDescent="0.25">
      <c r="A750">
        <v>184.161045</v>
      </c>
      <c r="B750" s="1">
        <f>DATE(2010,11,1) + TIME(3,51,54)</f>
        <v>40483.161041666666</v>
      </c>
      <c r="C750">
        <v>80</v>
      </c>
      <c r="D750">
        <v>79.915847778</v>
      </c>
      <c r="E750">
        <v>60</v>
      </c>
      <c r="F750">
        <v>53.938598632999998</v>
      </c>
      <c r="G750">
        <v>1329.0676269999999</v>
      </c>
      <c r="H750">
        <v>1327.9500731999999</v>
      </c>
      <c r="I750">
        <v>1341.0487060999999</v>
      </c>
      <c r="J750">
        <v>1337.7937012</v>
      </c>
      <c r="K750">
        <v>0</v>
      </c>
      <c r="L750">
        <v>2750</v>
      </c>
      <c r="M750">
        <v>2750</v>
      </c>
      <c r="N750">
        <v>0</v>
      </c>
    </row>
    <row r="751" spans="1:14" x14ac:dyDescent="0.25">
      <c r="A751">
        <v>184.184574</v>
      </c>
      <c r="B751" s="1">
        <f>DATE(2010,11,1) + TIME(4,25,47)</f>
        <v>40483.184571759259</v>
      </c>
      <c r="C751">
        <v>80</v>
      </c>
      <c r="D751">
        <v>79.910469054999993</v>
      </c>
      <c r="E751">
        <v>60</v>
      </c>
      <c r="F751">
        <v>54.228919982999997</v>
      </c>
      <c r="G751">
        <v>1329.0642089999999</v>
      </c>
      <c r="H751">
        <v>1327.9447021000001</v>
      </c>
      <c r="I751">
        <v>1341.0067139</v>
      </c>
      <c r="J751">
        <v>1337.7755127</v>
      </c>
      <c r="K751">
        <v>0</v>
      </c>
      <c r="L751">
        <v>2750</v>
      </c>
      <c r="M751">
        <v>2750</v>
      </c>
      <c r="N751">
        <v>0</v>
      </c>
    </row>
    <row r="752" spans="1:14" x14ac:dyDescent="0.25">
      <c r="A752">
        <v>184.20862600000001</v>
      </c>
      <c r="B752" s="1">
        <f>DATE(2010,11,1) + TIME(5,0,25)</f>
        <v>40483.208622685182</v>
      </c>
      <c r="C752">
        <v>80</v>
      </c>
      <c r="D752">
        <v>79.905006408999995</v>
      </c>
      <c r="E752">
        <v>60</v>
      </c>
      <c r="F752">
        <v>54.510253906000003</v>
      </c>
      <c r="G752">
        <v>1329.0607910000001</v>
      </c>
      <c r="H752">
        <v>1327.9393310999999</v>
      </c>
      <c r="I752">
        <v>1340.96875</v>
      </c>
      <c r="J752">
        <v>1337.7596435999999</v>
      </c>
      <c r="K752">
        <v>0</v>
      </c>
      <c r="L752">
        <v>2750</v>
      </c>
      <c r="M752">
        <v>2750</v>
      </c>
      <c r="N752">
        <v>0</v>
      </c>
    </row>
    <row r="753" spans="1:14" x14ac:dyDescent="0.25">
      <c r="A753">
        <v>184.23323099999999</v>
      </c>
      <c r="B753" s="1">
        <f>DATE(2010,11,1) + TIME(5,35,51)</f>
        <v>40483.233229166668</v>
      </c>
      <c r="C753">
        <v>80</v>
      </c>
      <c r="D753">
        <v>79.899444579999994</v>
      </c>
      <c r="E753">
        <v>60</v>
      </c>
      <c r="F753">
        <v>54.782897949000002</v>
      </c>
      <c r="G753">
        <v>1329.057251</v>
      </c>
      <c r="H753">
        <v>1327.9339600000001</v>
      </c>
      <c r="I753">
        <v>1340.9345702999999</v>
      </c>
      <c r="J753">
        <v>1337.7458495999999</v>
      </c>
      <c r="K753">
        <v>0</v>
      </c>
      <c r="L753">
        <v>2750</v>
      </c>
      <c r="M753">
        <v>2750</v>
      </c>
      <c r="N753">
        <v>0</v>
      </c>
    </row>
    <row r="754" spans="1:14" x14ac:dyDescent="0.25">
      <c r="A754">
        <v>184.258409</v>
      </c>
      <c r="B754" s="1">
        <f>DATE(2010,11,1) + TIME(6,12,6)</f>
        <v>40483.258402777778</v>
      </c>
      <c r="C754">
        <v>80</v>
      </c>
      <c r="D754">
        <v>79.893791199000006</v>
      </c>
      <c r="E754">
        <v>60</v>
      </c>
      <c r="F754">
        <v>55.046985626000001</v>
      </c>
      <c r="G754">
        <v>1329.0538329999999</v>
      </c>
      <c r="H754">
        <v>1327.9285889</v>
      </c>
      <c r="I754">
        <v>1340.9040527</v>
      </c>
      <c r="J754">
        <v>1337.7340088000001</v>
      </c>
      <c r="K754">
        <v>0</v>
      </c>
      <c r="L754">
        <v>2750</v>
      </c>
      <c r="M754">
        <v>2750</v>
      </c>
      <c r="N754">
        <v>0</v>
      </c>
    </row>
    <row r="755" spans="1:14" x14ac:dyDescent="0.25">
      <c r="A755">
        <v>184.28420499999999</v>
      </c>
      <c r="B755" s="1">
        <f>DATE(2010,11,1) + TIME(6,49,15)</f>
        <v>40483.284201388888</v>
      </c>
      <c r="C755">
        <v>80</v>
      </c>
      <c r="D755">
        <v>79.888031006000006</v>
      </c>
      <c r="E755">
        <v>60</v>
      </c>
      <c r="F755">
        <v>55.302886962999999</v>
      </c>
      <c r="G755">
        <v>1329.0504149999999</v>
      </c>
      <c r="H755">
        <v>1327.9232178</v>
      </c>
      <c r="I755">
        <v>1340.8770752</v>
      </c>
      <c r="J755">
        <v>1337.7241211</v>
      </c>
      <c r="K755">
        <v>0</v>
      </c>
      <c r="L755">
        <v>2750</v>
      </c>
      <c r="M755">
        <v>2750</v>
      </c>
      <c r="N755">
        <v>0</v>
      </c>
    </row>
    <row r="756" spans="1:14" x14ac:dyDescent="0.25">
      <c r="A756">
        <v>184.31066000000001</v>
      </c>
      <c r="B756" s="1">
        <f>DATE(2010,11,1) + TIME(7,27,20)</f>
        <v>40483.310648148145</v>
      </c>
      <c r="C756">
        <v>80</v>
      </c>
      <c r="D756">
        <v>79.882164001000007</v>
      </c>
      <c r="E756">
        <v>60</v>
      </c>
      <c r="F756">
        <v>55.550861359000002</v>
      </c>
      <c r="G756">
        <v>1329.046875</v>
      </c>
      <c r="H756">
        <v>1327.9177245999999</v>
      </c>
      <c r="I756">
        <v>1340.8533935999999</v>
      </c>
      <c r="J756">
        <v>1337.7161865</v>
      </c>
      <c r="K756">
        <v>0</v>
      </c>
      <c r="L756">
        <v>2750</v>
      </c>
      <c r="M756">
        <v>2750</v>
      </c>
      <c r="N756">
        <v>0</v>
      </c>
    </row>
    <row r="757" spans="1:14" x14ac:dyDescent="0.25">
      <c r="A757">
        <v>184.33781500000001</v>
      </c>
      <c r="B757" s="1">
        <f>DATE(2010,11,1) + TIME(8,6,27)</f>
        <v>40483.337812500002</v>
      </c>
      <c r="C757">
        <v>80</v>
      </c>
      <c r="D757">
        <v>79.876182556000003</v>
      </c>
      <c r="E757">
        <v>60</v>
      </c>
      <c r="F757">
        <v>55.791126251000001</v>
      </c>
      <c r="G757">
        <v>1329.0433350000001</v>
      </c>
      <c r="H757">
        <v>1327.9123535000001</v>
      </c>
      <c r="I757">
        <v>1340.8328856999999</v>
      </c>
      <c r="J757">
        <v>1337.7099608999999</v>
      </c>
      <c r="K757">
        <v>0</v>
      </c>
      <c r="L757">
        <v>2750</v>
      </c>
      <c r="M757">
        <v>2750</v>
      </c>
      <c r="N757">
        <v>0</v>
      </c>
    </row>
    <row r="758" spans="1:14" x14ac:dyDescent="0.25">
      <c r="A758">
        <v>184.36571599999999</v>
      </c>
      <c r="B758" s="1">
        <f>DATE(2010,11,1) + TIME(8,46,37)</f>
        <v>40483.365706018521</v>
      </c>
      <c r="C758">
        <v>80</v>
      </c>
      <c r="D758">
        <v>79.870071410999998</v>
      </c>
      <c r="E758">
        <v>60</v>
      </c>
      <c r="F758">
        <v>56.023872375000003</v>
      </c>
      <c r="G758">
        <v>1329.0397949000001</v>
      </c>
      <c r="H758">
        <v>1327.9067382999999</v>
      </c>
      <c r="I758">
        <v>1340.8153076000001</v>
      </c>
      <c r="J758">
        <v>1337.7054443</v>
      </c>
      <c r="K758">
        <v>0</v>
      </c>
      <c r="L758">
        <v>2750</v>
      </c>
      <c r="M758">
        <v>2750</v>
      </c>
      <c r="N758">
        <v>0</v>
      </c>
    </row>
    <row r="759" spans="1:14" x14ac:dyDescent="0.25">
      <c r="A759">
        <v>184.394409</v>
      </c>
      <c r="B759" s="1">
        <f>DATE(2010,11,1) + TIME(9,27,56)</f>
        <v>40483.39439814815</v>
      </c>
      <c r="C759">
        <v>80</v>
      </c>
      <c r="D759">
        <v>79.863830566000004</v>
      </c>
      <c r="E759">
        <v>60</v>
      </c>
      <c r="F759">
        <v>56.249244689999998</v>
      </c>
      <c r="G759">
        <v>1329.0362548999999</v>
      </c>
      <c r="H759">
        <v>1327.9012451000001</v>
      </c>
      <c r="I759">
        <v>1340.8006591999999</v>
      </c>
      <c r="J759">
        <v>1337.7025146000001</v>
      </c>
      <c r="K759">
        <v>0</v>
      </c>
      <c r="L759">
        <v>2750</v>
      </c>
      <c r="M759">
        <v>2750</v>
      </c>
      <c r="N759">
        <v>0</v>
      </c>
    </row>
    <row r="760" spans="1:14" x14ac:dyDescent="0.25">
      <c r="A760">
        <v>184.42394899999999</v>
      </c>
      <c r="B760" s="1">
        <f>DATE(2010,11,1) + TIME(10,10,29)</f>
        <v>40483.423946759256</v>
      </c>
      <c r="C760">
        <v>80</v>
      </c>
      <c r="D760">
        <v>79.857452393000003</v>
      </c>
      <c r="E760">
        <v>60</v>
      </c>
      <c r="F760">
        <v>56.467422485</v>
      </c>
      <c r="G760">
        <v>1329.0325928</v>
      </c>
      <c r="H760">
        <v>1327.8956298999999</v>
      </c>
      <c r="I760">
        <v>1340.7886963000001</v>
      </c>
      <c r="J760">
        <v>1337.7010498</v>
      </c>
      <c r="K760">
        <v>0</v>
      </c>
      <c r="L760">
        <v>2750</v>
      </c>
      <c r="M760">
        <v>2750</v>
      </c>
      <c r="N760">
        <v>0</v>
      </c>
    </row>
    <row r="761" spans="1:14" x14ac:dyDescent="0.25">
      <c r="A761">
        <v>184.45439999999999</v>
      </c>
      <c r="B761" s="1">
        <f>DATE(2010,11,1) + TIME(10,54,20)</f>
        <v>40483.454398148147</v>
      </c>
      <c r="C761">
        <v>80</v>
      </c>
      <c r="D761">
        <v>79.850914001000007</v>
      </c>
      <c r="E761">
        <v>60</v>
      </c>
      <c r="F761">
        <v>56.678562163999999</v>
      </c>
      <c r="G761">
        <v>1329.0289307</v>
      </c>
      <c r="H761">
        <v>1327.8898925999999</v>
      </c>
      <c r="I761">
        <v>1340.7792969</v>
      </c>
      <c r="J761">
        <v>1337.7010498</v>
      </c>
      <c r="K761">
        <v>0</v>
      </c>
      <c r="L761">
        <v>2750</v>
      </c>
      <c r="M761">
        <v>2750</v>
      </c>
      <c r="N761">
        <v>0</v>
      </c>
    </row>
    <row r="762" spans="1:14" x14ac:dyDescent="0.25">
      <c r="A762">
        <v>184.485828</v>
      </c>
      <c r="B762" s="1">
        <f>DATE(2010,11,1) + TIME(11,39,35)</f>
        <v>40483.485821759263</v>
      </c>
      <c r="C762">
        <v>80</v>
      </c>
      <c r="D762">
        <v>79.844215392999999</v>
      </c>
      <c r="E762">
        <v>60</v>
      </c>
      <c r="F762">
        <v>56.882797240999999</v>
      </c>
      <c r="G762">
        <v>1329.0251464999999</v>
      </c>
      <c r="H762">
        <v>1327.8841553</v>
      </c>
      <c r="I762">
        <v>1340.7723389</v>
      </c>
      <c r="J762">
        <v>1337.7025146000001</v>
      </c>
      <c r="K762">
        <v>0</v>
      </c>
      <c r="L762">
        <v>2750</v>
      </c>
      <c r="M762">
        <v>2750</v>
      </c>
      <c r="N762">
        <v>0</v>
      </c>
    </row>
    <row r="763" spans="1:14" x14ac:dyDescent="0.25">
      <c r="A763">
        <v>184.518306</v>
      </c>
      <c r="B763" s="1">
        <f>DATE(2010,11,1) + TIME(12,26,21)</f>
        <v>40483.51829861111</v>
      </c>
      <c r="C763">
        <v>80</v>
      </c>
      <c r="D763">
        <v>79.837341308999996</v>
      </c>
      <c r="E763">
        <v>60</v>
      </c>
      <c r="F763">
        <v>57.080245972</v>
      </c>
      <c r="G763">
        <v>1329.0213623</v>
      </c>
      <c r="H763">
        <v>1327.8782959</v>
      </c>
      <c r="I763">
        <v>1340.7677002</v>
      </c>
      <c r="J763">
        <v>1337.7052002</v>
      </c>
      <c r="K763">
        <v>0</v>
      </c>
      <c r="L763">
        <v>2750</v>
      </c>
      <c r="M763">
        <v>2750</v>
      </c>
      <c r="N763">
        <v>0</v>
      </c>
    </row>
    <row r="764" spans="1:14" x14ac:dyDescent="0.25">
      <c r="A764">
        <v>184.551917</v>
      </c>
      <c r="B764" s="1">
        <f>DATE(2010,11,1) + TIME(13,14,45)</f>
        <v>40483.55190972222</v>
      </c>
      <c r="C764">
        <v>80</v>
      </c>
      <c r="D764">
        <v>79.830284118999998</v>
      </c>
      <c r="E764">
        <v>60</v>
      </c>
      <c r="F764">
        <v>57.271003723</v>
      </c>
      <c r="G764">
        <v>1329.0175781</v>
      </c>
      <c r="H764">
        <v>1327.8723144999999</v>
      </c>
      <c r="I764">
        <v>1340.7652588000001</v>
      </c>
      <c r="J764">
        <v>1337.7091064000001</v>
      </c>
      <c r="K764">
        <v>0</v>
      </c>
      <c r="L764">
        <v>2750</v>
      </c>
      <c r="M764">
        <v>2750</v>
      </c>
      <c r="N764">
        <v>0</v>
      </c>
    </row>
    <row r="765" spans="1:14" x14ac:dyDescent="0.25">
      <c r="A765">
        <v>184.58675299999999</v>
      </c>
      <c r="B765" s="1">
        <f>DATE(2010,11,1) + TIME(14,4,55)</f>
        <v>40483.586747685185</v>
      </c>
      <c r="C765">
        <v>80</v>
      </c>
      <c r="D765">
        <v>79.823013306000007</v>
      </c>
      <c r="E765">
        <v>60</v>
      </c>
      <c r="F765">
        <v>57.455165862999998</v>
      </c>
      <c r="G765">
        <v>1329.0136719</v>
      </c>
      <c r="H765">
        <v>1327.8662108999999</v>
      </c>
      <c r="I765">
        <v>1340.7648925999999</v>
      </c>
      <c r="J765">
        <v>1337.7142334</v>
      </c>
      <c r="K765">
        <v>0</v>
      </c>
      <c r="L765">
        <v>2750</v>
      </c>
      <c r="M765">
        <v>2750</v>
      </c>
      <c r="N765">
        <v>0</v>
      </c>
    </row>
    <row r="766" spans="1:14" x14ac:dyDescent="0.25">
      <c r="A766">
        <v>184.622917</v>
      </c>
      <c r="B766" s="1">
        <f>DATE(2010,11,1) + TIME(14,57,0)</f>
        <v>40483.622916666667</v>
      </c>
      <c r="C766">
        <v>80</v>
      </c>
      <c r="D766">
        <v>79.815528869999994</v>
      </c>
      <c r="E766">
        <v>60</v>
      </c>
      <c r="F766">
        <v>57.632808685000001</v>
      </c>
      <c r="G766">
        <v>1329.0096435999999</v>
      </c>
      <c r="H766">
        <v>1327.8599853999999</v>
      </c>
      <c r="I766">
        <v>1340.7664795000001</v>
      </c>
      <c r="J766">
        <v>1337.7203368999999</v>
      </c>
      <c r="K766">
        <v>0</v>
      </c>
      <c r="L766">
        <v>2750</v>
      </c>
      <c r="M766">
        <v>2750</v>
      </c>
      <c r="N766">
        <v>0</v>
      </c>
    </row>
    <row r="767" spans="1:14" x14ac:dyDescent="0.25">
      <c r="A767">
        <v>184.66052500000001</v>
      </c>
      <c r="B767" s="1">
        <f>DATE(2010,11,1) + TIME(15,51,9)</f>
        <v>40483.660520833335</v>
      </c>
      <c r="C767">
        <v>80</v>
      </c>
      <c r="D767">
        <v>79.807807921999995</v>
      </c>
      <c r="E767">
        <v>60</v>
      </c>
      <c r="F767">
        <v>57.804000854000002</v>
      </c>
      <c r="G767">
        <v>1329.0054932</v>
      </c>
      <c r="H767">
        <v>1327.8536377</v>
      </c>
      <c r="I767">
        <v>1340.7698975000001</v>
      </c>
      <c r="J767">
        <v>1337.7274170000001</v>
      </c>
      <c r="K767">
        <v>0</v>
      </c>
      <c r="L767">
        <v>2750</v>
      </c>
      <c r="M767">
        <v>2750</v>
      </c>
      <c r="N767">
        <v>0</v>
      </c>
    </row>
    <row r="768" spans="1:14" x14ac:dyDescent="0.25">
      <c r="A768">
        <v>184.69970900000001</v>
      </c>
      <c r="B768" s="1">
        <f>DATE(2010,11,1) + TIME(16,47,34)</f>
        <v>40483.699699074074</v>
      </c>
      <c r="C768">
        <v>80</v>
      </c>
      <c r="D768">
        <v>79.799819946</v>
      </c>
      <c r="E768">
        <v>60</v>
      </c>
      <c r="F768">
        <v>57.968791961999997</v>
      </c>
      <c r="G768">
        <v>1329.0013428</v>
      </c>
      <c r="H768">
        <v>1327.847168</v>
      </c>
      <c r="I768">
        <v>1340.7749022999999</v>
      </c>
      <c r="J768">
        <v>1337.7354736</v>
      </c>
      <c r="K768">
        <v>0</v>
      </c>
      <c r="L768">
        <v>2750</v>
      </c>
      <c r="M768">
        <v>2750</v>
      </c>
      <c r="N768">
        <v>0</v>
      </c>
    </row>
    <row r="769" spans="1:14" x14ac:dyDescent="0.25">
      <c r="A769">
        <v>184.74061599999999</v>
      </c>
      <c r="B769" s="1">
        <f>DATE(2010,11,1) + TIME(17,46,29)</f>
        <v>40483.740613425929</v>
      </c>
      <c r="C769">
        <v>80</v>
      </c>
      <c r="D769">
        <v>79.791549683</v>
      </c>
      <c r="E769">
        <v>60</v>
      </c>
      <c r="F769">
        <v>58.127212524000001</v>
      </c>
      <c r="G769">
        <v>1328.9969481999999</v>
      </c>
      <c r="H769">
        <v>1327.8405762</v>
      </c>
      <c r="I769">
        <v>1340.7816161999999</v>
      </c>
      <c r="J769">
        <v>1337.7443848</v>
      </c>
      <c r="K769">
        <v>0</v>
      </c>
      <c r="L769">
        <v>2750</v>
      </c>
      <c r="M769">
        <v>2750</v>
      </c>
      <c r="N769">
        <v>0</v>
      </c>
    </row>
    <row r="770" spans="1:14" x14ac:dyDescent="0.25">
      <c r="A770">
        <v>184.78341499999999</v>
      </c>
      <c r="B770" s="1">
        <f>DATE(2010,11,1) + TIME(18,48,7)</f>
        <v>40483.783414351848</v>
      </c>
      <c r="C770">
        <v>80</v>
      </c>
      <c r="D770">
        <v>79.782974242999998</v>
      </c>
      <c r="E770">
        <v>60</v>
      </c>
      <c r="F770">
        <v>58.279285430999998</v>
      </c>
      <c r="G770">
        <v>1328.9925536999999</v>
      </c>
      <c r="H770">
        <v>1327.8337402</v>
      </c>
      <c r="I770">
        <v>1340.7897949000001</v>
      </c>
      <c r="J770">
        <v>1337.7540283000001</v>
      </c>
      <c r="K770">
        <v>0</v>
      </c>
      <c r="L770">
        <v>2750</v>
      </c>
      <c r="M770">
        <v>2750</v>
      </c>
      <c r="N770">
        <v>0</v>
      </c>
    </row>
    <row r="771" spans="1:14" x14ac:dyDescent="0.25">
      <c r="A771">
        <v>184.82830899999999</v>
      </c>
      <c r="B771" s="1">
        <f>DATE(2010,11,1) + TIME(19,52,45)</f>
        <v>40483.828298611108</v>
      </c>
      <c r="C771">
        <v>80</v>
      </c>
      <c r="D771">
        <v>79.774047851999995</v>
      </c>
      <c r="E771">
        <v>60</v>
      </c>
      <c r="F771">
        <v>58.425056458</v>
      </c>
      <c r="G771">
        <v>1328.9879149999999</v>
      </c>
      <c r="H771">
        <v>1327.8266602000001</v>
      </c>
      <c r="I771">
        <v>1340.7991943</v>
      </c>
      <c r="J771">
        <v>1337.7644043</v>
      </c>
      <c r="K771">
        <v>0</v>
      </c>
      <c r="L771">
        <v>2750</v>
      </c>
      <c r="M771">
        <v>2750</v>
      </c>
      <c r="N771">
        <v>0</v>
      </c>
    </row>
    <row r="772" spans="1:14" x14ac:dyDescent="0.25">
      <c r="A772">
        <v>184.875528</v>
      </c>
      <c r="B772" s="1">
        <f>DATE(2010,11,1) + TIME(21,0,45)</f>
        <v>40483.875520833331</v>
      </c>
      <c r="C772">
        <v>80</v>
      </c>
      <c r="D772">
        <v>79.764747619999994</v>
      </c>
      <c r="E772">
        <v>60</v>
      </c>
      <c r="F772">
        <v>58.564537047999998</v>
      </c>
      <c r="G772">
        <v>1328.9831543</v>
      </c>
      <c r="H772">
        <v>1327.8194579999999</v>
      </c>
      <c r="I772">
        <v>1340.8098144999999</v>
      </c>
      <c r="J772">
        <v>1337.7752685999999</v>
      </c>
      <c r="K772">
        <v>0</v>
      </c>
      <c r="L772">
        <v>2750</v>
      </c>
      <c r="M772">
        <v>2750</v>
      </c>
      <c r="N772">
        <v>0</v>
      </c>
    </row>
    <row r="773" spans="1:14" x14ac:dyDescent="0.25">
      <c r="A773">
        <v>184.925344</v>
      </c>
      <c r="B773" s="1">
        <f>DATE(2010,11,1) + TIME(22,12,29)</f>
        <v>40483.925335648149</v>
      </c>
      <c r="C773">
        <v>80</v>
      </c>
      <c r="D773">
        <v>79.755027771000002</v>
      </c>
      <c r="E773">
        <v>60</v>
      </c>
      <c r="F773">
        <v>58.697731017999999</v>
      </c>
      <c r="G773">
        <v>1328.9782714999999</v>
      </c>
      <c r="H773">
        <v>1327.8118896000001</v>
      </c>
      <c r="I773">
        <v>1340.8216553</v>
      </c>
      <c r="J773">
        <v>1337.7868652</v>
      </c>
      <c r="K773">
        <v>0</v>
      </c>
      <c r="L773">
        <v>2750</v>
      </c>
      <c r="M773">
        <v>2750</v>
      </c>
      <c r="N773">
        <v>0</v>
      </c>
    </row>
    <row r="774" spans="1:14" x14ac:dyDescent="0.25">
      <c r="A774">
        <v>184.97807399999999</v>
      </c>
      <c r="B774" s="1">
        <f>DATE(2010,11,1) + TIME(23,28,25)</f>
        <v>40483.978067129632</v>
      </c>
      <c r="C774">
        <v>80</v>
      </c>
      <c r="D774">
        <v>79.744834900000001</v>
      </c>
      <c r="E774">
        <v>60</v>
      </c>
      <c r="F774">
        <v>58.824623107999997</v>
      </c>
      <c r="G774">
        <v>1328.9731445</v>
      </c>
      <c r="H774">
        <v>1327.8039550999999</v>
      </c>
      <c r="I774">
        <v>1340.8343506000001</v>
      </c>
      <c r="J774">
        <v>1337.7987060999999</v>
      </c>
      <c r="K774">
        <v>0</v>
      </c>
      <c r="L774">
        <v>2750</v>
      </c>
      <c r="M774">
        <v>2750</v>
      </c>
      <c r="N774">
        <v>0</v>
      </c>
    </row>
    <row r="775" spans="1:14" x14ac:dyDescent="0.25">
      <c r="A775">
        <v>185.034097</v>
      </c>
      <c r="B775" s="1">
        <f>DATE(2010,11,2) + TIME(0,49,5)</f>
        <v>40484.034085648149</v>
      </c>
      <c r="C775">
        <v>80</v>
      </c>
      <c r="D775">
        <v>79.734107971</v>
      </c>
      <c r="E775">
        <v>60</v>
      </c>
      <c r="F775">
        <v>58.945198058999999</v>
      </c>
      <c r="G775">
        <v>1328.9677733999999</v>
      </c>
      <c r="H775">
        <v>1327.7957764</v>
      </c>
      <c r="I775">
        <v>1340.8477783000001</v>
      </c>
      <c r="J775">
        <v>1337.8110352000001</v>
      </c>
      <c r="K775">
        <v>0</v>
      </c>
      <c r="L775">
        <v>2750</v>
      </c>
      <c r="M775">
        <v>2750</v>
      </c>
      <c r="N775">
        <v>0</v>
      </c>
    </row>
    <row r="776" spans="1:14" x14ac:dyDescent="0.25">
      <c r="A776">
        <v>185.09387000000001</v>
      </c>
      <c r="B776" s="1">
        <f>DATE(2010,11,2) + TIME(2,15,10)</f>
        <v>40484.093865740739</v>
      </c>
      <c r="C776">
        <v>80</v>
      </c>
      <c r="D776">
        <v>79.722793578999998</v>
      </c>
      <c r="E776">
        <v>60</v>
      </c>
      <c r="F776">
        <v>59.059421538999999</v>
      </c>
      <c r="G776">
        <v>1328.9621582</v>
      </c>
      <c r="H776">
        <v>1327.7872314000001</v>
      </c>
      <c r="I776">
        <v>1340.8619385</v>
      </c>
      <c r="J776">
        <v>1337.8234863</v>
      </c>
      <c r="K776">
        <v>0</v>
      </c>
      <c r="L776">
        <v>2750</v>
      </c>
      <c r="M776">
        <v>2750</v>
      </c>
      <c r="N776">
        <v>0</v>
      </c>
    </row>
    <row r="777" spans="1:14" x14ac:dyDescent="0.25">
      <c r="A777">
        <v>185.157948</v>
      </c>
      <c r="B777" s="1">
        <f>DATE(2010,11,2) + TIME(3,47,26)</f>
        <v>40484.157939814817</v>
      </c>
      <c r="C777">
        <v>80</v>
      </c>
      <c r="D777">
        <v>79.710792541999993</v>
      </c>
      <c r="E777">
        <v>60</v>
      </c>
      <c r="F777">
        <v>59.167259215999998</v>
      </c>
      <c r="G777">
        <v>1328.9561768000001</v>
      </c>
      <c r="H777">
        <v>1327.7781981999999</v>
      </c>
      <c r="I777">
        <v>1340.8767089999999</v>
      </c>
      <c r="J777">
        <v>1337.8361815999999</v>
      </c>
      <c r="K777">
        <v>0</v>
      </c>
      <c r="L777">
        <v>2750</v>
      </c>
      <c r="M777">
        <v>2750</v>
      </c>
      <c r="N777">
        <v>0</v>
      </c>
    </row>
    <row r="778" spans="1:14" x14ac:dyDescent="0.25">
      <c r="A778">
        <v>185.22701900000001</v>
      </c>
      <c r="B778" s="1">
        <f>DATE(2010,11,2) + TIME(5,26,54)</f>
        <v>40484.227013888885</v>
      </c>
      <c r="C778">
        <v>80</v>
      </c>
      <c r="D778">
        <v>79.698005675999994</v>
      </c>
      <c r="E778">
        <v>60</v>
      </c>
      <c r="F778">
        <v>59.268657683999997</v>
      </c>
      <c r="G778">
        <v>1328.9498291</v>
      </c>
      <c r="H778">
        <v>1327.7686768000001</v>
      </c>
      <c r="I778">
        <v>1340.8916016000001</v>
      </c>
      <c r="J778">
        <v>1337.8487548999999</v>
      </c>
      <c r="K778">
        <v>0</v>
      </c>
      <c r="L778">
        <v>2750</v>
      </c>
      <c r="M778">
        <v>2750</v>
      </c>
      <c r="N778">
        <v>0</v>
      </c>
    </row>
    <row r="779" spans="1:14" x14ac:dyDescent="0.25">
      <c r="A779">
        <v>185.29914600000001</v>
      </c>
      <c r="B779" s="1">
        <f>DATE(2010,11,2) + TIME(7,10,46)</f>
        <v>40484.299143518518</v>
      </c>
      <c r="C779">
        <v>80</v>
      </c>
      <c r="D779">
        <v>79.684783936000002</v>
      </c>
      <c r="E779">
        <v>60</v>
      </c>
      <c r="F779">
        <v>59.360500336000001</v>
      </c>
      <c r="G779">
        <v>1328.9431152</v>
      </c>
      <c r="H779">
        <v>1327.7585449000001</v>
      </c>
      <c r="I779">
        <v>1340.9079589999999</v>
      </c>
      <c r="J779">
        <v>1337.8618164</v>
      </c>
      <c r="K779">
        <v>0</v>
      </c>
      <c r="L779">
        <v>2750</v>
      </c>
      <c r="M779">
        <v>2750</v>
      </c>
      <c r="N779">
        <v>0</v>
      </c>
    </row>
    <row r="780" spans="1:14" x14ac:dyDescent="0.25">
      <c r="A780">
        <v>185.372916</v>
      </c>
      <c r="B780" s="1">
        <f>DATE(2010,11,2) + TIME(8,56,59)</f>
        <v>40484.37290509259</v>
      </c>
      <c r="C780">
        <v>80</v>
      </c>
      <c r="D780">
        <v>79.671363830999994</v>
      </c>
      <c r="E780">
        <v>60</v>
      </c>
      <c r="F780">
        <v>59.441726684999999</v>
      </c>
      <c r="G780">
        <v>1328.9362793</v>
      </c>
      <c r="H780">
        <v>1327.7482910000001</v>
      </c>
      <c r="I780">
        <v>1340.9241943</v>
      </c>
      <c r="J780">
        <v>1337.8746338000001</v>
      </c>
      <c r="K780">
        <v>0</v>
      </c>
      <c r="L780">
        <v>2750</v>
      </c>
      <c r="M780">
        <v>2750</v>
      </c>
      <c r="N780">
        <v>0</v>
      </c>
    </row>
    <row r="781" spans="1:14" x14ac:dyDescent="0.25">
      <c r="A781">
        <v>185.447407</v>
      </c>
      <c r="B781" s="1">
        <f>DATE(2010,11,2) + TIME(10,44,15)</f>
        <v>40484.447395833333</v>
      </c>
      <c r="C781">
        <v>80</v>
      </c>
      <c r="D781">
        <v>79.657905579000001</v>
      </c>
      <c r="E781">
        <v>60</v>
      </c>
      <c r="F781">
        <v>59.512531281000001</v>
      </c>
      <c r="G781">
        <v>1328.9293213000001</v>
      </c>
      <c r="H781">
        <v>1327.7379149999999</v>
      </c>
      <c r="I781">
        <v>1340.9395752</v>
      </c>
      <c r="J781">
        <v>1337.8864745999999</v>
      </c>
      <c r="K781">
        <v>0</v>
      </c>
      <c r="L781">
        <v>2750</v>
      </c>
      <c r="M781">
        <v>2750</v>
      </c>
      <c r="N781">
        <v>0</v>
      </c>
    </row>
    <row r="782" spans="1:14" x14ac:dyDescent="0.25">
      <c r="A782">
        <v>185.52293399999999</v>
      </c>
      <c r="B782" s="1">
        <f>DATE(2010,11,2) + TIME(12,33,1)</f>
        <v>40484.522928240738</v>
      </c>
      <c r="C782">
        <v>80</v>
      </c>
      <c r="D782">
        <v>79.644355774000005</v>
      </c>
      <c r="E782">
        <v>60</v>
      </c>
      <c r="F782">
        <v>59.574375152999998</v>
      </c>
      <c r="G782">
        <v>1328.9223632999999</v>
      </c>
      <c r="H782">
        <v>1327.7274170000001</v>
      </c>
      <c r="I782">
        <v>1340.9532471</v>
      </c>
      <c r="J782">
        <v>1337.8969727000001</v>
      </c>
      <c r="K782">
        <v>0</v>
      </c>
      <c r="L782">
        <v>2750</v>
      </c>
      <c r="M782">
        <v>2750</v>
      </c>
      <c r="N782">
        <v>0</v>
      </c>
    </row>
    <row r="783" spans="1:14" x14ac:dyDescent="0.25">
      <c r="A783">
        <v>185.59940599999999</v>
      </c>
      <c r="B783" s="1">
        <f>DATE(2010,11,2) + TIME(14,23,8)</f>
        <v>40484.599398148152</v>
      </c>
      <c r="C783">
        <v>80</v>
      </c>
      <c r="D783">
        <v>79.630722046000002</v>
      </c>
      <c r="E783">
        <v>60</v>
      </c>
      <c r="F783">
        <v>59.62820816</v>
      </c>
      <c r="G783">
        <v>1328.9154053</v>
      </c>
      <c r="H783">
        <v>1327.7170410000001</v>
      </c>
      <c r="I783">
        <v>1340.9655762</v>
      </c>
      <c r="J783">
        <v>1337.90625</v>
      </c>
      <c r="K783">
        <v>0</v>
      </c>
      <c r="L783">
        <v>2750</v>
      </c>
      <c r="M783">
        <v>2750</v>
      </c>
      <c r="N783">
        <v>0</v>
      </c>
    </row>
    <row r="784" spans="1:14" x14ac:dyDescent="0.25">
      <c r="A784">
        <v>185.67652699999999</v>
      </c>
      <c r="B784" s="1">
        <f>DATE(2010,11,2) + TIME(16,14,11)</f>
        <v>40484.676516203705</v>
      </c>
      <c r="C784">
        <v>80</v>
      </c>
      <c r="D784">
        <v>79.617057799999998</v>
      </c>
      <c r="E784">
        <v>60</v>
      </c>
      <c r="F784">
        <v>59.674819946</v>
      </c>
      <c r="G784">
        <v>1328.9083252</v>
      </c>
      <c r="H784">
        <v>1327.706543</v>
      </c>
      <c r="I784">
        <v>1340.9765625</v>
      </c>
      <c r="J784">
        <v>1337.9143065999999</v>
      </c>
      <c r="K784">
        <v>0</v>
      </c>
      <c r="L784">
        <v>2750</v>
      </c>
      <c r="M784">
        <v>2750</v>
      </c>
      <c r="N784">
        <v>0</v>
      </c>
    </row>
    <row r="785" spans="1:14" x14ac:dyDescent="0.25">
      <c r="A785">
        <v>185.75453999999999</v>
      </c>
      <c r="B785" s="1">
        <f>DATE(2010,11,2) + TIME(18,6,32)</f>
        <v>40484.754537037035</v>
      </c>
      <c r="C785">
        <v>80</v>
      </c>
      <c r="D785">
        <v>79.603324889999996</v>
      </c>
      <c r="E785">
        <v>60</v>
      </c>
      <c r="F785">
        <v>59.715225220000001</v>
      </c>
      <c r="G785">
        <v>1328.9012451000001</v>
      </c>
      <c r="H785">
        <v>1327.6960449000001</v>
      </c>
      <c r="I785">
        <v>1340.9858397999999</v>
      </c>
      <c r="J785">
        <v>1337.9212646000001</v>
      </c>
      <c r="K785">
        <v>0</v>
      </c>
      <c r="L785">
        <v>2750</v>
      </c>
      <c r="M785">
        <v>2750</v>
      </c>
      <c r="N785">
        <v>0</v>
      </c>
    </row>
    <row r="786" spans="1:14" x14ac:dyDescent="0.25">
      <c r="A786">
        <v>185.83367799999999</v>
      </c>
      <c r="B786" s="1">
        <f>DATE(2010,11,2) + TIME(20,0,29)</f>
        <v>40484.833668981482</v>
      </c>
      <c r="C786">
        <v>80</v>
      </c>
      <c r="D786">
        <v>79.589477539000001</v>
      </c>
      <c r="E786">
        <v>60</v>
      </c>
      <c r="F786">
        <v>59.750278473000002</v>
      </c>
      <c r="G786">
        <v>1328.894043</v>
      </c>
      <c r="H786">
        <v>1327.6854248</v>
      </c>
      <c r="I786">
        <v>1340.9936522999999</v>
      </c>
      <c r="J786">
        <v>1337.9270019999999</v>
      </c>
      <c r="K786">
        <v>0</v>
      </c>
      <c r="L786">
        <v>2750</v>
      </c>
      <c r="M786">
        <v>2750</v>
      </c>
      <c r="N786">
        <v>0</v>
      </c>
    </row>
    <row r="787" spans="1:14" x14ac:dyDescent="0.25">
      <c r="A787">
        <v>185.914177</v>
      </c>
      <c r="B787" s="1">
        <f>DATE(2010,11,2) + TIME(21,56,24)</f>
        <v>40484.914166666669</v>
      </c>
      <c r="C787">
        <v>80</v>
      </c>
      <c r="D787">
        <v>79.575477599999999</v>
      </c>
      <c r="E787">
        <v>60</v>
      </c>
      <c r="F787">
        <v>59.780689240000001</v>
      </c>
      <c r="G787">
        <v>1328.8868408000001</v>
      </c>
      <c r="H787">
        <v>1327.6748047000001</v>
      </c>
      <c r="I787">
        <v>1341</v>
      </c>
      <c r="J787">
        <v>1337.9316406</v>
      </c>
      <c r="K787">
        <v>0</v>
      </c>
      <c r="L787">
        <v>2750</v>
      </c>
      <c r="M787">
        <v>2750</v>
      </c>
      <c r="N787">
        <v>0</v>
      </c>
    </row>
    <row r="788" spans="1:14" x14ac:dyDescent="0.25">
      <c r="A788">
        <v>185.99628000000001</v>
      </c>
      <c r="B788" s="1">
        <f>DATE(2010,11,2) + TIME(23,54,38)</f>
        <v>40484.99627314815</v>
      </c>
      <c r="C788">
        <v>80</v>
      </c>
      <c r="D788">
        <v>79.561294556000007</v>
      </c>
      <c r="E788">
        <v>60</v>
      </c>
      <c r="F788">
        <v>59.807067871000001</v>
      </c>
      <c r="G788">
        <v>1328.8795166</v>
      </c>
      <c r="H788">
        <v>1327.6640625</v>
      </c>
      <c r="I788">
        <v>1341.0050048999999</v>
      </c>
      <c r="J788">
        <v>1337.9353027</v>
      </c>
      <c r="K788">
        <v>0</v>
      </c>
      <c r="L788">
        <v>2750</v>
      </c>
      <c r="M788">
        <v>2750</v>
      </c>
      <c r="N788">
        <v>0</v>
      </c>
    </row>
    <row r="789" spans="1:14" x14ac:dyDescent="0.25">
      <c r="A789">
        <v>186.080243</v>
      </c>
      <c r="B789" s="1">
        <f>DATE(2010,11,3) + TIME(1,55,32)</f>
        <v>40485.080231481479</v>
      </c>
      <c r="C789">
        <v>80</v>
      </c>
      <c r="D789">
        <v>79.546882628999995</v>
      </c>
      <c r="E789">
        <v>60</v>
      </c>
      <c r="F789">
        <v>59.829933167</v>
      </c>
      <c r="G789">
        <v>1328.8721923999999</v>
      </c>
      <c r="H789">
        <v>1327.6531981999999</v>
      </c>
      <c r="I789">
        <v>1341.0087891000001</v>
      </c>
      <c r="J789">
        <v>1337.9378661999999</v>
      </c>
      <c r="K789">
        <v>0</v>
      </c>
      <c r="L789">
        <v>2750</v>
      </c>
      <c r="M789">
        <v>2750</v>
      </c>
      <c r="N789">
        <v>0</v>
      </c>
    </row>
    <row r="790" spans="1:14" x14ac:dyDescent="0.25">
      <c r="A790">
        <v>186.16633899999999</v>
      </c>
      <c r="B790" s="1">
        <f>DATE(2010,11,3) + TIME(3,59,31)</f>
        <v>40485.166331018518</v>
      </c>
      <c r="C790">
        <v>80</v>
      </c>
      <c r="D790">
        <v>79.532203674000002</v>
      </c>
      <c r="E790">
        <v>60</v>
      </c>
      <c r="F790">
        <v>59.849731445000003</v>
      </c>
      <c r="G790">
        <v>1328.864624</v>
      </c>
      <c r="H790">
        <v>1327.6422118999999</v>
      </c>
      <c r="I790">
        <v>1341.0112305</v>
      </c>
      <c r="J790">
        <v>1337.9395752</v>
      </c>
      <c r="K790">
        <v>0</v>
      </c>
      <c r="L790">
        <v>2750</v>
      </c>
      <c r="M790">
        <v>2750</v>
      </c>
      <c r="N790">
        <v>0</v>
      </c>
    </row>
    <row r="791" spans="1:14" x14ac:dyDescent="0.25">
      <c r="A791">
        <v>186.25486100000001</v>
      </c>
      <c r="B791" s="1">
        <f>DATE(2010,11,3) + TIME(6,6,59)</f>
        <v>40485.254849537036</v>
      </c>
      <c r="C791">
        <v>80</v>
      </c>
      <c r="D791">
        <v>79.517211914000001</v>
      </c>
      <c r="E791">
        <v>60</v>
      </c>
      <c r="F791">
        <v>59.866851807000003</v>
      </c>
      <c r="G791">
        <v>1328.8569336</v>
      </c>
      <c r="H791">
        <v>1327.6309814000001</v>
      </c>
      <c r="I791">
        <v>1341.0125731999999</v>
      </c>
      <c r="J791">
        <v>1337.9404297000001</v>
      </c>
      <c r="K791">
        <v>0</v>
      </c>
      <c r="L791">
        <v>2750</v>
      </c>
      <c r="M791">
        <v>2750</v>
      </c>
      <c r="N791">
        <v>0</v>
      </c>
    </row>
    <row r="792" spans="1:14" x14ac:dyDescent="0.25">
      <c r="A792">
        <v>186.34612999999999</v>
      </c>
      <c r="B792" s="1">
        <f>DATE(2010,11,3) + TIME(8,18,25)</f>
        <v>40485.346122685187</v>
      </c>
      <c r="C792">
        <v>80</v>
      </c>
      <c r="D792">
        <v>79.501861571999996</v>
      </c>
      <c r="E792">
        <v>60</v>
      </c>
      <c r="F792">
        <v>59.881629943999997</v>
      </c>
      <c r="G792">
        <v>1328.8491211</v>
      </c>
      <c r="H792">
        <v>1327.6196289</v>
      </c>
      <c r="I792">
        <v>1341.0128173999999</v>
      </c>
      <c r="J792">
        <v>1337.9404297000001</v>
      </c>
      <c r="K792">
        <v>0</v>
      </c>
      <c r="L792">
        <v>2750</v>
      </c>
      <c r="M792">
        <v>2750</v>
      </c>
      <c r="N792">
        <v>0</v>
      </c>
    </row>
    <row r="793" spans="1:14" x14ac:dyDescent="0.25">
      <c r="A793">
        <v>186.44048900000001</v>
      </c>
      <c r="B793" s="1">
        <f>DATE(2010,11,3) + TIME(10,34,18)</f>
        <v>40485.440486111111</v>
      </c>
      <c r="C793">
        <v>80</v>
      </c>
      <c r="D793">
        <v>79.486106872999997</v>
      </c>
      <c r="E793">
        <v>60</v>
      </c>
      <c r="F793">
        <v>59.894348145000002</v>
      </c>
      <c r="G793">
        <v>1328.8411865</v>
      </c>
      <c r="H793">
        <v>1327.6079102000001</v>
      </c>
      <c r="I793">
        <v>1341.0118408000001</v>
      </c>
      <c r="J793">
        <v>1337.9396973</v>
      </c>
      <c r="K793">
        <v>0</v>
      </c>
      <c r="L793">
        <v>2750</v>
      </c>
      <c r="M793">
        <v>2750</v>
      </c>
      <c r="N793">
        <v>0</v>
      </c>
    </row>
    <row r="794" spans="1:14" x14ac:dyDescent="0.25">
      <c r="A794">
        <v>186.538352</v>
      </c>
      <c r="B794" s="1">
        <f>DATE(2010,11,3) + TIME(12,55,13)</f>
        <v>40485.538344907407</v>
      </c>
      <c r="C794">
        <v>80</v>
      </c>
      <c r="D794">
        <v>79.469886779999996</v>
      </c>
      <c r="E794">
        <v>60</v>
      </c>
      <c r="F794">
        <v>59.905277251999998</v>
      </c>
      <c r="G794">
        <v>1328.8328856999999</v>
      </c>
      <c r="H794">
        <v>1327.5958252</v>
      </c>
      <c r="I794">
        <v>1341.0098877</v>
      </c>
      <c r="J794">
        <v>1337.9381103999999</v>
      </c>
      <c r="K794">
        <v>0</v>
      </c>
      <c r="L794">
        <v>2750</v>
      </c>
      <c r="M794">
        <v>2750</v>
      </c>
      <c r="N794">
        <v>0</v>
      </c>
    </row>
    <row r="795" spans="1:14" x14ac:dyDescent="0.25">
      <c r="A795">
        <v>186.64019500000001</v>
      </c>
      <c r="B795" s="1">
        <f>DATE(2010,11,3) + TIME(15,21,52)</f>
        <v>40485.640185185184</v>
      </c>
      <c r="C795">
        <v>80</v>
      </c>
      <c r="D795">
        <v>79.453125</v>
      </c>
      <c r="E795">
        <v>60</v>
      </c>
      <c r="F795">
        <v>59.914630889999998</v>
      </c>
      <c r="G795">
        <v>1328.8244629000001</v>
      </c>
      <c r="H795">
        <v>1327.5834961</v>
      </c>
      <c r="I795">
        <v>1341.0068358999999</v>
      </c>
      <c r="J795">
        <v>1337.9357910000001</v>
      </c>
      <c r="K795">
        <v>0</v>
      </c>
      <c r="L795">
        <v>2750</v>
      </c>
      <c r="M795">
        <v>2750</v>
      </c>
      <c r="N795">
        <v>0</v>
      </c>
    </row>
    <row r="796" spans="1:14" x14ac:dyDescent="0.25">
      <c r="A796">
        <v>186.74653799999999</v>
      </c>
      <c r="B796" s="1">
        <f>DATE(2010,11,3) + TIME(17,55,0)</f>
        <v>40485.746527777781</v>
      </c>
      <c r="C796">
        <v>80</v>
      </c>
      <c r="D796">
        <v>79.435768127000003</v>
      </c>
      <c r="E796">
        <v>60</v>
      </c>
      <c r="F796">
        <v>59.922615051000001</v>
      </c>
      <c r="G796">
        <v>1328.8156738</v>
      </c>
      <c r="H796">
        <v>1327.5708007999999</v>
      </c>
      <c r="I796">
        <v>1341.0026855000001</v>
      </c>
      <c r="J796">
        <v>1337.9327393000001</v>
      </c>
      <c r="K796">
        <v>0</v>
      </c>
      <c r="L796">
        <v>2750</v>
      </c>
      <c r="M796">
        <v>2750</v>
      </c>
      <c r="N796">
        <v>0</v>
      </c>
    </row>
    <row r="797" spans="1:14" x14ac:dyDescent="0.25">
      <c r="A797">
        <v>186.85755900000001</v>
      </c>
      <c r="B797" s="1">
        <f>DATE(2010,11,3) + TIME(20,34,53)</f>
        <v>40485.857557870368</v>
      </c>
      <c r="C797">
        <v>80</v>
      </c>
      <c r="D797">
        <v>79.417785644999995</v>
      </c>
      <c r="E797">
        <v>60</v>
      </c>
      <c r="F797">
        <v>59.929374695</v>
      </c>
      <c r="G797">
        <v>1328.8065185999999</v>
      </c>
      <c r="H797">
        <v>1327.5576172000001</v>
      </c>
      <c r="I797">
        <v>1340.9975586</v>
      </c>
      <c r="J797">
        <v>1337.9289550999999</v>
      </c>
      <c r="K797">
        <v>0</v>
      </c>
      <c r="L797">
        <v>2750</v>
      </c>
      <c r="M797">
        <v>2750</v>
      </c>
      <c r="N797">
        <v>0</v>
      </c>
    </row>
    <row r="798" spans="1:14" x14ac:dyDescent="0.25">
      <c r="A798">
        <v>186.973251</v>
      </c>
      <c r="B798" s="1">
        <f>DATE(2010,11,3) + TIME(23,21,28)</f>
        <v>40485.973240740743</v>
      </c>
      <c r="C798">
        <v>80</v>
      </c>
      <c r="D798">
        <v>79.399185181000007</v>
      </c>
      <c r="E798">
        <v>60</v>
      </c>
      <c r="F798">
        <v>59.935054778999998</v>
      </c>
      <c r="G798">
        <v>1328.7971190999999</v>
      </c>
      <c r="H798">
        <v>1327.5440673999999</v>
      </c>
      <c r="I798">
        <v>1340.9914550999999</v>
      </c>
      <c r="J798">
        <v>1337.9244385</v>
      </c>
      <c r="K798">
        <v>0</v>
      </c>
      <c r="L798">
        <v>2750</v>
      </c>
      <c r="M798">
        <v>2750</v>
      </c>
      <c r="N798">
        <v>0</v>
      </c>
    </row>
    <row r="799" spans="1:14" x14ac:dyDescent="0.25">
      <c r="A799">
        <v>187.09423899999999</v>
      </c>
      <c r="B799" s="1">
        <f>DATE(2010,11,4) + TIME(2,15,42)</f>
        <v>40486.094236111108</v>
      </c>
      <c r="C799">
        <v>80</v>
      </c>
      <c r="D799">
        <v>79.379882812000005</v>
      </c>
      <c r="E799">
        <v>60</v>
      </c>
      <c r="F799">
        <v>59.939807891999997</v>
      </c>
      <c r="G799">
        <v>1328.7873535000001</v>
      </c>
      <c r="H799">
        <v>1327.5299072</v>
      </c>
      <c r="I799">
        <v>1340.984375</v>
      </c>
      <c r="J799">
        <v>1337.9193115</v>
      </c>
      <c r="K799">
        <v>0</v>
      </c>
      <c r="L799">
        <v>2750</v>
      </c>
      <c r="M799">
        <v>2750</v>
      </c>
      <c r="N799">
        <v>0</v>
      </c>
    </row>
    <row r="800" spans="1:14" x14ac:dyDescent="0.25">
      <c r="A800">
        <v>187.22105099999999</v>
      </c>
      <c r="B800" s="1">
        <f>DATE(2010,11,4) + TIME(5,18,18)</f>
        <v>40486.221041666664</v>
      </c>
      <c r="C800">
        <v>80</v>
      </c>
      <c r="D800">
        <v>79.359809874999996</v>
      </c>
      <c r="E800">
        <v>60</v>
      </c>
      <c r="F800">
        <v>59.943763732999997</v>
      </c>
      <c r="G800">
        <v>1328.7773437999999</v>
      </c>
      <c r="H800">
        <v>1327.5153809000001</v>
      </c>
      <c r="I800">
        <v>1340.9764404</v>
      </c>
      <c r="J800">
        <v>1337.9134521000001</v>
      </c>
      <c r="K800">
        <v>0</v>
      </c>
      <c r="L800">
        <v>2750</v>
      </c>
      <c r="M800">
        <v>2750</v>
      </c>
      <c r="N800">
        <v>0</v>
      </c>
    </row>
    <row r="801" spans="1:14" x14ac:dyDescent="0.25">
      <c r="A801">
        <v>187.35359800000001</v>
      </c>
      <c r="B801" s="1">
        <f>DATE(2010,11,4) + TIME(8,29,10)</f>
        <v>40486.353587962964</v>
      </c>
      <c r="C801">
        <v>80</v>
      </c>
      <c r="D801">
        <v>79.338981627999999</v>
      </c>
      <c r="E801">
        <v>60</v>
      </c>
      <c r="F801">
        <v>59.947021483999997</v>
      </c>
      <c r="G801">
        <v>1328.7668457</v>
      </c>
      <c r="H801">
        <v>1327.5002440999999</v>
      </c>
      <c r="I801">
        <v>1340.9675293</v>
      </c>
      <c r="J801">
        <v>1337.9069824000001</v>
      </c>
      <c r="K801">
        <v>0</v>
      </c>
      <c r="L801">
        <v>2750</v>
      </c>
      <c r="M801">
        <v>2750</v>
      </c>
      <c r="N801">
        <v>0</v>
      </c>
    </row>
    <row r="802" spans="1:14" x14ac:dyDescent="0.25">
      <c r="A802">
        <v>187.49172999999999</v>
      </c>
      <c r="B802" s="1">
        <f>DATE(2010,11,4) + TIME(11,48,5)</f>
        <v>40486.491724537038</v>
      </c>
      <c r="C802">
        <v>80</v>
      </c>
      <c r="D802">
        <v>79.317436217999997</v>
      </c>
      <c r="E802">
        <v>60</v>
      </c>
      <c r="F802">
        <v>59.949680327999999</v>
      </c>
      <c r="G802">
        <v>1328.7559814000001</v>
      </c>
      <c r="H802">
        <v>1327.4846190999999</v>
      </c>
      <c r="I802">
        <v>1340.9576416</v>
      </c>
      <c r="J802">
        <v>1337.9000243999999</v>
      </c>
      <c r="K802">
        <v>0</v>
      </c>
      <c r="L802">
        <v>2750</v>
      </c>
      <c r="M802">
        <v>2750</v>
      </c>
      <c r="N802">
        <v>0</v>
      </c>
    </row>
    <row r="803" spans="1:14" x14ac:dyDescent="0.25">
      <c r="A803">
        <v>187.63190299999999</v>
      </c>
      <c r="B803" s="1">
        <f>DATE(2010,11,4) + TIME(15,9,56)</f>
        <v>40486.631898148145</v>
      </c>
      <c r="C803">
        <v>80</v>
      </c>
      <c r="D803">
        <v>79.295623778999996</v>
      </c>
      <c r="E803">
        <v>60</v>
      </c>
      <c r="F803">
        <v>59.951793670999997</v>
      </c>
      <c r="G803">
        <v>1328.744751</v>
      </c>
      <c r="H803">
        <v>1327.4686279</v>
      </c>
      <c r="I803">
        <v>1340.9471435999999</v>
      </c>
      <c r="J803">
        <v>1337.8924560999999</v>
      </c>
      <c r="K803">
        <v>0</v>
      </c>
      <c r="L803">
        <v>2750</v>
      </c>
      <c r="M803">
        <v>2750</v>
      </c>
      <c r="N803">
        <v>0</v>
      </c>
    </row>
    <row r="804" spans="1:14" x14ac:dyDescent="0.25">
      <c r="A804">
        <v>187.774598</v>
      </c>
      <c r="B804" s="1">
        <f>DATE(2010,11,4) + TIME(18,35,25)</f>
        <v>40486.774594907409</v>
      </c>
      <c r="C804">
        <v>80</v>
      </c>
      <c r="D804">
        <v>79.273506165000001</v>
      </c>
      <c r="E804">
        <v>60</v>
      </c>
      <c r="F804">
        <v>59.953475951999998</v>
      </c>
      <c r="G804">
        <v>1328.7335204999999</v>
      </c>
      <c r="H804">
        <v>1327.4523925999999</v>
      </c>
      <c r="I804">
        <v>1340.9361572</v>
      </c>
      <c r="J804">
        <v>1337.8846435999999</v>
      </c>
      <c r="K804">
        <v>0</v>
      </c>
      <c r="L804">
        <v>2750</v>
      </c>
      <c r="M804">
        <v>2750</v>
      </c>
      <c r="N804">
        <v>0</v>
      </c>
    </row>
    <row r="805" spans="1:14" x14ac:dyDescent="0.25">
      <c r="A805">
        <v>187.920255</v>
      </c>
      <c r="B805" s="1">
        <f>DATE(2010,11,4) + TIME(22,5,10)</f>
        <v>40486.920254629629</v>
      </c>
      <c r="C805">
        <v>80</v>
      </c>
      <c r="D805">
        <v>79.251029967999997</v>
      </c>
      <c r="E805">
        <v>60</v>
      </c>
      <c r="F805">
        <v>59.954818725999999</v>
      </c>
      <c r="G805">
        <v>1328.7220459</v>
      </c>
      <c r="H805">
        <v>1327.4360352000001</v>
      </c>
      <c r="I805">
        <v>1340.9248047000001</v>
      </c>
      <c r="J805">
        <v>1337.8765868999999</v>
      </c>
      <c r="K805">
        <v>0</v>
      </c>
      <c r="L805">
        <v>2750</v>
      </c>
      <c r="M805">
        <v>2750</v>
      </c>
      <c r="N805">
        <v>0</v>
      </c>
    </row>
    <row r="806" spans="1:14" x14ac:dyDescent="0.25">
      <c r="A806">
        <v>188.06813099999999</v>
      </c>
      <c r="B806" s="1">
        <f>DATE(2010,11,5) + TIME(1,38,6)</f>
        <v>40487.068124999998</v>
      </c>
      <c r="C806">
        <v>80</v>
      </c>
      <c r="D806">
        <v>79.228294372999997</v>
      </c>
      <c r="E806">
        <v>60</v>
      </c>
      <c r="F806">
        <v>59.955886841000002</v>
      </c>
      <c r="G806">
        <v>1328.7104492000001</v>
      </c>
      <c r="H806">
        <v>1327.4195557</v>
      </c>
      <c r="I806">
        <v>1340.9130858999999</v>
      </c>
      <c r="J806">
        <v>1337.8682861</v>
      </c>
      <c r="K806">
        <v>0</v>
      </c>
      <c r="L806">
        <v>2750</v>
      </c>
      <c r="M806">
        <v>2750</v>
      </c>
      <c r="N806">
        <v>0</v>
      </c>
    </row>
    <row r="807" spans="1:14" x14ac:dyDescent="0.25">
      <c r="A807">
        <v>188.21778900000001</v>
      </c>
      <c r="B807" s="1">
        <f>DATE(2010,11,5) + TIME(5,13,36)</f>
        <v>40487.217777777776</v>
      </c>
      <c r="C807">
        <v>80</v>
      </c>
      <c r="D807">
        <v>79.205368042000003</v>
      </c>
      <c r="E807">
        <v>60</v>
      </c>
      <c r="F807">
        <v>59.956729889000002</v>
      </c>
      <c r="G807">
        <v>1328.6988524999999</v>
      </c>
      <c r="H807">
        <v>1327.402832</v>
      </c>
      <c r="I807">
        <v>1340.9011230000001</v>
      </c>
      <c r="J807">
        <v>1337.8598632999999</v>
      </c>
      <c r="K807">
        <v>0</v>
      </c>
      <c r="L807">
        <v>2750</v>
      </c>
      <c r="M807">
        <v>2750</v>
      </c>
      <c r="N807">
        <v>0</v>
      </c>
    </row>
    <row r="808" spans="1:14" x14ac:dyDescent="0.25">
      <c r="A808">
        <v>188.36974499999999</v>
      </c>
      <c r="B808" s="1">
        <f>DATE(2010,11,5) + TIME(8,52,26)</f>
        <v>40487.369745370372</v>
      </c>
      <c r="C808">
        <v>80</v>
      </c>
      <c r="D808">
        <v>79.182182311999995</v>
      </c>
      <c r="E808">
        <v>60</v>
      </c>
      <c r="F808">
        <v>59.957401275999999</v>
      </c>
      <c r="G808">
        <v>1328.6870117000001</v>
      </c>
      <c r="H808">
        <v>1327.3859863</v>
      </c>
      <c r="I808">
        <v>1340.8890381000001</v>
      </c>
      <c r="J808">
        <v>1337.8514404</v>
      </c>
      <c r="K808">
        <v>0</v>
      </c>
      <c r="L808">
        <v>2750</v>
      </c>
      <c r="M808">
        <v>2750</v>
      </c>
      <c r="N808">
        <v>0</v>
      </c>
    </row>
    <row r="809" spans="1:14" x14ac:dyDescent="0.25">
      <c r="A809">
        <v>188.524518</v>
      </c>
      <c r="B809" s="1">
        <f>DATE(2010,11,5) + TIME(12,35,18)</f>
        <v>40487.524513888886</v>
      </c>
      <c r="C809">
        <v>80</v>
      </c>
      <c r="D809">
        <v>79.158691406000003</v>
      </c>
      <c r="E809">
        <v>60</v>
      </c>
      <c r="F809">
        <v>59.957939148000001</v>
      </c>
      <c r="G809">
        <v>1328.6751709</v>
      </c>
      <c r="H809">
        <v>1327.3691406</v>
      </c>
      <c r="I809">
        <v>1340.8767089999999</v>
      </c>
      <c r="J809">
        <v>1337.8427733999999</v>
      </c>
      <c r="K809">
        <v>0</v>
      </c>
      <c r="L809">
        <v>2750</v>
      </c>
      <c r="M809">
        <v>2750</v>
      </c>
      <c r="N809">
        <v>0</v>
      </c>
    </row>
    <row r="810" spans="1:14" x14ac:dyDescent="0.25">
      <c r="A810">
        <v>188.68267700000001</v>
      </c>
      <c r="B810" s="1">
        <f>DATE(2010,11,5) + TIME(16,23,3)</f>
        <v>40487.682673611111</v>
      </c>
      <c r="C810">
        <v>80</v>
      </c>
      <c r="D810">
        <v>79.134811400999993</v>
      </c>
      <c r="E810">
        <v>60</v>
      </c>
      <c r="F810">
        <v>59.958370209000002</v>
      </c>
      <c r="G810">
        <v>1328.6632079999999</v>
      </c>
      <c r="H810">
        <v>1327.3519286999999</v>
      </c>
      <c r="I810">
        <v>1340.8643798999999</v>
      </c>
      <c r="J810">
        <v>1337.8341064000001</v>
      </c>
      <c r="K810">
        <v>0</v>
      </c>
      <c r="L810">
        <v>2750</v>
      </c>
      <c r="M810">
        <v>2750</v>
      </c>
      <c r="N810">
        <v>0</v>
      </c>
    </row>
    <row r="811" spans="1:14" x14ac:dyDescent="0.25">
      <c r="A811">
        <v>188.844887</v>
      </c>
      <c r="B811" s="1">
        <f>DATE(2010,11,5) + TIME(20,16,38)</f>
        <v>40487.844884259262</v>
      </c>
      <c r="C811">
        <v>80</v>
      </c>
      <c r="D811">
        <v>79.110481261999993</v>
      </c>
      <c r="E811">
        <v>60</v>
      </c>
      <c r="F811">
        <v>59.958717346</v>
      </c>
      <c r="G811">
        <v>1328.651001</v>
      </c>
      <c r="H811">
        <v>1327.3345947</v>
      </c>
      <c r="I811">
        <v>1340.8518065999999</v>
      </c>
      <c r="J811">
        <v>1337.8254394999999</v>
      </c>
      <c r="K811">
        <v>0</v>
      </c>
      <c r="L811">
        <v>2750</v>
      </c>
      <c r="M811">
        <v>2750</v>
      </c>
      <c r="N811">
        <v>0</v>
      </c>
    </row>
    <row r="812" spans="1:14" x14ac:dyDescent="0.25">
      <c r="A812">
        <v>189.01175000000001</v>
      </c>
      <c r="B812" s="1">
        <f>DATE(2010,11,6) + TIME(0,16,55)</f>
        <v>40488.011747685188</v>
      </c>
      <c r="C812">
        <v>80</v>
      </c>
      <c r="D812">
        <v>79.085617064999994</v>
      </c>
      <c r="E812">
        <v>60</v>
      </c>
      <c r="F812">
        <v>59.958995819000002</v>
      </c>
      <c r="G812">
        <v>1328.6386719</v>
      </c>
      <c r="H812">
        <v>1327.3170166</v>
      </c>
      <c r="I812">
        <v>1340.8391113</v>
      </c>
      <c r="J812">
        <v>1337.8166504000001</v>
      </c>
      <c r="K812">
        <v>0</v>
      </c>
      <c r="L812">
        <v>2750</v>
      </c>
      <c r="M812">
        <v>2750</v>
      </c>
      <c r="N812">
        <v>0</v>
      </c>
    </row>
    <row r="813" spans="1:14" x14ac:dyDescent="0.25">
      <c r="A813">
        <v>189.183356</v>
      </c>
      <c r="B813" s="1">
        <f>DATE(2010,11,6) + TIME(4,24,1)</f>
        <v>40488.183344907404</v>
      </c>
      <c r="C813">
        <v>80</v>
      </c>
      <c r="D813">
        <v>79.060218810999999</v>
      </c>
      <c r="E813">
        <v>60</v>
      </c>
      <c r="F813">
        <v>59.959220885999997</v>
      </c>
      <c r="G813">
        <v>1328.6260986</v>
      </c>
      <c r="H813">
        <v>1327.2990723</v>
      </c>
      <c r="I813">
        <v>1340.8261719</v>
      </c>
      <c r="J813">
        <v>1337.8077393000001</v>
      </c>
      <c r="K813">
        <v>0</v>
      </c>
      <c r="L813">
        <v>2750</v>
      </c>
      <c r="M813">
        <v>2750</v>
      </c>
      <c r="N813">
        <v>0</v>
      </c>
    </row>
    <row r="814" spans="1:14" x14ac:dyDescent="0.25">
      <c r="A814">
        <v>189.35854900000001</v>
      </c>
      <c r="B814" s="1">
        <f>DATE(2010,11,6) + TIME(8,36,18)</f>
        <v>40488.358541666668</v>
      </c>
      <c r="C814">
        <v>80</v>
      </c>
      <c r="D814">
        <v>79.034416199000006</v>
      </c>
      <c r="E814">
        <v>60</v>
      </c>
      <c r="F814">
        <v>59.959400176999999</v>
      </c>
      <c r="G814">
        <v>1328.6131591999999</v>
      </c>
      <c r="H814">
        <v>1327.2807617000001</v>
      </c>
      <c r="I814">
        <v>1340.8131103999999</v>
      </c>
      <c r="J814">
        <v>1337.7987060999999</v>
      </c>
      <c r="K814">
        <v>0</v>
      </c>
      <c r="L814">
        <v>2750</v>
      </c>
      <c r="M814">
        <v>2750</v>
      </c>
      <c r="N814">
        <v>0</v>
      </c>
    </row>
    <row r="815" spans="1:14" x14ac:dyDescent="0.25">
      <c r="A815">
        <v>189.537927</v>
      </c>
      <c r="B815" s="1">
        <f>DATE(2010,11,6) + TIME(12,54,36)</f>
        <v>40488.537916666668</v>
      </c>
      <c r="C815">
        <v>80</v>
      </c>
      <c r="D815">
        <v>79.008163452000005</v>
      </c>
      <c r="E815">
        <v>60</v>
      </c>
      <c r="F815">
        <v>59.959545134999999</v>
      </c>
      <c r="G815">
        <v>1328.6000977000001</v>
      </c>
      <c r="H815">
        <v>1327.262207</v>
      </c>
      <c r="I815">
        <v>1340.8000488</v>
      </c>
      <c r="J815">
        <v>1337.7897949000001</v>
      </c>
      <c r="K815">
        <v>0</v>
      </c>
      <c r="L815">
        <v>2750</v>
      </c>
      <c r="M815">
        <v>2750</v>
      </c>
      <c r="N815">
        <v>0</v>
      </c>
    </row>
    <row r="816" spans="1:14" x14ac:dyDescent="0.25">
      <c r="A816">
        <v>189.722094</v>
      </c>
      <c r="B816" s="1">
        <f>DATE(2010,11,6) + TIME(17,19,48)</f>
        <v>40488.722083333334</v>
      </c>
      <c r="C816">
        <v>80</v>
      </c>
      <c r="D816">
        <v>78.981376647999994</v>
      </c>
      <c r="E816">
        <v>60</v>
      </c>
      <c r="F816">
        <v>59.959655761999997</v>
      </c>
      <c r="G816">
        <v>1328.5867920000001</v>
      </c>
      <c r="H816">
        <v>1327.2432861</v>
      </c>
      <c r="I816">
        <v>1340.7868652</v>
      </c>
      <c r="J816">
        <v>1337.7808838000001</v>
      </c>
      <c r="K816">
        <v>0</v>
      </c>
      <c r="L816">
        <v>2750</v>
      </c>
      <c r="M816">
        <v>2750</v>
      </c>
      <c r="N816">
        <v>0</v>
      </c>
    </row>
    <row r="817" spans="1:14" x14ac:dyDescent="0.25">
      <c r="A817">
        <v>189.91169300000001</v>
      </c>
      <c r="B817" s="1">
        <f>DATE(2010,11,6) + TIME(21,52,50)</f>
        <v>40488.911689814813</v>
      </c>
      <c r="C817">
        <v>80</v>
      </c>
      <c r="D817">
        <v>78.953994750999996</v>
      </c>
      <c r="E817">
        <v>60</v>
      </c>
      <c r="F817">
        <v>59.959747313999998</v>
      </c>
      <c r="G817">
        <v>1328.5733643000001</v>
      </c>
      <c r="H817">
        <v>1327.2241211</v>
      </c>
      <c r="I817">
        <v>1340.7736815999999</v>
      </c>
      <c r="J817">
        <v>1337.7718506000001</v>
      </c>
      <c r="K817">
        <v>0</v>
      </c>
      <c r="L817">
        <v>2750</v>
      </c>
      <c r="M817">
        <v>2750</v>
      </c>
      <c r="N817">
        <v>0</v>
      </c>
    </row>
    <row r="818" spans="1:14" x14ac:dyDescent="0.25">
      <c r="A818">
        <v>190.10762600000001</v>
      </c>
      <c r="B818" s="1">
        <f>DATE(2010,11,7) + TIME(2,34,58)</f>
        <v>40489.107615740744</v>
      </c>
      <c r="C818">
        <v>80</v>
      </c>
      <c r="D818">
        <v>78.925918578999998</v>
      </c>
      <c r="E818">
        <v>60</v>
      </c>
      <c r="F818">
        <v>59.959815978999998</v>
      </c>
      <c r="G818">
        <v>1328.5595702999999</v>
      </c>
      <c r="H818">
        <v>1327.2045897999999</v>
      </c>
      <c r="I818">
        <v>1340.760376</v>
      </c>
      <c r="J818">
        <v>1337.7628173999999</v>
      </c>
      <c r="K818">
        <v>0</v>
      </c>
      <c r="L818">
        <v>2750</v>
      </c>
      <c r="M818">
        <v>2750</v>
      </c>
      <c r="N818">
        <v>0</v>
      </c>
    </row>
    <row r="819" spans="1:14" x14ac:dyDescent="0.25">
      <c r="A819">
        <v>190.308176</v>
      </c>
      <c r="B819" s="1">
        <f>DATE(2010,11,7) + TIME(7,23,46)</f>
        <v>40489.308171296296</v>
      </c>
      <c r="C819">
        <v>80</v>
      </c>
      <c r="D819">
        <v>78.897338867000002</v>
      </c>
      <c r="E819">
        <v>60</v>
      </c>
      <c r="F819">
        <v>59.959865569999998</v>
      </c>
      <c r="G819">
        <v>1328.5454102000001</v>
      </c>
      <c r="H819">
        <v>1327.1845702999999</v>
      </c>
      <c r="I819">
        <v>1340.7469481999999</v>
      </c>
      <c r="J819">
        <v>1337.7537841999999</v>
      </c>
      <c r="K819">
        <v>0</v>
      </c>
      <c r="L819">
        <v>2750</v>
      </c>
      <c r="M819">
        <v>2750</v>
      </c>
      <c r="N819">
        <v>0</v>
      </c>
    </row>
    <row r="820" spans="1:14" x14ac:dyDescent="0.25">
      <c r="A820">
        <v>190.512023</v>
      </c>
      <c r="B820" s="1">
        <f>DATE(2010,11,7) + TIME(12,17,18)</f>
        <v>40489.512013888889</v>
      </c>
      <c r="C820">
        <v>80</v>
      </c>
      <c r="D820">
        <v>78.868415833</v>
      </c>
      <c r="E820">
        <v>60</v>
      </c>
      <c r="F820">
        <v>59.959903717000003</v>
      </c>
      <c r="G820">
        <v>1328.5310059000001</v>
      </c>
      <c r="H820">
        <v>1327.1641846</v>
      </c>
      <c r="I820">
        <v>1340.7336425999999</v>
      </c>
      <c r="J820">
        <v>1337.744751</v>
      </c>
      <c r="K820">
        <v>0</v>
      </c>
      <c r="L820">
        <v>2750</v>
      </c>
      <c r="M820">
        <v>2750</v>
      </c>
      <c r="N820">
        <v>0</v>
      </c>
    </row>
    <row r="821" spans="1:14" x14ac:dyDescent="0.25">
      <c r="A821">
        <v>190.719876</v>
      </c>
      <c r="B821" s="1">
        <f>DATE(2010,11,7) + TIME(17,16,37)</f>
        <v>40489.719872685186</v>
      </c>
      <c r="C821">
        <v>80</v>
      </c>
      <c r="D821">
        <v>78.839080811000002</v>
      </c>
      <c r="E821">
        <v>60</v>
      </c>
      <c r="F821">
        <v>59.959930419999999</v>
      </c>
      <c r="G821">
        <v>1328.5166016000001</v>
      </c>
      <c r="H821">
        <v>1327.1437988</v>
      </c>
      <c r="I821">
        <v>1340.7202147999999</v>
      </c>
      <c r="J821">
        <v>1337.7358397999999</v>
      </c>
      <c r="K821">
        <v>0</v>
      </c>
      <c r="L821">
        <v>2750</v>
      </c>
      <c r="M821">
        <v>2750</v>
      </c>
      <c r="N821">
        <v>0</v>
      </c>
    </row>
    <row r="822" spans="1:14" x14ac:dyDescent="0.25">
      <c r="A822">
        <v>190.932457</v>
      </c>
      <c r="B822" s="1">
        <f>DATE(2010,11,7) + TIME(22,22,44)</f>
        <v>40489.932453703703</v>
      </c>
      <c r="C822">
        <v>80</v>
      </c>
      <c r="D822">
        <v>78.809265136999997</v>
      </c>
      <c r="E822">
        <v>60</v>
      </c>
      <c r="F822">
        <v>59.959945679</v>
      </c>
      <c r="G822">
        <v>1328.5018310999999</v>
      </c>
      <c r="H822">
        <v>1327.1229248</v>
      </c>
      <c r="I822">
        <v>1340.7070312000001</v>
      </c>
      <c r="J822">
        <v>1337.7269286999999</v>
      </c>
      <c r="K822">
        <v>0</v>
      </c>
      <c r="L822">
        <v>2750</v>
      </c>
      <c r="M822">
        <v>2750</v>
      </c>
      <c r="N822">
        <v>0</v>
      </c>
    </row>
    <row r="823" spans="1:14" x14ac:dyDescent="0.25">
      <c r="A823">
        <v>191.150543</v>
      </c>
      <c r="B823" s="1">
        <f>DATE(2010,11,8) + TIME(3,36,46)</f>
        <v>40490.15053240741</v>
      </c>
      <c r="C823">
        <v>80</v>
      </c>
      <c r="D823">
        <v>78.778900145999998</v>
      </c>
      <c r="E823">
        <v>60</v>
      </c>
      <c r="F823">
        <v>59.959949493000003</v>
      </c>
      <c r="G823">
        <v>1328.4869385</v>
      </c>
      <c r="H823">
        <v>1327.1019286999999</v>
      </c>
      <c r="I823">
        <v>1340.6938477000001</v>
      </c>
      <c r="J823">
        <v>1337.7181396000001</v>
      </c>
      <c r="K823">
        <v>0</v>
      </c>
      <c r="L823">
        <v>2750</v>
      </c>
      <c r="M823">
        <v>2750</v>
      </c>
      <c r="N823">
        <v>0</v>
      </c>
    </row>
    <row r="824" spans="1:14" x14ac:dyDescent="0.25">
      <c r="A824">
        <v>191.37493799999999</v>
      </c>
      <c r="B824" s="1">
        <f>DATE(2010,11,8) + TIME(8,59,54)</f>
        <v>40490.374930555554</v>
      </c>
      <c r="C824">
        <v>80</v>
      </c>
      <c r="D824">
        <v>78.747886657999999</v>
      </c>
      <c r="E824">
        <v>60</v>
      </c>
      <c r="F824">
        <v>59.959949493000003</v>
      </c>
      <c r="G824">
        <v>1328.4718018000001</v>
      </c>
      <c r="H824">
        <v>1327.0804443</v>
      </c>
      <c r="I824">
        <v>1340.6806641000001</v>
      </c>
      <c r="J824">
        <v>1337.7093506000001</v>
      </c>
      <c r="K824">
        <v>0</v>
      </c>
      <c r="L824">
        <v>2750</v>
      </c>
      <c r="M824">
        <v>2750</v>
      </c>
      <c r="N824">
        <v>0</v>
      </c>
    </row>
    <row r="825" spans="1:14" x14ac:dyDescent="0.25">
      <c r="A825">
        <v>191.60663299999999</v>
      </c>
      <c r="B825" s="1">
        <f>DATE(2010,11,8) + TIME(14,33,33)</f>
        <v>40490.606631944444</v>
      </c>
      <c r="C825">
        <v>80</v>
      </c>
      <c r="D825">
        <v>78.716133118000002</v>
      </c>
      <c r="E825">
        <v>60</v>
      </c>
      <c r="F825">
        <v>59.959941864000001</v>
      </c>
      <c r="G825">
        <v>1328.4562988</v>
      </c>
      <c r="H825">
        <v>1327.0585937999999</v>
      </c>
      <c r="I825">
        <v>1340.6673584</v>
      </c>
      <c r="J825">
        <v>1337.7006836</v>
      </c>
      <c r="K825">
        <v>0</v>
      </c>
      <c r="L825">
        <v>2750</v>
      </c>
      <c r="M825">
        <v>2750</v>
      </c>
      <c r="N825">
        <v>0</v>
      </c>
    </row>
    <row r="826" spans="1:14" x14ac:dyDescent="0.25">
      <c r="A826">
        <v>191.84197700000001</v>
      </c>
      <c r="B826" s="1">
        <f>DATE(2010,11,8) + TIME(20,12,26)</f>
        <v>40490.841967592591</v>
      </c>
      <c r="C826">
        <v>80</v>
      </c>
      <c r="D826">
        <v>78.684020996000001</v>
      </c>
      <c r="E826">
        <v>60</v>
      </c>
      <c r="F826">
        <v>59.959930419999999</v>
      </c>
      <c r="G826">
        <v>1328.4404297000001</v>
      </c>
      <c r="H826">
        <v>1327.0362548999999</v>
      </c>
      <c r="I826">
        <v>1340.6540527</v>
      </c>
      <c r="J826">
        <v>1337.6918945</v>
      </c>
      <c r="K826">
        <v>0</v>
      </c>
      <c r="L826">
        <v>2750</v>
      </c>
      <c r="M826">
        <v>2750</v>
      </c>
      <c r="N826">
        <v>0</v>
      </c>
    </row>
    <row r="827" spans="1:14" x14ac:dyDescent="0.25">
      <c r="A827">
        <v>192.08133000000001</v>
      </c>
      <c r="B827" s="1">
        <f>DATE(2010,11,9) + TIME(1,57,6)</f>
        <v>40491.081319444442</v>
      </c>
      <c r="C827">
        <v>80</v>
      </c>
      <c r="D827">
        <v>78.651519774999997</v>
      </c>
      <c r="E827">
        <v>60</v>
      </c>
      <c r="F827">
        <v>59.959911345999998</v>
      </c>
      <c r="G827">
        <v>1328.4245605000001</v>
      </c>
      <c r="H827">
        <v>1327.0137939000001</v>
      </c>
      <c r="I827">
        <v>1340.6408690999999</v>
      </c>
      <c r="J827">
        <v>1337.6832274999999</v>
      </c>
      <c r="K827">
        <v>0</v>
      </c>
      <c r="L827">
        <v>2750</v>
      </c>
      <c r="M827">
        <v>2750</v>
      </c>
      <c r="N827">
        <v>0</v>
      </c>
    </row>
    <row r="828" spans="1:14" x14ac:dyDescent="0.25">
      <c r="A828">
        <v>192.325379</v>
      </c>
      <c r="B828" s="1">
        <f>DATE(2010,11,9) + TIME(7,48,32)</f>
        <v>40491.325370370374</v>
      </c>
      <c r="C828">
        <v>80</v>
      </c>
      <c r="D828">
        <v>78.618591308999996</v>
      </c>
      <c r="E828">
        <v>60</v>
      </c>
      <c r="F828">
        <v>59.959892273000001</v>
      </c>
      <c r="G828">
        <v>1328.4083252</v>
      </c>
      <c r="H828">
        <v>1326.9910889</v>
      </c>
      <c r="I828">
        <v>1340.6278076000001</v>
      </c>
      <c r="J828">
        <v>1337.6746826000001</v>
      </c>
      <c r="K828">
        <v>0</v>
      </c>
      <c r="L828">
        <v>2750</v>
      </c>
      <c r="M828">
        <v>2750</v>
      </c>
      <c r="N828">
        <v>0</v>
      </c>
    </row>
    <row r="829" spans="1:14" x14ac:dyDescent="0.25">
      <c r="A829">
        <v>192.57459900000001</v>
      </c>
      <c r="B829" s="1">
        <f>DATE(2010,11,9) + TIME(13,47,25)</f>
        <v>40491.574594907404</v>
      </c>
      <c r="C829">
        <v>80</v>
      </c>
      <c r="D829">
        <v>78.585182189999998</v>
      </c>
      <c r="E829">
        <v>60</v>
      </c>
      <c r="F829">
        <v>59.959865569999998</v>
      </c>
      <c r="G829">
        <v>1328.3919678</v>
      </c>
      <c r="H829">
        <v>1326.9680175999999</v>
      </c>
      <c r="I829">
        <v>1340.6148682</v>
      </c>
      <c r="J829">
        <v>1337.6662598</v>
      </c>
      <c r="K829">
        <v>0</v>
      </c>
      <c r="L829">
        <v>2750</v>
      </c>
      <c r="M829">
        <v>2750</v>
      </c>
      <c r="N829">
        <v>0</v>
      </c>
    </row>
    <row r="830" spans="1:14" x14ac:dyDescent="0.25">
      <c r="A830">
        <v>192.82983200000001</v>
      </c>
      <c r="B830" s="1">
        <f>DATE(2010,11,9) + TIME(19,54,57)</f>
        <v>40491.829826388886</v>
      </c>
      <c r="C830">
        <v>80</v>
      </c>
      <c r="D830">
        <v>78.551231384000005</v>
      </c>
      <c r="E830">
        <v>60</v>
      </c>
      <c r="F830">
        <v>59.959838867000002</v>
      </c>
      <c r="G830">
        <v>1328.3753661999999</v>
      </c>
      <c r="H830">
        <v>1326.9447021000001</v>
      </c>
      <c r="I830">
        <v>1340.6019286999999</v>
      </c>
      <c r="J830">
        <v>1337.6578368999999</v>
      </c>
      <c r="K830">
        <v>0</v>
      </c>
      <c r="L830">
        <v>2750</v>
      </c>
      <c r="M830">
        <v>2750</v>
      </c>
      <c r="N830">
        <v>0</v>
      </c>
    </row>
    <row r="831" spans="1:14" x14ac:dyDescent="0.25">
      <c r="A831">
        <v>193.08996500000001</v>
      </c>
      <c r="B831" s="1">
        <f>DATE(2010,11,10) + TIME(2,9,32)</f>
        <v>40492.089953703704</v>
      </c>
      <c r="C831">
        <v>80</v>
      </c>
      <c r="D831">
        <v>78.516838074000006</v>
      </c>
      <c r="E831">
        <v>60</v>
      </c>
      <c r="F831">
        <v>59.959808350000003</v>
      </c>
      <c r="G831">
        <v>1328.3586425999999</v>
      </c>
      <c r="H831">
        <v>1326.9210204999999</v>
      </c>
      <c r="I831">
        <v>1340.5891113</v>
      </c>
      <c r="J831">
        <v>1337.6495361</v>
      </c>
      <c r="K831">
        <v>0</v>
      </c>
      <c r="L831">
        <v>2750</v>
      </c>
      <c r="M831">
        <v>2750</v>
      </c>
      <c r="N831">
        <v>0</v>
      </c>
    </row>
    <row r="832" spans="1:14" x14ac:dyDescent="0.25">
      <c r="A832">
        <v>193.35520700000001</v>
      </c>
      <c r="B832" s="1">
        <f>DATE(2010,11,10) + TIME(8,31,29)</f>
        <v>40492.355196759258</v>
      </c>
      <c r="C832">
        <v>80</v>
      </c>
      <c r="D832">
        <v>78.482002257999994</v>
      </c>
      <c r="E832">
        <v>60</v>
      </c>
      <c r="F832">
        <v>59.959774017000001</v>
      </c>
      <c r="G832">
        <v>1328.3415527</v>
      </c>
      <c r="H832">
        <v>1326.8970947</v>
      </c>
      <c r="I832">
        <v>1340.5762939000001</v>
      </c>
      <c r="J832">
        <v>1337.6412353999999</v>
      </c>
      <c r="K832">
        <v>0</v>
      </c>
      <c r="L832">
        <v>2750</v>
      </c>
      <c r="M832">
        <v>2750</v>
      </c>
      <c r="N832">
        <v>0</v>
      </c>
    </row>
    <row r="833" spans="1:14" x14ac:dyDescent="0.25">
      <c r="A833">
        <v>193.62625499999999</v>
      </c>
      <c r="B833" s="1">
        <f>DATE(2010,11,10) + TIME(15,1,48)</f>
        <v>40492.626250000001</v>
      </c>
      <c r="C833">
        <v>80</v>
      </c>
      <c r="D833">
        <v>78.446662903000004</v>
      </c>
      <c r="E833">
        <v>60</v>
      </c>
      <c r="F833">
        <v>59.959739685000002</v>
      </c>
      <c r="G833">
        <v>1328.3243408000001</v>
      </c>
      <c r="H833">
        <v>1326.8729248</v>
      </c>
      <c r="I833">
        <v>1340.5635986</v>
      </c>
      <c r="J833">
        <v>1337.6331786999999</v>
      </c>
      <c r="K833">
        <v>0</v>
      </c>
      <c r="L833">
        <v>2750</v>
      </c>
      <c r="M833">
        <v>2750</v>
      </c>
      <c r="N833">
        <v>0</v>
      </c>
    </row>
    <row r="834" spans="1:14" x14ac:dyDescent="0.25">
      <c r="A834">
        <v>193.90086199999999</v>
      </c>
      <c r="B834" s="1">
        <f>DATE(2010,11,10) + TIME(21,37,14)</f>
        <v>40492.900856481479</v>
      </c>
      <c r="C834">
        <v>80</v>
      </c>
      <c r="D834">
        <v>78.411033630000006</v>
      </c>
      <c r="E834">
        <v>60</v>
      </c>
      <c r="F834">
        <v>59.959701537999997</v>
      </c>
      <c r="G834">
        <v>1328.3068848</v>
      </c>
      <c r="H834">
        <v>1326.8483887</v>
      </c>
      <c r="I834">
        <v>1340.5510254000001</v>
      </c>
      <c r="J834">
        <v>1337.625</v>
      </c>
      <c r="K834">
        <v>0</v>
      </c>
      <c r="L834">
        <v>2750</v>
      </c>
      <c r="M834">
        <v>2750</v>
      </c>
      <c r="N834">
        <v>0</v>
      </c>
    </row>
    <row r="835" spans="1:14" x14ac:dyDescent="0.25">
      <c r="A835">
        <v>194.179306</v>
      </c>
      <c r="B835" s="1">
        <f>DATE(2010,11,11) + TIME(4,18,12)</f>
        <v>40493.179305555554</v>
      </c>
      <c r="C835">
        <v>80</v>
      </c>
      <c r="D835">
        <v>78.375114440999994</v>
      </c>
      <c r="E835">
        <v>60</v>
      </c>
      <c r="F835">
        <v>59.959667205999999</v>
      </c>
      <c r="G835">
        <v>1328.2893065999999</v>
      </c>
      <c r="H835">
        <v>1326.8237305</v>
      </c>
      <c r="I835">
        <v>1340.5385742000001</v>
      </c>
      <c r="J835">
        <v>1337.6170654</v>
      </c>
      <c r="K835">
        <v>0</v>
      </c>
      <c r="L835">
        <v>2750</v>
      </c>
      <c r="M835">
        <v>2750</v>
      </c>
      <c r="N835">
        <v>0</v>
      </c>
    </row>
    <row r="836" spans="1:14" x14ac:dyDescent="0.25">
      <c r="A836">
        <v>194.46104700000001</v>
      </c>
      <c r="B836" s="1">
        <f>DATE(2010,11,11) + TIME(11,3,54)</f>
        <v>40493.461041666669</v>
      </c>
      <c r="C836">
        <v>80</v>
      </c>
      <c r="D836">
        <v>78.338966369999994</v>
      </c>
      <c r="E836">
        <v>60</v>
      </c>
      <c r="F836">
        <v>59.959625244000001</v>
      </c>
      <c r="G836">
        <v>1328.2714844</v>
      </c>
      <c r="H836">
        <v>1326.7989502</v>
      </c>
      <c r="I836">
        <v>1340.5262451000001</v>
      </c>
      <c r="J836">
        <v>1337.6092529</v>
      </c>
      <c r="K836">
        <v>0</v>
      </c>
      <c r="L836">
        <v>2750</v>
      </c>
      <c r="M836">
        <v>2750</v>
      </c>
      <c r="N836">
        <v>0</v>
      </c>
    </row>
    <row r="837" spans="1:14" x14ac:dyDescent="0.25">
      <c r="A837">
        <v>194.74705399999999</v>
      </c>
      <c r="B837" s="1">
        <f>DATE(2010,11,11) + TIME(17,55,45)</f>
        <v>40493.747048611112</v>
      </c>
      <c r="C837">
        <v>80</v>
      </c>
      <c r="D837">
        <v>78.302520752000007</v>
      </c>
      <c r="E837">
        <v>60</v>
      </c>
      <c r="F837">
        <v>59.959587096999996</v>
      </c>
      <c r="G837">
        <v>1328.2537841999999</v>
      </c>
      <c r="H837">
        <v>1326.7740478999999</v>
      </c>
      <c r="I837">
        <v>1340.5140381000001</v>
      </c>
      <c r="J837">
        <v>1337.6015625</v>
      </c>
      <c r="K837">
        <v>0</v>
      </c>
      <c r="L837">
        <v>2750</v>
      </c>
      <c r="M837">
        <v>2750</v>
      </c>
      <c r="N837">
        <v>0</v>
      </c>
    </row>
    <row r="838" spans="1:14" x14ac:dyDescent="0.25">
      <c r="A838">
        <v>195.03831299999999</v>
      </c>
      <c r="B838" s="1">
        <f>DATE(2010,11,12) + TIME(0,55,10)</f>
        <v>40494.038310185184</v>
      </c>
      <c r="C838">
        <v>80</v>
      </c>
      <c r="D838">
        <v>78.265693665000001</v>
      </c>
      <c r="E838">
        <v>60</v>
      </c>
      <c r="F838">
        <v>59.959548949999999</v>
      </c>
      <c r="G838">
        <v>1328.2357178</v>
      </c>
      <c r="H838">
        <v>1326.7489014</v>
      </c>
      <c r="I838">
        <v>1340.5020752</v>
      </c>
      <c r="J838">
        <v>1337.5939940999999</v>
      </c>
      <c r="K838">
        <v>0</v>
      </c>
      <c r="L838">
        <v>2750</v>
      </c>
      <c r="M838">
        <v>2750</v>
      </c>
      <c r="N838">
        <v>0</v>
      </c>
    </row>
    <row r="839" spans="1:14" x14ac:dyDescent="0.25">
      <c r="A839">
        <v>195.33586500000001</v>
      </c>
      <c r="B839" s="1">
        <f>DATE(2010,11,12) + TIME(8,3,38)</f>
        <v>40494.335856481484</v>
      </c>
      <c r="C839">
        <v>80</v>
      </c>
      <c r="D839">
        <v>78.228393554999997</v>
      </c>
      <c r="E839">
        <v>60</v>
      </c>
      <c r="F839">
        <v>59.959506988999998</v>
      </c>
      <c r="G839">
        <v>1328.2176514</v>
      </c>
      <c r="H839">
        <v>1326.7235106999999</v>
      </c>
      <c r="I839">
        <v>1340.4901123</v>
      </c>
      <c r="J839">
        <v>1337.5865478999999</v>
      </c>
      <c r="K839">
        <v>0</v>
      </c>
      <c r="L839">
        <v>2750</v>
      </c>
      <c r="M839">
        <v>2750</v>
      </c>
      <c r="N839">
        <v>0</v>
      </c>
    </row>
    <row r="840" spans="1:14" x14ac:dyDescent="0.25">
      <c r="A840">
        <v>195.640826</v>
      </c>
      <c r="B840" s="1">
        <f>DATE(2010,11,12) + TIME(15,22,47)</f>
        <v>40494.640821759262</v>
      </c>
      <c r="C840">
        <v>80</v>
      </c>
      <c r="D840">
        <v>78.190513611</v>
      </c>
      <c r="E840">
        <v>60</v>
      </c>
      <c r="F840">
        <v>59.959465027</v>
      </c>
      <c r="G840">
        <v>1328.1992187999999</v>
      </c>
      <c r="H840">
        <v>1326.6977539</v>
      </c>
      <c r="I840">
        <v>1340.4781493999999</v>
      </c>
      <c r="J840">
        <v>1337.5791016000001</v>
      </c>
      <c r="K840">
        <v>0</v>
      </c>
      <c r="L840">
        <v>2750</v>
      </c>
      <c r="M840">
        <v>2750</v>
      </c>
      <c r="N840">
        <v>0</v>
      </c>
    </row>
    <row r="841" spans="1:14" x14ac:dyDescent="0.25">
      <c r="A841">
        <v>195.95436900000001</v>
      </c>
      <c r="B841" s="1">
        <f>DATE(2010,11,12) + TIME(22,54,17)</f>
        <v>40494.954363425924</v>
      </c>
      <c r="C841">
        <v>80</v>
      </c>
      <c r="D841">
        <v>78.151939392000003</v>
      </c>
      <c r="E841">
        <v>60</v>
      </c>
      <c r="F841">
        <v>59.959423065000003</v>
      </c>
      <c r="G841">
        <v>1328.1805420000001</v>
      </c>
      <c r="H841">
        <v>1326.6716309000001</v>
      </c>
      <c r="I841">
        <v>1340.4663086</v>
      </c>
      <c r="J841">
        <v>1337.5717772999999</v>
      </c>
      <c r="K841">
        <v>0</v>
      </c>
      <c r="L841">
        <v>2750</v>
      </c>
      <c r="M841">
        <v>2750</v>
      </c>
      <c r="N841">
        <v>0</v>
      </c>
    </row>
    <row r="842" spans="1:14" x14ac:dyDescent="0.25">
      <c r="A842">
        <v>196.276758</v>
      </c>
      <c r="B842" s="1">
        <f>DATE(2010,11,13) + TIME(6,38,31)</f>
        <v>40495.276747685188</v>
      </c>
      <c r="C842">
        <v>80</v>
      </c>
      <c r="D842">
        <v>78.112632751000007</v>
      </c>
      <c r="E842">
        <v>60</v>
      </c>
      <c r="F842">
        <v>59.959381104000002</v>
      </c>
      <c r="G842">
        <v>1328.161499</v>
      </c>
      <c r="H842">
        <v>1326.6450195</v>
      </c>
      <c r="I842">
        <v>1340.4543457</v>
      </c>
      <c r="J842">
        <v>1337.5643310999999</v>
      </c>
      <c r="K842">
        <v>0</v>
      </c>
      <c r="L842">
        <v>2750</v>
      </c>
      <c r="M842">
        <v>2750</v>
      </c>
      <c r="N842">
        <v>0</v>
      </c>
    </row>
    <row r="843" spans="1:14" x14ac:dyDescent="0.25">
      <c r="A843">
        <v>196.60376099999999</v>
      </c>
      <c r="B843" s="1">
        <f>DATE(2010,11,13) + TIME(14,29,24)</f>
        <v>40495.603750000002</v>
      </c>
      <c r="C843">
        <v>80</v>
      </c>
      <c r="D843">
        <v>78.072929381999998</v>
      </c>
      <c r="E843">
        <v>60</v>
      </c>
      <c r="F843">
        <v>59.959339141999997</v>
      </c>
      <c r="G843">
        <v>1328.1420897999999</v>
      </c>
      <c r="H843">
        <v>1326.6179199000001</v>
      </c>
      <c r="I843">
        <v>1340.4423827999999</v>
      </c>
      <c r="J843">
        <v>1337.5570068</v>
      </c>
      <c r="K843">
        <v>0</v>
      </c>
      <c r="L843">
        <v>2750</v>
      </c>
      <c r="M843">
        <v>2750</v>
      </c>
      <c r="N843">
        <v>0</v>
      </c>
    </row>
    <row r="844" spans="1:14" x14ac:dyDescent="0.25">
      <c r="A844">
        <v>196.93586999999999</v>
      </c>
      <c r="B844" s="1">
        <f>DATE(2010,11,13) + TIME(22,27,39)</f>
        <v>40495.935868055552</v>
      </c>
      <c r="C844">
        <v>80</v>
      </c>
      <c r="D844">
        <v>78.032821655000006</v>
      </c>
      <c r="E844">
        <v>60</v>
      </c>
      <c r="F844">
        <v>59.95929718</v>
      </c>
      <c r="G844">
        <v>1328.1225586</v>
      </c>
      <c r="H844">
        <v>1326.5906981999999</v>
      </c>
      <c r="I844">
        <v>1340.4305420000001</v>
      </c>
      <c r="J844">
        <v>1337.5496826000001</v>
      </c>
      <c r="K844">
        <v>0</v>
      </c>
      <c r="L844">
        <v>2750</v>
      </c>
      <c r="M844">
        <v>2750</v>
      </c>
      <c r="N844">
        <v>0</v>
      </c>
    </row>
    <row r="845" spans="1:14" x14ac:dyDescent="0.25">
      <c r="A845">
        <v>197.27202199999999</v>
      </c>
      <c r="B845" s="1">
        <f>DATE(2010,11,14) + TIME(6,31,42)</f>
        <v>40496.272013888891</v>
      </c>
      <c r="C845">
        <v>80</v>
      </c>
      <c r="D845">
        <v>77.992424010999997</v>
      </c>
      <c r="E845">
        <v>60</v>
      </c>
      <c r="F845">
        <v>59.959255218999999</v>
      </c>
      <c r="G845">
        <v>1328.1027832</v>
      </c>
      <c r="H845">
        <v>1326.5632324000001</v>
      </c>
      <c r="I845">
        <v>1340.4188231999999</v>
      </c>
      <c r="J845">
        <v>1337.5424805</v>
      </c>
      <c r="K845">
        <v>0</v>
      </c>
      <c r="L845">
        <v>2750</v>
      </c>
      <c r="M845">
        <v>2750</v>
      </c>
      <c r="N845">
        <v>0</v>
      </c>
    </row>
    <row r="846" spans="1:14" x14ac:dyDescent="0.25">
      <c r="A846">
        <v>197.60897600000001</v>
      </c>
      <c r="B846" s="1">
        <f>DATE(2010,11,14) + TIME(14,36,55)</f>
        <v>40496.608969907407</v>
      </c>
      <c r="C846">
        <v>80</v>
      </c>
      <c r="D846">
        <v>77.952026367000002</v>
      </c>
      <c r="E846">
        <v>60</v>
      </c>
      <c r="F846">
        <v>59.959213257000002</v>
      </c>
      <c r="G846">
        <v>1328.0828856999999</v>
      </c>
      <c r="H846">
        <v>1326.5356445</v>
      </c>
      <c r="I846">
        <v>1340.4072266000001</v>
      </c>
      <c r="J846">
        <v>1337.5354004000001</v>
      </c>
      <c r="K846">
        <v>0</v>
      </c>
      <c r="L846">
        <v>2750</v>
      </c>
      <c r="M846">
        <v>2750</v>
      </c>
      <c r="N846">
        <v>0</v>
      </c>
    </row>
    <row r="847" spans="1:14" x14ac:dyDescent="0.25">
      <c r="A847">
        <v>197.94800599999999</v>
      </c>
      <c r="B847" s="1">
        <f>DATE(2010,11,14) + TIME(22,45,7)</f>
        <v>40496.947997685187</v>
      </c>
      <c r="C847">
        <v>80</v>
      </c>
      <c r="D847">
        <v>77.911582946999999</v>
      </c>
      <c r="E847">
        <v>60</v>
      </c>
      <c r="F847">
        <v>59.959171294999997</v>
      </c>
      <c r="G847">
        <v>1328.0631103999999</v>
      </c>
      <c r="H847">
        <v>1326.5080565999999</v>
      </c>
      <c r="I847">
        <v>1340.395874</v>
      </c>
      <c r="J847">
        <v>1337.5285644999999</v>
      </c>
      <c r="K847">
        <v>0</v>
      </c>
      <c r="L847">
        <v>2750</v>
      </c>
      <c r="M847">
        <v>2750</v>
      </c>
      <c r="N847">
        <v>0</v>
      </c>
    </row>
    <row r="848" spans="1:14" x14ac:dyDescent="0.25">
      <c r="A848">
        <v>198.290358</v>
      </c>
      <c r="B848" s="1">
        <f>DATE(2010,11,15) + TIME(6,58,6)</f>
        <v>40497.290347222224</v>
      </c>
      <c r="C848">
        <v>80</v>
      </c>
      <c r="D848">
        <v>77.871017456000004</v>
      </c>
      <c r="E848">
        <v>60</v>
      </c>
      <c r="F848">
        <v>59.959129333</v>
      </c>
      <c r="G848">
        <v>1328.0433350000001</v>
      </c>
      <c r="H848">
        <v>1326.4804687999999</v>
      </c>
      <c r="I848">
        <v>1340.3847656</v>
      </c>
      <c r="J848">
        <v>1337.5217285000001</v>
      </c>
      <c r="K848">
        <v>0</v>
      </c>
      <c r="L848">
        <v>2750</v>
      </c>
      <c r="M848">
        <v>2750</v>
      </c>
      <c r="N848">
        <v>0</v>
      </c>
    </row>
    <row r="849" spans="1:14" x14ac:dyDescent="0.25">
      <c r="A849">
        <v>198.63727700000001</v>
      </c>
      <c r="B849" s="1">
        <f>DATE(2010,11,15) + TIME(15,17,40)</f>
        <v>40497.63726851852</v>
      </c>
      <c r="C849">
        <v>80</v>
      </c>
      <c r="D849">
        <v>77.830230713000006</v>
      </c>
      <c r="E849">
        <v>60</v>
      </c>
      <c r="F849">
        <v>59.959087371999999</v>
      </c>
      <c r="G849">
        <v>1328.0235596</v>
      </c>
      <c r="H849">
        <v>1326.4528809000001</v>
      </c>
      <c r="I849">
        <v>1340.3737793</v>
      </c>
      <c r="J849">
        <v>1337.5151367000001</v>
      </c>
      <c r="K849">
        <v>0</v>
      </c>
      <c r="L849">
        <v>2750</v>
      </c>
      <c r="M849">
        <v>2750</v>
      </c>
      <c r="N849">
        <v>0</v>
      </c>
    </row>
    <row r="850" spans="1:14" x14ac:dyDescent="0.25">
      <c r="A850">
        <v>198.990038</v>
      </c>
      <c r="B850" s="1">
        <f>DATE(2010,11,15) + TIME(23,45,39)</f>
        <v>40497.990034722221</v>
      </c>
      <c r="C850">
        <v>80</v>
      </c>
      <c r="D850">
        <v>77.789115906000006</v>
      </c>
      <c r="E850">
        <v>60</v>
      </c>
      <c r="F850">
        <v>59.959049225000001</v>
      </c>
      <c r="G850">
        <v>1328.0035399999999</v>
      </c>
      <c r="H850">
        <v>1326.4251709</v>
      </c>
      <c r="I850">
        <v>1340.362793</v>
      </c>
      <c r="J850">
        <v>1337.5085449000001</v>
      </c>
      <c r="K850">
        <v>0</v>
      </c>
      <c r="L850">
        <v>2750</v>
      </c>
      <c r="M850">
        <v>2750</v>
      </c>
      <c r="N850">
        <v>0</v>
      </c>
    </row>
    <row r="851" spans="1:14" x14ac:dyDescent="0.25">
      <c r="A851">
        <v>199.34997200000001</v>
      </c>
      <c r="B851" s="1">
        <f>DATE(2010,11,16) + TIME(8,23,57)</f>
        <v>40498.349965277775</v>
      </c>
      <c r="C851">
        <v>80</v>
      </c>
      <c r="D851">
        <v>77.747550963999998</v>
      </c>
      <c r="E851">
        <v>60</v>
      </c>
      <c r="F851">
        <v>59.959007262999997</v>
      </c>
      <c r="G851">
        <v>1327.9833983999999</v>
      </c>
      <c r="H851">
        <v>1326.3970947</v>
      </c>
      <c r="I851">
        <v>1340.3520507999999</v>
      </c>
      <c r="J851">
        <v>1337.5020752</v>
      </c>
      <c r="K851">
        <v>0</v>
      </c>
      <c r="L851">
        <v>2750</v>
      </c>
      <c r="M851">
        <v>2750</v>
      </c>
      <c r="N851">
        <v>0</v>
      </c>
    </row>
    <row r="852" spans="1:14" x14ac:dyDescent="0.25">
      <c r="A852">
        <v>199.718501</v>
      </c>
      <c r="B852" s="1">
        <f>DATE(2010,11,16) + TIME(17,14,38)</f>
        <v>40498.718495370369</v>
      </c>
      <c r="C852">
        <v>80</v>
      </c>
      <c r="D852">
        <v>77.705390929999993</v>
      </c>
      <c r="E852">
        <v>60</v>
      </c>
      <c r="F852">
        <v>59.958969115999999</v>
      </c>
      <c r="G852">
        <v>1327.9630127</v>
      </c>
      <c r="H852">
        <v>1326.3688964999999</v>
      </c>
      <c r="I852">
        <v>1340.3411865</v>
      </c>
      <c r="J852">
        <v>1337.4956055</v>
      </c>
      <c r="K852">
        <v>0</v>
      </c>
      <c r="L852">
        <v>2750</v>
      </c>
      <c r="M852">
        <v>2750</v>
      </c>
      <c r="N852">
        <v>0</v>
      </c>
    </row>
    <row r="853" spans="1:14" x14ac:dyDescent="0.25">
      <c r="A853">
        <v>200.09711100000001</v>
      </c>
      <c r="B853" s="1">
        <f>DATE(2010,11,17) + TIME(2,19,50)</f>
        <v>40499.09710648148</v>
      </c>
      <c r="C853">
        <v>80</v>
      </c>
      <c r="D853">
        <v>77.662498474000003</v>
      </c>
      <c r="E853">
        <v>60</v>
      </c>
      <c r="F853">
        <v>59.958930969000001</v>
      </c>
      <c r="G853">
        <v>1327.9423827999999</v>
      </c>
      <c r="H853">
        <v>1326.3402100000001</v>
      </c>
      <c r="I853">
        <v>1340.3304443</v>
      </c>
      <c r="J853">
        <v>1337.4892577999999</v>
      </c>
      <c r="K853">
        <v>0</v>
      </c>
      <c r="L853">
        <v>2750</v>
      </c>
      <c r="M853">
        <v>2750</v>
      </c>
      <c r="N853">
        <v>0</v>
      </c>
    </row>
    <row r="854" spans="1:14" x14ac:dyDescent="0.25">
      <c r="A854">
        <v>200.486323</v>
      </c>
      <c r="B854" s="1">
        <f>DATE(2010,11,17) + TIME(11,40,18)</f>
        <v>40499.486319444448</v>
      </c>
      <c r="C854">
        <v>80</v>
      </c>
      <c r="D854">
        <v>77.618789672999995</v>
      </c>
      <c r="E854">
        <v>60</v>
      </c>
      <c r="F854">
        <v>59.958889008</v>
      </c>
      <c r="G854">
        <v>1327.9213867000001</v>
      </c>
      <c r="H854">
        <v>1326.3109131000001</v>
      </c>
      <c r="I854">
        <v>1340.3195800999999</v>
      </c>
      <c r="J854">
        <v>1337.4827881000001</v>
      </c>
      <c r="K854">
        <v>0</v>
      </c>
      <c r="L854">
        <v>2750</v>
      </c>
      <c r="M854">
        <v>2750</v>
      </c>
      <c r="N854">
        <v>0</v>
      </c>
    </row>
    <row r="855" spans="1:14" x14ac:dyDescent="0.25">
      <c r="A855">
        <v>200.88402600000001</v>
      </c>
      <c r="B855" s="1">
        <f>DATE(2010,11,17) + TIME(21,12,59)</f>
        <v>40499.884016203701</v>
      </c>
      <c r="C855">
        <v>80</v>
      </c>
      <c r="D855">
        <v>77.574378967000001</v>
      </c>
      <c r="E855">
        <v>60</v>
      </c>
      <c r="F855">
        <v>59.958850861000002</v>
      </c>
      <c r="G855">
        <v>1327.8999022999999</v>
      </c>
      <c r="H855">
        <v>1326.28125</v>
      </c>
      <c r="I855">
        <v>1340.3085937999999</v>
      </c>
      <c r="J855">
        <v>1337.4764404</v>
      </c>
      <c r="K855">
        <v>0</v>
      </c>
      <c r="L855">
        <v>2750</v>
      </c>
      <c r="M855">
        <v>2750</v>
      </c>
      <c r="N855">
        <v>0</v>
      </c>
    </row>
    <row r="856" spans="1:14" x14ac:dyDescent="0.25">
      <c r="A856">
        <v>201.29185799999999</v>
      </c>
      <c r="B856" s="1">
        <f>DATE(2010,11,18) + TIME(7,0,16)</f>
        <v>40500.291851851849</v>
      </c>
      <c r="C856">
        <v>80</v>
      </c>
      <c r="D856">
        <v>77.529167174999998</v>
      </c>
      <c r="E856">
        <v>60</v>
      </c>
      <c r="F856">
        <v>59.958812713999997</v>
      </c>
      <c r="G856">
        <v>1327.8781738</v>
      </c>
      <c r="H856">
        <v>1326.2510986</v>
      </c>
      <c r="I856">
        <v>1340.2977295000001</v>
      </c>
      <c r="J856">
        <v>1337.4699707</v>
      </c>
      <c r="K856">
        <v>0</v>
      </c>
      <c r="L856">
        <v>2750</v>
      </c>
      <c r="M856">
        <v>2750</v>
      </c>
      <c r="N856">
        <v>0</v>
      </c>
    </row>
    <row r="857" spans="1:14" x14ac:dyDescent="0.25">
      <c r="A857">
        <v>201.701042</v>
      </c>
      <c r="B857" s="1">
        <f>DATE(2010,11,18) + TIME(16,49,30)</f>
        <v>40500.701041666667</v>
      </c>
      <c r="C857">
        <v>80</v>
      </c>
      <c r="D857">
        <v>77.483726501000007</v>
      </c>
      <c r="E857">
        <v>60</v>
      </c>
      <c r="F857">
        <v>59.958770752</v>
      </c>
      <c r="G857">
        <v>1327.8560791</v>
      </c>
      <c r="H857">
        <v>1326.2205810999999</v>
      </c>
      <c r="I857">
        <v>1340.2868652</v>
      </c>
      <c r="J857">
        <v>1337.4636230000001</v>
      </c>
      <c r="K857">
        <v>0</v>
      </c>
      <c r="L857">
        <v>2750</v>
      </c>
      <c r="M857">
        <v>2750</v>
      </c>
      <c r="N857">
        <v>0</v>
      </c>
    </row>
    <row r="858" spans="1:14" x14ac:dyDescent="0.25">
      <c r="A858">
        <v>202.110376</v>
      </c>
      <c r="B858" s="1">
        <f>DATE(2010,11,19) + TIME(2,38,56)</f>
        <v>40501.11037037037</v>
      </c>
      <c r="C858">
        <v>80</v>
      </c>
      <c r="D858">
        <v>77.438278198000006</v>
      </c>
      <c r="E858">
        <v>60</v>
      </c>
      <c r="F858">
        <v>59.958732605000002</v>
      </c>
      <c r="G858">
        <v>1327.8339844</v>
      </c>
      <c r="H858">
        <v>1326.1900635</v>
      </c>
      <c r="I858">
        <v>1340.2761230000001</v>
      </c>
      <c r="J858">
        <v>1337.4573975000001</v>
      </c>
      <c r="K858">
        <v>0</v>
      </c>
      <c r="L858">
        <v>2750</v>
      </c>
      <c r="M858">
        <v>2750</v>
      </c>
      <c r="N858">
        <v>0</v>
      </c>
    </row>
    <row r="859" spans="1:14" x14ac:dyDescent="0.25">
      <c r="A859">
        <v>202.521489</v>
      </c>
      <c r="B859" s="1">
        <f>DATE(2010,11,19) + TIME(12,30,56)</f>
        <v>40501.521481481483</v>
      </c>
      <c r="C859">
        <v>80</v>
      </c>
      <c r="D859">
        <v>77.392807007000002</v>
      </c>
      <c r="E859">
        <v>60</v>
      </c>
      <c r="F859">
        <v>59.958694457999997</v>
      </c>
      <c r="G859">
        <v>1327.8120117000001</v>
      </c>
      <c r="H859">
        <v>1326.159668</v>
      </c>
      <c r="I859">
        <v>1340.265625</v>
      </c>
      <c r="J859">
        <v>1337.4512939000001</v>
      </c>
      <c r="K859">
        <v>0</v>
      </c>
      <c r="L859">
        <v>2750</v>
      </c>
      <c r="M859">
        <v>2750</v>
      </c>
      <c r="N859">
        <v>0</v>
      </c>
    </row>
    <row r="860" spans="1:14" x14ac:dyDescent="0.25">
      <c r="A860">
        <v>202.93602799999999</v>
      </c>
      <c r="B860" s="1">
        <f>DATE(2010,11,19) + TIME(22,27,52)</f>
        <v>40501.936018518521</v>
      </c>
      <c r="C860">
        <v>80</v>
      </c>
      <c r="D860">
        <v>77.347221375000004</v>
      </c>
      <c r="E860">
        <v>60</v>
      </c>
      <c r="F860">
        <v>59.958656310999999</v>
      </c>
      <c r="G860">
        <v>1327.7900391000001</v>
      </c>
      <c r="H860">
        <v>1326.1292725000001</v>
      </c>
      <c r="I860">
        <v>1340.2553711</v>
      </c>
      <c r="J860">
        <v>1337.4453125</v>
      </c>
      <c r="K860">
        <v>0</v>
      </c>
      <c r="L860">
        <v>2750</v>
      </c>
      <c r="M860">
        <v>2750</v>
      </c>
      <c r="N860">
        <v>0</v>
      </c>
    </row>
    <row r="861" spans="1:14" x14ac:dyDescent="0.25">
      <c r="A861">
        <v>203.35564500000001</v>
      </c>
      <c r="B861" s="1">
        <f>DATE(2010,11,20) + TIME(8,32,7)</f>
        <v>40502.355636574073</v>
      </c>
      <c r="C861">
        <v>80</v>
      </c>
      <c r="D861">
        <v>77.30140686</v>
      </c>
      <c r="E861">
        <v>60</v>
      </c>
      <c r="F861">
        <v>59.958621979</v>
      </c>
      <c r="G861">
        <v>1327.7680664</v>
      </c>
      <c r="H861">
        <v>1326.0988769999999</v>
      </c>
      <c r="I861">
        <v>1340.2451172000001</v>
      </c>
      <c r="J861">
        <v>1337.4394531</v>
      </c>
      <c r="K861">
        <v>0</v>
      </c>
      <c r="L861">
        <v>2750</v>
      </c>
      <c r="M861">
        <v>2750</v>
      </c>
      <c r="N861">
        <v>0</v>
      </c>
    </row>
    <row r="862" spans="1:14" x14ac:dyDescent="0.25">
      <c r="A862">
        <v>203.78115700000001</v>
      </c>
      <c r="B862" s="1">
        <f>DATE(2010,11,20) + TIME(18,44,51)</f>
        <v>40502.781145833331</v>
      </c>
      <c r="C862">
        <v>80</v>
      </c>
      <c r="D862">
        <v>77.255279540999993</v>
      </c>
      <c r="E862">
        <v>60</v>
      </c>
      <c r="F862">
        <v>59.958583832000002</v>
      </c>
      <c r="G862">
        <v>1327.7459716999999</v>
      </c>
      <c r="H862">
        <v>1326.0684814000001</v>
      </c>
      <c r="I862">
        <v>1340.2351074000001</v>
      </c>
      <c r="J862">
        <v>1337.4337158000001</v>
      </c>
      <c r="K862">
        <v>0</v>
      </c>
      <c r="L862">
        <v>2750</v>
      </c>
      <c r="M862">
        <v>2750</v>
      </c>
      <c r="N862">
        <v>0</v>
      </c>
    </row>
    <row r="863" spans="1:14" x14ac:dyDescent="0.25">
      <c r="A863">
        <v>204.21225999999999</v>
      </c>
      <c r="B863" s="1">
        <f>DATE(2010,11,21) + TIME(5,5,39)</f>
        <v>40503.212256944447</v>
      </c>
      <c r="C863">
        <v>80</v>
      </c>
      <c r="D863">
        <v>77.208816528</v>
      </c>
      <c r="E863">
        <v>60</v>
      </c>
      <c r="F863">
        <v>59.958549499999997</v>
      </c>
      <c r="G863">
        <v>1327.7238769999999</v>
      </c>
      <c r="H863">
        <v>1326.0378418</v>
      </c>
      <c r="I863">
        <v>1340.2250977000001</v>
      </c>
      <c r="J863">
        <v>1337.4279785000001</v>
      </c>
      <c r="K863">
        <v>0</v>
      </c>
      <c r="L863">
        <v>2750</v>
      </c>
      <c r="M863">
        <v>2750</v>
      </c>
      <c r="N863">
        <v>0</v>
      </c>
    </row>
    <row r="864" spans="1:14" x14ac:dyDescent="0.25">
      <c r="A864">
        <v>204.650634</v>
      </c>
      <c r="B864" s="1">
        <f>DATE(2010,11,21) + TIME(15,36,54)</f>
        <v>40503.650625000002</v>
      </c>
      <c r="C864">
        <v>80</v>
      </c>
      <c r="D864">
        <v>77.161888122999997</v>
      </c>
      <c r="E864">
        <v>60</v>
      </c>
      <c r="F864">
        <v>59.958515167000002</v>
      </c>
      <c r="G864">
        <v>1327.7015381000001</v>
      </c>
      <c r="H864">
        <v>1326.0070800999999</v>
      </c>
      <c r="I864">
        <v>1340.2150879000001</v>
      </c>
      <c r="J864">
        <v>1337.4222411999999</v>
      </c>
      <c r="K864">
        <v>0</v>
      </c>
      <c r="L864">
        <v>2750</v>
      </c>
      <c r="M864">
        <v>2750</v>
      </c>
      <c r="N864">
        <v>0</v>
      </c>
    </row>
    <row r="865" spans="1:14" x14ac:dyDescent="0.25">
      <c r="A865">
        <v>205.098015</v>
      </c>
      <c r="B865" s="1">
        <f>DATE(2010,11,22) + TIME(2,21,8)</f>
        <v>40504.098009259258</v>
      </c>
      <c r="C865">
        <v>80</v>
      </c>
      <c r="D865">
        <v>77.114364624000004</v>
      </c>
      <c r="E865">
        <v>60</v>
      </c>
      <c r="F865">
        <v>59.958480835000003</v>
      </c>
      <c r="G865">
        <v>1327.6790771000001</v>
      </c>
      <c r="H865">
        <v>1325.9759521000001</v>
      </c>
      <c r="I865">
        <v>1340.2052002</v>
      </c>
      <c r="J865">
        <v>1337.416626</v>
      </c>
      <c r="K865">
        <v>0</v>
      </c>
      <c r="L865">
        <v>2750</v>
      </c>
      <c r="M865">
        <v>2750</v>
      </c>
      <c r="N865">
        <v>0</v>
      </c>
    </row>
    <row r="866" spans="1:14" x14ac:dyDescent="0.25">
      <c r="A866">
        <v>205.55624700000001</v>
      </c>
      <c r="B866" s="1">
        <f>DATE(2010,11,22) + TIME(13,20,59)</f>
        <v>40504.556238425925</v>
      </c>
      <c r="C866">
        <v>80</v>
      </c>
      <c r="D866">
        <v>77.066055297999995</v>
      </c>
      <c r="E866">
        <v>60</v>
      </c>
      <c r="F866">
        <v>59.958446502999998</v>
      </c>
      <c r="G866">
        <v>1327.65625</v>
      </c>
      <c r="H866">
        <v>1325.9447021000001</v>
      </c>
      <c r="I866">
        <v>1340.1953125</v>
      </c>
      <c r="J866">
        <v>1337.4111327999999</v>
      </c>
      <c r="K866">
        <v>0</v>
      </c>
      <c r="L866">
        <v>2750</v>
      </c>
      <c r="M866">
        <v>2750</v>
      </c>
      <c r="N866">
        <v>0</v>
      </c>
    </row>
    <row r="867" spans="1:14" x14ac:dyDescent="0.25">
      <c r="A867">
        <v>206.027289</v>
      </c>
      <c r="B867" s="1">
        <f>DATE(2010,11,23) + TIME(0,39,17)</f>
        <v>40505.027280092596</v>
      </c>
      <c r="C867">
        <v>80</v>
      </c>
      <c r="D867">
        <v>77.016784668</v>
      </c>
      <c r="E867">
        <v>60</v>
      </c>
      <c r="F867">
        <v>59.958412170000003</v>
      </c>
      <c r="G867">
        <v>1327.6331786999999</v>
      </c>
      <c r="H867">
        <v>1325.9128418</v>
      </c>
      <c r="I867">
        <v>1340.1854248</v>
      </c>
      <c r="J867">
        <v>1337.4055175999999</v>
      </c>
      <c r="K867">
        <v>0</v>
      </c>
      <c r="L867">
        <v>2750</v>
      </c>
      <c r="M867">
        <v>2750</v>
      </c>
      <c r="N867">
        <v>0</v>
      </c>
    </row>
    <row r="868" spans="1:14" x14ac:dyDescent="0.25">
      <c r="A868">
        <v>206.26936900000001</v>
      </c>
      <c r="B868" s="1">
        <f>DATE(2010,11,23) + TIME(6,27,53)</f>
        <v>40505.269363425927</v>
      </c>
      <c r="C868">
        <v>80</v>
      </c>
      <c r="D868">
        <v>76.984573363999999</v>
      </c>
      <c r="E868">
        <v>60</v>
      </c>
      <c r="F868">
        <v>59.958385468000003</v>
      </c>
      <c r="G868">
        <v>1327.6108397999999</v>
      </c>
      <c r="H868">
        <v>1325.8829346</v>
      </c>
      <c r="I868">
        <v>1340.175293</v>
      </c>
      <c r="J868">
        <v>1337.3996582</v>
      </c>
      <c r="K868">
        <v>0</v>
      </c>
      <c r="L868">
        <v>2750</v>
      </c>
      <c r="M868">
        <v>2750</v>
      </c>
      <c r="N868">
        <v>0</v>
      </c>
    </row>
    <row r="869" spans="1:14" x14ac:dyDescent="0.25">
      <c r="A869">
        <v>206.511448</v>
      </c>
      <c r="B869" s="1">
        <f>DATE(2010,11,23) + TIME(12,16,29)</f>
        <v>40505.511446759258</v>
      </c>
      <c r="C869">
        <v>80</v>
      </c>
      <c r="D869">
        <v>76.954208374000004</v>
      </c>
      <c r="E869">
        <v>60</v>
      </c>
      <c r="F869">
        <v>59.958358765</v>
      </c>
      <c r="G869">
        <v>1327.5972899999999</v>
      </c>
      <c r="H869">
        <v>1325.8636475000001</v>
      </c>
      <c r="I869">
        <v>1340.1702881000001</v>
      </c>
      <c r="J869">
        <v>1337.3968506000001</v>
      </c>
      <c r="K869">
        <v>0</v>
      </c>
      <c r="L869">
        <v>2750</v>
      </c>
      <c r="M869">
        <v>2750</v>
      </c>
      <c r="N869">
        <v>0</v>
      </c>
    </row>
    <row r="870" spans="1:14" x14ac:dyDescent="0.25">
      <c r="A870">
        <v>206.75352799999999</v>
      </c>
      <c r="B870" s="1">
        <f>DATE(2010,11,23) + TIME(18,5,4)</f>
        <v>40505.753518518519</v>
      </c>
      <c r="C870">
        <v>80</v>
      </c>
      <c r="D870">
        <v>76.925201415999993</v>
      </c>
      <c r="E870">
        <v>60</v>
      </c>
      <c r="F870">
        <v>59.958339690999999</v>
      </c>
      <c r="G870">
        <v>1327.5841064000001</v>
      </c>
      <c r="H870">
        <v>1325.8450928</v>
      </c>
      <c r="I870">
        <v>1340.1652832</v>
      </c>
      <c r="J870">
        <v>1337.394043</v>
      </c>
      <c r="K870">
        <v>0</v>
      </c>
      <c r="L870">
        <v>2750</v>
      </c>
      <c r="M870">
        <v>2750</v>
      </c>
      <c r="N870">
        <v>0</v>
      </c>
    </row>
    <row r="871" spans="1:14" x14ac:dyDescent="0.25">
      <c r="A871">
        <v>206.995608</v>
      </c>
      <c r="B871" s="1">
        <f>DATE(2010,11,23) + TIME(23,53,40)</f>
        <v>40505.99560185185</v>
      </c>
      <c r="C871">
        <v>80</v>
      </c>
      <c r="D871">
        <v>76.897178650000001</v>
      </c>
      <c r="E871">
        <v>60</v>
      </c>
      <c r="F871">
        <v>59.958320618000002</v>
      </c>
      <c r="G871">
        <v>1327.5712891000001</v>
      </c>
      <c r="H871">
        <v>1325.8272704999999</v>
      </c>
      <c r="I871">
        <v>1340.1602783000001</v>
      </c>
      <c r="J871">
        <v>1337.3912353999999</v>
      </c>
      <c r="K871">
        <v>0</v>
      </c>
      <c r="L871">
        <v>2750</v>
      </c>
      <c r="M871">
        <v>2750</v>
      </c>
      <c r="N871">
        <v>0</v>
      </c>
    </row>
    <row r="872" spans="1:14" x14ac:dyDescent="0.25">
      <c r="A872">
        <v>207.23768699999999</v>
      </c>
      <c r="B872" s="1">
        <f>DATE(2010,11,24) + TIME(5,42,16)</f>
        <v>40506.237685185188</v>
      </c>
      <c r="C872">
        <v>80</v>
      </c>
      <c r="D872">
        <v>76.869880675999994</v>
      </c>
      <c r="E872">
        <v>60</v>
      </c>
      <c r="F872">
        <v>59.958301544000001</v>
      </c>
      <c r="G872">
        <v>1327.5588379000001</v>
      </c>
      <c r="H872">
        <v>1325.8098144999999</v>
      </c>
      <c r="I872">
        <v>1340.1553954999999</v>
      </c>
      <c r="J872">
        <v>1337.3885498</v>
      </c>
      <c r="K872">
        <v>0</v>
      </c>
      <c r="L872">
        <v>2750</v>
      </c>
      <c r="M872">
        <v>2750</v>
      </c>
      <c r="N872">
        <v>0</v>
      </c>
    </row>
    <row r="873" spans="1:14" x14ac:dyDescent="0.25">
      <c r="A873">
        <v>207.47976700000001</v>
      </c>
      <c r="B873" s="1">
        <f>DATE(2010,11,24) + TIME(11,30,51)</f>
        <v>40506.479756944442</v>
      </c>
      <c r="C873">
        <v>80</v>
      </c>
      <c r="D873">
        <v>76.843116760000001</v>
      </c>
      <c r="E873">
        <v>60</v>
      </c>
      <c r="F873">
        <v>59.958282470999997</v>
      </c>
      <c r="G873">
        <v>1327.5465088000001</v>
      </c>
      <c r="H873">
        <v>1325.7926024999999</v>
      </c>
      <c r="I873">
        <v>1340.1506348</v>
      </c>
      <c r="J873">
        <v>1337.3858643000001</v>
      </c>
      <c r="K873">
        <v>0</v>
      </c>
      <c r="L873">
        <v>2750</v>
      </c>
      <c r="M873">
        <v>2750</v>
      </c>
      <c r="N873">
        <v>0</v>
      </c>
    </row>
    <row r="874" spans="1:14" x14ac:dyDescent="0.25">
      <c r="A874">
        <v>207.721847</v>
      </c>
      <c r="B874" s="1">
        <f>DATE(2010,11,24) + TIME(17,19,27)</f>
        <v>40506.72184027778</v>
      </c>
      <c r="C874">
        <v>80</v>
      </c>
      <c r="D874">
        <v>76.816741942999997</v>
      </c>
      <c r="E874">
        <v>60</v>
      </c>
      <c r="F874">
        <v>59.958267212000003</v>
      </c>
      <c r="G874">
        <v>1327.5343018000001</v>
      </c>
      <c r="H874">
        <v>1325.7757568</v>
      </c>
      <c r="I874">
        <v>1340.1457519999999</v>
      </c>
      <c r="J874">
        <v>1337.3831786999999</v>
      </c>
      <c r="K874">
        <v>0</v>
      </c>
      <c r="L874">
        <v>2750</v>
      </c>
      <c r="M874">
        <v>2750</v>
      </c>
      <c r="N874">
        <v>0</v>
      </c>
    </row>
    <row r="875" spans="1:14" x14ac:dyDescent="0.25">
      <c r="A875">
        <v>207.96392599999999</v>
      </c>
      <c r="B875" s="1">
        <f>DATE(2010,11,24) + TIME(23,8,3)</f>
        <v>40506.963923611111</v>
      </c>
      <c r="C875">
        <v>80</v>
      </c>
      <c r="D875">
        <v>76.790664672999995</v>
      </c>
      <c r="E875">
        <v>60</v>
      </c>
      <c r="F875">
        <v>59.958251953000001</v>
      </c>
      <c r="G875">
        <v>1327.5222168</v>
      </c>
      <c r="H875">
        <v>1325.7591553</v>
      </c>
      <c r="I875">
        <v>1340.1411132999999</v>
      </c>
      <c r="J875">
        <v>1337.3804932</v>
      </c>
      <c r="K875">
        <v>0</v>
      </c>
      <c r="L875">
        <v>2750</v>
      </c>
      <c r="M875">
        <v>2750</v>
      </c>
      <c r="N875">
        <v>0</v>
      </c>
    </row>
    <row r="876" spans="1:14" x14ac:dyDescent="0.25">
      <c r="A876">
        <v>208.44808599999999</v>
      </c>
      <c r="B876" s="1">
        <f>DATE(2010,11,25) + TIME(10,45,14)</f>
        <v>40507.448078703703</v>
      </c>
      <c r="C876">
        <v>80</v>
      </c>
      <c r="D876">
        <v>76.750389099000003</v>
      </c>
      <c r="E876">
        <v>60</v>
      </c>
      <c r="F876">
        <v>59.958236694</v>
      </c>
      <c r="G876">
        <v>1327.5093993999999</v>
      </c>
      <c r="H876">
        <v>1325.7407227000001</v>
      </c>
      <c r="I876">
        <v>1340.1364745999999</v>
      </c>
      <c r="J876">
        <v>1337.3780518000001</v>
      </c>
      <c r="K876">
        <v>0</v>
      </c>
      <c r="L876">
        <v>2750</v>
      </c>
      <c r="M876">
        <v>2750</v>
      </c>
      <c r="N876">
        <v>0</v>
      </c>
    </row>
    <row r="877" spans="1:14" x14ac:dyDescent="0.25">
      <c r="A877">
        <v>208.93225100000001</v>
      </c>
      <c r="B877" s="1">
        <f>DATE(2010,11,25) + TIME(22,22,26)</f>
        <v>40507.932245370372</v>
      </c>
      <c r="C877">
        <v>80</v>
      </c>
      <c r="D877">
        <v>76.705581664999997</v>
      </c>
      <c r="E877">
        <v>60</v>
      </c>
      <c r="F877">
        <v>59.958213806000003</v>
      </c>
      <c r="G877">
        <v>1327.4882812000001</v>
      </c>
      <c r="H877">
        <v>1325.7125243999999</v>
      </c>
      <c r="I877">
        <v>1340.1271973</v>
      </c>
      <c r="J877">
        <v>1337.3729248</v>
      </c>
      <c r="K877">
        <v>0</v>
      </c>
      <c r="L877">
        <v>2750</v>
      </c>
      <c r="M877">
        <v>2750</v>
      </c>
      <c r="N877">
        <v>0</v>
      </c>
    </row>
    <row r="878" spans="1:14" x14ac:dyDescent="0.25">
      <c r="A878">
        <v>209.42342199999999</v>
      </c>
      <c r="B878" s="1">
        <f>DATE(2010,11,26) + TIME(10,9,43)</f>
        <v>40508.423414351855</v>
      </c>
      <c r="C878">
        <v>80</v>
      </c>
      <c r="D878">
        <v>76.657936096</v>
      </c>
      <c r="E878">
        <v>60</v>
      </c>
      <c r="F878">
        <v>59.958187103</v>
      </c>
      <c r="G878">
        <v>1327.4663086</v>
      </c>
      <c r="H878">
        <v>1325.6827393000001</v>
      </c>
      <c r="I878">
        <v>1340.1180420000001</v>
      </c>
      <c r="J878">
        <v>1337.3679199000001</v>
      </c>
      <c r="K878">
        <v>0</v>
      </c>
      <c r="L878">
        <v>2750</v>
      </c>
      <c r="M878">
        <v>2750</v>
      </c>
      <c r="N878">
        <v>0</v>
      </c>
    </row>
    <row r="879" spans="1:14" x14ac:dyDescent="0.25">
      <c r="A879">
        <v>209.92353600000001</v>
      </c>
      <c r="B879" s="1">
        <f>DATE(2010,11,26) + TIME(22,9,53)</f>
        <v>40508.923530092594</v>
      </c>
      <c r="C879">
        <v>80</v>
      </c>
      <c r="D879">
        <v>76.608299255000006</v>
      </c>
      <c r="E879">
        <v>60</v>
      </c>
      <c r="F879">
        <v>59.958160399999997</v>
      </c>
      <c r="G879">
        <v>1327.4436035000001</v>
      </c>
      <c r="H879">
        <v>1325.6519774999999</v>
      </c>
      <c r="I879">
        <v>1340.1090088000001</v>
      </c>
      <c r="J879">
        <v>1337.3629149999999</v>
      </c>
      <c r="K879">
        <v>0</v>
      </c>
      <c r="L879">
        <v>2750</v>
      </c>
      <c r="M879">
        <v>2750</v>
      </c>
      <c r="N879">
        <v>0</v>
      </c>
    </row>
    <row r="880" spans="1:14" x14ac:dyDescent="0.25">
      <c r="A880">
        <v>210.43470099999999</v>
      </c>
      <c r="B880" s="1">
        <f>DATE(2010,11,27) + TIME(10,25,58)</f>
        <v>40509.434699074074</v>
      </c>
      <c r="C880">
        <v>80</v>
      </c>
      <c r="D880">
        <v>76.557067871000001</v>
      </c>
      <c r="E880">
        <v>60</v>
      </c>
      <c r="F880">
        <v>59.958133697999997</v>
      </c>
      <c r="G880">
        <v>1327.4205322</v>
      </c>
      <c r="H880">
        <v>1325.6203613</v>
      </c>
      <c r="I880">
        <v>1340.0999756000001</v>
      </c>
      <c r="J880">
        <v>1337.3579102000001</v>
      </c>
      <c r="K880">
        <v>0</v>
      </c>
      <c r="L880">
        <v>2750</v>
      </c>
      <c r="M880">
        <v>2750</v>
      </c>
      <c r="N880">
        <v>0</v>
      </c>
    </row>
    <row r="881" spans="1:14" x14ac:dyDescent="0.25">
      <c r="A881">
        <v>210.95918499999999</v>
      </c>
      <c r="B881" s="1">
        <f>DATE(2010,11,27) + TIME(23,1,13)</f>
        <v>40509.959178240744</v>
      </c>
      <c r="C881">
        <v>80</v>
      </c>
      <c r="D881">
        <v>76.504371642999999</v>
      </c>
      <c r="E881">
        <v>60</v>
      </c>
      <c r="F881">
        <v>59.958106995000001</v>
      </c>
      <c r="G881">
        <v>1327.3969727000001</v>
      </c>
      <c r="H881">
        <v>1325.5881348</v>
      </c>
      <c r="I881">
        <v>1340.0908202999999</v>
      </c>
      <c r="J881">
        <v>1337.3529053</v>
      </c>
      <c r="K881">
        <v>0</v>
      </c>
      <c r="L881">
        <v>2750</v>
      </c>
      <c r="M881">
        <v>2750</v>
      </c>
      <c r="N881">
        <v>0</v>
      </c>
    </row>
    <row r="882" spans="1:14" x14ac:dyDescent="0.25">
      <c r="A882">
        <v>211.49935099999999</v>
      </c>
      <c r="B882" s="1">
        <f>DATE(2010,11,28) + TIME(11,59,3)</f>
        <v>40510.499340277776</v>
      </c>
      <c r="C882">
        <v>80</v>
      </c>
      <c r="D882">
        <v>76.450149535999998</v>
      </c>
      <c r="E882">
        <v>60</v>
      </c>
      <c r="F882">
        <v>59.958076476999999</v>
      </c>
      <c r="G882">
        <v>1327.3728027</v>
      </c>
      <c r="H882">
        <v>1325.5551757999999</v>
      </c>
      <c r="I882">
        <v>1340.0816649999999</v>
      </c>
      <c r="J882">
        <v>1337.3480225000001</v>
      </c>
      <c r="K882">
        <v>0</v>
      </c>
      <c r="L882">
        <v>2750</v>
      </c>
      <c r="M882">
        <v>2750</v>
      </c>
      <c r="N882">
        <v>0</v>
      </c>
    </row>
    <row r="883" spans="1:14" x14ac:dyDescent="0.25">
      <c r="A883">
        <v>212.05162300000001</v>
      </c>
      <c r="B883" s="1">
        <f>DATE(2010,11,29) + TIME(1,14,20)</f>
        <v>40511.051620370374</v>
      </c>
      <c r="C883">
        <v>80</v>
      </c>
      <c r="D883">
        <v>76.394599915000001</v>
      </c>
      <c r="E883">
        <v>60</v>
      </c>
      <c r="F883">
        <v>59.958049774000003</v>
      </c>
      <c r="G883">
        <v>1327.3482666</v>
      </c>
      <c r="H883">
        <v>1325.5214844</v>
      </c>
      <c r="I883">
        <v>1340.0725098</v>
      </c>
      <c r="J883">
        <v>1337.3430175999999</v>
      </c>
      <c r="K883">
        <v>0</v>
      </c>
      <c r="L883">
        <v>2750</v>
      </c>
      <c r="M883">
        <v>2750</v>
      </c>
      <c r="N883">
        <v>0</v>
      </c>
    </row>
    <row r="884" spans="1:14" x14ac:dyDescent="0.25">
      <c r="A884">
        <v>212.32949500000001</v>
      </c>
      <c r="B884" s="1">
        <f>DATE(2010,11,29) + TIME(7,54,28)</f>
        <v>40511.32949074074</v>
      </c>
      <c r="C884">
        <v>80</v>
      </c>
      <c r="D884">
        <v>76.357406616000006</v>
      </c>
      <c r="E884">
        <v>60</v>
      </c>
      <c r="F884">
        <v>59.958023071</v>
      </c>
      <c r="G884">
        <v>1327.3244629000001</v>
      </c>
      <c r="H884">
        <v>1325.4898682</v>
      </c>
      <c r="I884">
        <v>1340.0629882999999</v>
      </c>
      <c r="J884">
        <v>1337.3377685999999</v>
      </c>
      <c r="K884">
        <v>0</v>
      </c>
      <c r="L884">
        <v>2750</v>
      </c>
      <c r="M884">
        <v>2750</v>
      </c>
      <c r="N884">
        <v>0</v>
      </c>
    </row>
    <row r="885" spans="1:14" x14ac:dyDescent="0.25">
      <c r="A885">
        <v>212.60736700000001</v>
      </c>
      <c r="B885" s="1">
        <f>DATE(2010,11,29) + TIME(14,34,36)</f>
        <v>40511.607361111113</v>
      </c>
      <c r="C885">
        <v>80</v>
      </c>
      <c r="D885">
        <v>76.322952271000005</v>
      </c>
      <c r="E885">
        <v>60</v>
      </c>
      <c r="F885">
        <v>59.958003998000002</v>
      </c>
      <c r="G885">
        <v>1327.3100586</v>
      </c>
      <c r="H885">
        <v>1325.4693603999999</v>
      </c>
      <c r="I885">
        <v>1340.0584716999999</v>
      </c>
      <c r="J885">
        <v>1337.3353271000001</v>
      </c>
      <c r="K885">
        <v>0</v>
      </c>
      <c r="L885">
        <v>2750</v>
      </c>
      <c r="M885">
        <v>2750</v>
      </c>
      <c r="N885">
        <v>0</v>
      </c>
    </row>
    <row r="886" spans="1:14" x14ac:dyDescent="0.25">
      <c r="A886">
        <v>212.88523900000001</v>
      </c>
      <c r="B886" s="1">
        <f>DATE(2010,11,29) + TIME(21,14,44)</f>
        <v>40511.885231481479</v>
      </c>
      <c r="C886">
        <v>80</v>
      </c>
      <c r="D886">
        <v>76.290374756000006</v>
      </c>
      <c r="E886">
        <v>60</v>
      </c>
      <c r="F886">
        <v>59.957984924000002</v>
      </c>
      <c r="G886">
        <v>1327.2962646000001</v>
      </c>
      <c r="H886">
        <v>1325.4500731999999</v>
      </c>
      <c r="I886">
        <v>1340.0538329999999</v>
      </c>
      <c r="J886">
        <v>1337.3327637</v>
      </c>
      <c r="K886">
        <v>0</v>
      </c>
      <c r="L886">
        <v>2750</v>
      </c>
      <c r="M886">
        <v>2750</v>
      </c>
      <c r="N886">
        <v>0</v>
      </c>
    </row>
    <row r="887" spans="1:14" x14ac:dyDescent="0.25">
      <c r="A887">
        <v>213.16311099999999</v>
      </c>
      <c r="B887" s="1">
        <f>DATE(2010,11,30) + TIME(3,54,52)</f>
        <v>40512.163101851853</v>
      </c>
      <c r="C887">
        <v>80</v>
      </c>
      <c r="D887">
        <v>76.259086608999993</v>
      </c>
      <c r="E887">
        <v>60</v>
      </c>
      <c r="F887">
        <v>59.957969665999997</v>
      </c>
      <c r="G887">
        <v>1327.2829589999999</v>
      </c>
      <c r="H887">
        <v>1325.4313964999999</v>
      </c>
      <c r="I887">
        <v>1340.0494385</v>
      </c>
      <c r="J887">
        <v>1337.3303223</v>
      </c>
      <c r="K887">
        <v>0</v>
      </c>
      <c r="L887">
        <v>2750</v>
      </c>
      <c r="M887">
        <v>2750</v>
      </c>
      <c r="N887">
        <v>0</v>
      </c>
    </row>
    <row r="888" spans="1:14" x14ac:dyDescent="0.25">
      <c r="A888">
        <v>213.44098299999999</v>
      </c>
      <c r="B888" s="1">
        <f>DATE(2010,11,30) + TIME(10,35,0)</f>
        <v>40512.440972222219</v>
      </c>
      <c r="C888">
        <v>80</v>
      </c>
      <c r="D888">
        <v>76.228660583000007</v>
      </c>
      <c r="E888">
        <v>60</v>
      </c>
      <c r="F888">
        <v>59.957954407000003</v>
      </c>
      <c r="G888">
        <v>1327.2698975000001</v>
      </c>
      <c r="H888">
        <v>1325.4133300999999</v>
      </c>
      <c r="I888">
        <v>1340.0449219</v>
      </c>
      <c r="J888">
        <v>1337.3280029</v>
      </c>
      <c r="K888">
        <v>0</v>
      </c>
      <c r="L888">
        <v>2750</v>
      </c>
      <c r="M888">
        <v>2750</v>
      </c>
      <c r="N888">
        <v>0</v>
      </c>
    </row>
    <row r="889" spans="1:14" x14ac:dyDescent="0.25">
      <c r="A889">
        <v>213.72049200000001</v>
      </c>
      <c r="B889" s="1">
        <f>DATE(2010,11,30) + TIME(17,17,30)</f>
        <v>40512.720486111109</v>
      </c>
      <c r="C889">
        <v>80</v>
      </c>
      <c r="D889">
        <v>76.198722838999998</v>
      </c>
      <c r="E889">
        <v>60</v>
      </c>
      <c r="F889">
        <v>59.957939148000001</v>
      </c>
      <c r="G889">
        <v>1327.2570800999999</v>
      </c>
      <c r="H889">
        <v>1325.3956298999999</v>
      </c>
      <c r="I889">
        <v>1340.0405272999999</v>
      </c>
      <c r="J889">
        <v>1337.3255615</v>
      </c>
      <c r="K889">
        <v>0</v>
      </c>
      <c r="L889">
        <v>2750</v>
      </c>
      <c r="M889">
        <v>2750</v>
      </c>
      <c r="N889">
        <v>0</v>
      </c>
    </row>
    <row r="890" spans="1:14" x14ac:dyDescent="0.25">
      <c r="A890">
        <v>214</v>
      </c>
      <c r="B890" s="1">
        <f>DATE(2010,12,1) + TIME(0,0,0)</f>
        <v>40513</v>
      </c>
      <c r="C890">
        <v>80</v>
      </c>
      <c r="D890">
        <v>76.169174193999993</v>
      </c>
      <c r="E890">
        <v>60</v>
      </c>
      <c r="F890">
        <v>59.957927703999999</v>
      </c>
      <c r="G890">
        <v>1327.2443848</v>
      </c>
      <c r="H890">
        <v>1325.3781738</v>
      </c>
      <c r="I890">
        <v>1340.0361327999999</v>
      </c>
      <c r="J890">
        <v>1337.3232422000001</v>
      </c>
      <c r="K890">
        <v>0</v>
      </c>
      <c r="L890">
        <v>2750</v>
      </c>
      <c r="M890">
        <v>2750</v>
      </c>
      <c r="N890">
        <v>0</v>
      </c>
    </row>
    <row r="891" spans="1:14" x14ac:dyDescent="0.25">
      <c r="A891">
        <v>214.55901700000001</v>
      </c>
      <c r="B891" s="1">
        <f>DATE(2010,12,1) + TIME(13,24,59)</f>
        <v>40513.559016203704</v>
      </c>
      <c r="C891">
        <v>80</v>
      </c>
      <c r="D891">
        <v>76.124961853000002</v>
      </c>
      <c r="E891">
        <v>60</v>
      </c>
      <c r="F891">
        <v>59.957920074</v>
      </c>
      <c r="G891">
        <v>1327.2308350000001</v>
      </c>
      <c r="H891">
        <v>1325.3588867000001</v>
      </c>
      <c r="I891">
        <v>1340.0318603999999</v>
      </c>
      <c r="J891">
        <v>1337.3209228999999</v>
      </c>
      <c r="K891">
        <v>0</v>
      </c>
      <c r="L891">
        <v>2750</v>
      </c>
      <c r="M891">
        <v>2750</v>
      </c>
      <c r="N891">
        <v>0</v>
      </c>
    </row>
    <row r="892" spans="1:14" x14ac:dyDescent="0.25">
      <c r="A892">
        <v>215.121724</v>
      </c>
      <c r="B892" s="1">
        <f>DATE(2010,12,2) + TIME(2,55,16)</f>
        <v>40514.121712962966</v>
      </c>
      <c r="C892">
        <v>80</v>
      </c>
      <c r="D892">
        <v>76.074119568</v>
      </c>
      <c r="E892">
        <v>60</v>
      </c>
      <c r="F892">
        <v>59.957901001000003</v>
      </c>
      <c r="G892">
        <v>1327.2087402</v>
      </c>
      <c r="H892">
        <v>1325.3297118999999</v>
      </c>
      <c r="I892">
        <v>1340.0231934000001</v>
      </c>
      <c r="J892">
        <v>1337.3162841999999</v>
      </c>
      <c r="K892">
        <v>0</v>
      </c>
      <c r="L892">
        <v>2750</v>
      </c>
      <c r="M892">
        <v>2750</v>
      </c>
      <c r="N892">
        <v>0</v>
      </c>
    </row>
    <row r="893" spans="1:14" x14ac:dyDescent="0.25">
      <c r="A893">
        <v>215.693624</v>
      </c>
      <c r="B893" s="1">
        <f>DATE(2010,12,2) + TIME(16,38,49)</f>
        <v>40514.693622685183</v>
      </c>
      <c r="C893">
        <v>80</v>
      </c>
      <c r="D893">
        <v>76.019401549999998</v>
      </c>
      <c r="E893">
        <v>60</v>
      </c>
      <c r="F893">
        <v>59.957881927000003</v>
      </c>
      <c r="G893">
        <v>1327.1855469</v>
      </c>
      <c r="H893">
        <v>1325.2983397999999</v>
      </c>
      <c r="I893">
        <v>1340.0146483999999</v>
      </c>
      <c r="J893">
        <v>1337.3117675999999</v>
      </c>
      <c r="K893">
        <v>0</v>
      </c>
      <c r="L893">
        <v>2750</v>
      </c>
      <c r="M893">
        <v>2750</v>
      </c>
      <c r="N893">
        <v>0</v>
      </c>
    </row>
    <row r="894" spans="1:14" x14ac:dyDescent="0.25">
      <c r="A894">
        <v>216.27714599999999</v>
      </c>
      <c r="B894" s="1">
        <f>DATE(2010,12,3) + TIME(6,39,5)</f>
        <v>40515.277141203704</v>
      </c>
      <c r="C894">
        <v>80</v>
      </c>
      <c r="D894">
        <v>75.962104796999995</v>
      </c>
      <c r="E894">
        <v>60</v>
      </c>
      <c r="F894">
        <v>59.957862853999998</v>
      </c>
      <c r="G894">
        <v>1327.161499</v>
      </c>
      <c r="H894">
        <v>1325.2658690999999</v>
      </c>
      <c r="I894">
        <v>1340.0061035000001</v>
      </c>
      <c r="J894">
        <v>1337.307251</v>
      </c>
      <c r="K894">
        <v>0</v>
      </c>
      <c r="L894">
        <v>2750</v>
      </c>
      <c r="M894">
        <v>2750</v>
      </c>
      <c r="N894">
        <v>0</v>
      </c>
    </row>
    <row r="895" spans="1:14" x14ac:dyDescent="0.25">
      <c r="A895">
        <v>216.872874</v>
      </c>
      <c r="B895" s="1">
        <f>DATE(2010,12,3) + TIME(20,56,56)</f>
        <v>40515.872870370367</v>
      </c>
      <c r="C895">
        <v>80</v>
      </c>
      <c r="D895">
        <v>75.902870178000001</v>
      </c>
      <c r="E895">
        <v>60</v>
      </c>
      <c r="F895">
        <v>59.957839966000002</v>
      </c>
      <c r="G895">
        <v>1327.1369629000001</v>
      </c>
      <c r="H895">
        <v>1325.2324219</v>
      </c>
      <c r="I895">
        <v>1339.9975586</v>
      </c>
      <c r="J895">
        <v>1337.3026123</v>
      </c>
      <c r="K895">
        <v>0</v>
      </c>
      <c r="L895">
        <v>2750</v>
      </c>
      <c r="M895">
        <v>2750</v>
      </c>
      <c r="N895">
        <v>0</v>
      </c>
    </row>
    <row r="896" spans="1:14" x14ac:dyDescent="0.25">
      <c r="A896">
        <v>217.48204000000001</v>
      </c>
      <c r="B896" s="1">
        <f>DATE(2010,12,4) + TIME(11,34,8)</f>
        <v>40516.482037037036</v>
      </c>
      <c r="C896">
        <v>80</v>
      </c>
      <c r="D896">
        <v>75.841949463000006</v>
      </c>
      <c r="E896">
        <v>60</v>
      </c>
      <c r="F896">
        <v>59.957817077999998</v>
      </c>
      <c r="G896">
        <v>1327.1119385</v>
      </c>
      <c r="H896">
        <v>1325.1983643000001</v>
      </c>
      <c r="I896">
        <v>1339.9888916</v>
      </c>
      <c r="J896">
        <v>1337.2980957</v>
      </c>
      <c r="K896">
        <v>0</v>
      </c>
      <c r="L896">
        <v>2750</v>
      </c>
      <c r="M896">
        <v>2750</v>
      </c>
      <c r="N896">
        <v>0</v>
      </c>
    </row>
    <row r="897" spans="1:14" x14ac:dyDescent="0.25">
      <c r="A897">
        <v>218.10763600000001</v>
      </c>
      <c r="B897" s="1">
        <f>DATE(2010,12,5) + TIME(2,34,59)</f>
        <v>40517.107627314814</v>
      </c>
      <c r="C897">
        <v>80</v>
      </c>
      <c r="D897">
        <v>75.779327393000003</v>
      </c>
      <c r="E897">
        <v>60</v>
      </c>
      <c r="F897">
        <v>59.957798003999997</v>
      </c>
      <c r="G897">
        <v>1327.0865478999999</v>
      </c>
      <c r="H897">
        <v>1325.1636963000001</v>
      </c>
      <c r="I897">
        <v>1339.9802245999999</v>
      </c>
      <c r="J897">
        <v>1337.2935791</v>
      </c>
      <c r="K897">
        <v>0</v>
      </c>
      <c r="L897">
        <v>2750</v>
      </c>
      <c r="M897">
        <v>2750</v>
      </c>
      <c r="N897">
        <v>0</v>
      </c>
    </row>
    <row r="898" spans="1:14" x14ac:dyDescent="0.25">
      <c r="A898">
        <v>218.42349200000001</v>
      </c>
      <c r="B898" s="1">
        <f>DATE(2010,12,5) + TIME(10,9,49)</f>
        <v>40517.423483796294</v>
      </c>
      <c r="C898">
        <v>80</v>
      </c>
      <c r="D898">
        <v>75.735977172999995</v>
      </c>
      <c r="E898">
        <v>60</v>
      </c>
      <c r="F898">
        <v>59.957775116000001</v>
      </c>
      <c r="G898">
        <v>1327.0617675999999</v>
      </c>
      <c r="H898">
        <v>1325.1308594</v>
      </c>
      <c r="I898">
        <v>1339.9714355000001</v>
      </c>
      <c r="J898">
        <v>1337.2888184000001</v>
      </c>
      <c r="K898">
        <v>0</v>
      </c>
      <c r="L898">
        <v>2750</v>
      </c>
      <c r="M898">
        <v>2750</v>
      </c>
      <c r="N898">
        <v>0</v>
      </c>
    </row>
    <row r="899" spans="1:14" x14ac:dyDescent="0.25">
      <c r="A899">
        <v>218.73934800000001</v>
      </c>
      <c r="B899" s="1">
        <f>DATE(2010,12,5) + TIME(17,44,39)</f>
        <v>40517.739340277774</v>
      </c>
      <c r="C899">
        <v>80</v>
      </c>
      <c r="D899">
        <v>75.696472168</v>
      </c>
      <c r="E899">
        <v>60</v>
      </c>
      <c r="F899">
        <v>59.957756042</v>
      </c>
      <c r="G899">
        <v>1327.0466309000001</v>
      </c>
      <c r="H899">
        <v>1325.1094971</v>
      </c>
      <c r="I899">
        <v>1339.9671631000001</v>
      </c>
      <c r="J899">
        <v>1337.286499</v>
      </c>
      <c r="K899">
        <v>0</v>
      </c>
      <c r="L899">
        <v>2750</v>
      </c>
      <c r="M899">
        <v>2750</v>
      </c>
      <c r="N899">
        <v>0</v>
      </c>
    </row>
    <row r="900" spans="1:14" x14ac:dyDescent="0.25">
      <c r="A900">
        <v>219.055204</v>
      </c>
      <c r="B900" s="1">
        <f>DATE(2010,12,6) + TIME(1,19,29)</f>
        <v>40518.055196759262</v>
      </c>
      <c r="C900">
        <v>80</v>
      </c>
      <c r="D900">
        <v>75.659446716000005</v>
      </c>
      <c r="E900">
        <v>60</v>
      </c>
      <c r="F900">
        <v>59.957740784000002</v>
      </c>
      <c r="G900">
        <v>1327.0323486</v>
      </c>
      <c r="H900">
        <v>1325.0893555</v>
      </c>
      <c r="I900">
        <v>1339.9627685999999</v>
      </c>
      <c r="J900">
        <v>1337.2841797000001</v>
      </c>
      <c r="K900">
        <v>0</v>
      </c>
      <c r="L900">
        <v>2750</v>
      </c>
      <c r="M900">
        <v>2750</v>
      </c>
      <c r="N900">
        <v>0</v>
      </c>
    </row>
    <row r="901" spans="1:14" x14ac:dyDescent="0.25">
      <c r="A901">
        <v>219.37106</v>
      </c>
      <c r="B901" s="1">
        <f>DATE(2010,12,6) + TIME(8,54,19)</f>
        <v>40518.371053240742</v>
      </c>
      <c r="C901">
        <v>80</v>
      </c>
      <c r="D901">
        <v>75.624008179</v>
      </c>
      <c r="E901">
        <v>60</v>
      </c>
      <c r="F901">
        <v>59.95772934</v>
      </c>
      <c r="G901">
        <v>1327.0184326000001</v>
      </c>
      <c r="H901">
        <v>1325.0700684000001</v>
      </c>
      <c r="I901">
        <v>1339.9586182</v>
      </c>
      <c r="J901">
        <v>1337.2819824000001</v>
      </c>
      <c r="K901">
        <v>0</v>
      </c>
      <c r="L901">
        <v>2750</v>
      </c>
      <c r="M901">
        <v>2750</v>
      </c>
      <c r="N901">
        <v>0</v>
      </c>
    </row>
    <row r="902" spans="1:14" x14ac:dyDescent="0.25">
      <c r="A902">
        <v>219.686916</v>
      </c>
      <c r="B902" s="1">
        <f>DATE(2010,12,6) + TIME(16,29,9)</f>
        <v>40518.686909722222</v>
      </c>
      <c r="C902">
        <v>80</v>
      </c>
      <c r="D902">
        <v>75.589569092000005</v>
      </c>
      <c r="E902">
        <v>60</v>
      </c>
      <c r="F902">
        <v>59.957717895999998</v>
      </c>
      <c r="G902">
        <v>1327.0048827999999</v>
      </c>
      <c r="H902">
        <v>1325.0513916</v>
      </c>
      <c r="I902">
        <v>1339.9543457</v>
      </c>
      <c r="J902">
        <v>1337.2797852000001</v>
      </c>
      <c r="K902">
        <v>0</v>
      </c>
      <c r="L902">
        <v>2750</v>
      </c>
      <c r="M902">
        <v>2750</v>
      </c>
      <c r="N902">
        <v>0</v>
      </c>
    </row>
    <row r="903" spans="1:14" x14ac:dyDescent="0.25">
      <c r="A903">
        <v>220.00277199999999</v>
      </c>
      <c r="B903" s="1">
        <f>DATE(2010,12,7) + TIME(0,3,59)</f>
        <v>40519.002766203703</v>
      </c>
      <c r="C903">
        <v>80</v>
      </c>
      <c r="D903">
        <v>75.555778502999999</v>
      </c>
      <c r="E903">
        <v>60</v>
      </c>
      <c r="F903">
        <v>59.957706451</v>
      </c>
      <c r="G903">
        <v>1326.9915771000001</v>
      </c>
      <c r="H903">
        <v>1325.0330810999999</v>
      </c>
      <c r="I903">
        <v>1339.9501952999999</v>
      </c>
      <c r="J903">
        <v>1337.2775879000001</v>
      </c>
      <c r="K903">
        <v>0</v>
      </c>
      <c r="L903">
        <v>2750</v>
      </c>
      <c r="M903">
        <v>2750</v>
      </c>
      <c r="N903">
        <v>0</v>
      </c>
    </row>
    <row r="904" spans="1:14" x14ac:dyDescent="0.25">
      <c r="A904">
        <v>220.31862799999999</v>
      </c>
      <c r="B904" s="1">
        <f>DATE(2010,12,7) + TIME(7,38,49)</f>
        <v>40519.318622685183</v>
      </c>
      <c r="C904">
        <v>80</v>
      </c>
      <c r="D904">
        <v>75.522384643999999</v>
      </c>
      <c r="E904">
        <v>60</v>
      </c>
      <c r="F904">
        <v>59.957695006999998</v>
      </c>
      <c r="G904">
        <v>1326.9785156</v>
      </c>
      <c r="H904">
        <v>1325.0151367000001</v>
      </c>
      <c r="I904">
        <v>1339.9460449000001</v>
      </c>
      <c r="J904">
        <v>1337.2753906</v>
      </c>
      <c r="K904">
        <v>0</v>
      </c>
      <c r="L904">
        <v>2750</v>
      </c>
      <c r="M904">
        <v>2750</v>
      </c>
      <c r="N904">
        <v>0</v>
      </c>
    </row>
    <row r="905" spans="1:14" x14ac:dyDescent="0.25">
      <c r="A905">
        <v>220.63448399999999</v>
      </c>
      <c r="B905" s="1">
        <f>DATE(2010,12,7) + TIME(15,13,39)</f>
        <v>40519.634479166663</v>
      </c>
      <c r="C905">
        <v>80</v>
      </c>
      <c r="D905">
        <v>75.489234924000002</v>
      </c>
      <c r="E905">
        <v>60</v>
      </c>
      <c r="F905">
        <v>59.957687378000003</v>
      </c>
      <c r="G905">
        <v>1326.9655762</v>
      </c>
      <c r="H905">
        <v>1324.9974365</v>
      </c>
      <c r="I905">
        <v>1339.9418945</v>
      </c>
      <c r="J905">
        <v>1337.2731934000001</v>
      </c>
      <c r="K905">
        <v>0</v>
      </c>
      <c r="L905">
        <v>2750</v>
      </c>
      <c r="M905">
        <v>2750</v>
      </c>
      <c r="N905">
        <v>0</v>
      </c>
    </row>
    <row r="906" spans="1:14" x14ac:dyDescent="0.25">
      <c r="A906">
        <v>221.26619600000001</v>
      </c>
      <c r="B906" s="1">
        <f>DATE(2010,12,8) + TIME(6,23,19)</f>
        <v>40520.266192129631</v>
      </c>
      <c r="C906">
        <v>80</v>
      </c>
      <c r="D906">
        <v>75.440773010000001</v>
      </c>
      <c r="E906">
        <v>60</v>
      </c>
      <c r="F906">
        <v>59.957687378000003</v>
      </c>
      <c r="G906">
        <v>1326.9519043</v>
      </c>
      <c r="H906">
        <v>1324.9780272999999</v>
      </c>
      <c r="I906">
        <v>1339.9379882999999</v>
      </c>
      <c r="J906">
        <v>1337.2711182</v>
      </c>
      <c r="K906">
        <v>0</v>
      </c>
      <c r="L906">
        <v>2750</v>
      </c>
      <c r="M906">
        <v>2750</v>
      </c>
      <c r="N906">
        <v>0</v>
      </c>
    </row>
    <row r="907" spans="1:14" x14ac:dyDescent="0.25">
      <c r="A907">
        <v>221.89899600000001</v>
      </c>
      <c r="B907" s="1">
        <f>DATE(2010,12,8) + TIME(21,34,33)</f>
        <v>40520.898993055554</v>
      </c>
      <c r="C907">
        <v>80</v>
      </c>
      <c r="D907">
        <v>75.383201599000003</v>
      </c>
      <c r="E907">
        <v>60</v>
      </c>
      <c r="F907">
        <v>59.957675934000001</v>
      </c>
      <c r="G907">
        <v>1326.9293213000001</v>
      </c>
      <c r="H907">
        <v>1324.9484863</v>
      </c>
      <c r="I907">
        <v>1339.9298096</v>
      </c>
      <c r="J907">
        <v>1337.2669678</v>
      </c>
      <c r="K907">
        <v>0</v>
      </c>
      <c r="L907">
        <v>2750</v>
      </c>
      <c r="M907">
        <v>2750</v>
      </c>
      <c r="N907">
        <v>0</v>
      </c>
    </row>
    <row r="908" spans="1:14" x14ac:dyDescent="0.25">
      <c r="A908">
        <v>222.542393</v>
      </c>
      <c r="B908" s="1">
        <f>DATE(2010,12,9) + TIME(13,1,2)</f>
        <v>40521.542384259257</v>
      </c>
      <c r="C908">
        <v>80</v>
      </c>
      <c r="D908">
        <v>75.320800781000003</v>
      </c>
      <c r="E908">
        <v>60</v>
      </c>
      <c r="F908">
        <v>59.957660675</v>
      </c>
      <c r="G908">
        <v>1326.9056396000001</v>
      </c>
      <c r="H908">
        <v>1324.916626</v>
      </c>
      <c r="I908">
        <v>1339.921875</v>
      </c>
      <c r="J908">
        <v>1337.2626952999999</v>
      </c>
      <c r="K908">
        <v>0</v>
      </c>
      <c r="L908">
        <v>2750</v>
      </c>
      <c r="M908">
        <v>2750</v>
      </c>
      <c r="N908">
        <v>0</v>
      </c>
    </row>
    <row r="909" spans="1:14" x14ac:dyDescent="0.25">
      <c r="A909">
        <v>223.19899000000001</v>
      </c>
      <c r="B909" s="1">
        <f>DATE(2010,12,10) + TIME(4,46,32)</f>
        <v>40522.198981481481</v>
      </c>
      <c r="C909">
        <v>80</v>
      </c>
      <c r="D909">
        <v>75.255325317</v>
      </c>
      <c r="E909">
        <v>60</v>
      </c>
      <c r="F909">
        <v>59.957649230999998</v>
      </c>
      <c r="G909">
        <v>1326.8809814000001</v>
      </c>
      <c r="H909">
        <v>1324.8834228999999</v>
      </c>
      <c r="I909">
        <v>1339.9139404</v>
      </c>
      <c r="J909">
        <v>1337.2585449000001</v>
      </c>
      <c r="K909">
        <v>0</v>
      </c>
      <c r="L909">
        <v>2750</v>
      </c>
      <c r="M909">
        <v>2750</v>
      </c>
      <c r="N909">
        <v>0</v>
      </c>
    </row>
    <row r="910" spans="1:14" x14ac:dyDescent="0.25">
      <c r="A910">
        <v>223.871734</v>
      </c>
      <c r="B910" s="1">
        <f>DATE(2010,12,10) + TIME(20,55,17)</f>
        <v>40522.871724537035</v>
      </c>
      <c r="C910">
        <v>80</v>
      </c>
      <c r="D910">
        <v>75.187484741000006</v>
      </c>
      <c r="E910">
        <v>60</v>
      </c>
      <c r="F910">
        <v>59.957633971999996</v>
      </c>
      <c r="G910">
        <v>1326.8558350000001</v>
      </c>
      <c r="H910">
        <v>1324.8492432</v>
      </c>
      <c r="I910">
        <v>1339.9058838000001</v>
      </c>
      <c r="J910">
        <v>1337.2543945</v>
      </c>
      <c r="K910">
        <v>0</v>
      </c>
      <c r="L910">
        <v>2750</v>
      </c>
      <c r="M910">
        <v>2750</v>
      </c>
      <c r="N910">
        <v>0</v>
      </c>
    </row>
    <row r="911" spans="1:14" x14ac:dyDescent="0.25">
      <c r="A911">
        <v>224.56400099999999</v>
      </c>
      <c r="B911" s="1">
        <f>DATE(2010,12,11) + TIME(13,32,9)</f>
        <v>40523.563993055555</v>
      </c>
      <c r="C911">
        <v>80</v>
      </c>
      <c r="D911">
        <v>75.117416382000002</v>
      </c>
      <c r="E911">
        <v>60</v>
      </c>
      <c r="F911">
        <v>59.957618713000002</v>
      </c>
      <c r="G911">
        <v>1326.8300781</v>
      </c>
      <c r="H911">
        <v>1324.8144531</v>
      </c>
      <c r="I911">
        <v>1339.8978271000001</v>
      </c>
      <c r="J911">
        <v>1337.2502440999999</v>
      </c>
      <c r="K911">
        <v>0</v>
      </c>
      <c r="L911">
        <v>2750</v>
      </c>
      <c r="M911">
        <v>2750</v>
      </c>
      <c r="N911">
        <v>0</v>
      </c>
    </row>
    <row r="912" spans="1:14" x14ac:dyDescent="0.25">
      <c r="A912">
        <v>224.91657799999999</v>
      </c>
      <c r="B912" s="1">
        <f>DATE(2010,12,11) + TIME(21,59,52)</f>
        <v>40523.916574074072</v>
      </c>
      <c r="C912">
        <v>80</v>
      </c>
      <c r="D912">
        <v>75.067291260000005</v>
      </c>
      <c r="E912">
        <v>60</v>
      </c>
      <c r="F912">
        <v>59.957599639999998</v>
      </c>
      <c r="G912">
        <v>1326.8049315999999</v>
      </c>
      <c r="H912">
        <v>1324.7811279</v>
      </c>
      <c r="I912">
        <v>1339.8895264</v>
      </c>
      <c r="J912">
        <v>1337.2458495999999</v>
      </c>
      <c r="K912">
        <v>0</v>
      </c>
      <c r="L912">
        <v>2750</v>
      </c>
      <c r="M912">
        <v>2750</v>
      </c>
      <c r="N912">
        <v>0</v>
      </c>
    </row>
    <row r="913" spans="1:14" x14ac:dyDescent="0.25">
      <c r="A913">
        <v>225.26915600000001</v>
      </c>
      <c r="B913" s="1">
        <f>DATE(2010,12,12) + TIME(6,27,35)</f>
        <v>40524.269155092596</v>
      </c>
      <c r="C913">
        <v>80</v>
      </c>
      <c r="D913">
        <v>75.022308350000003</v>
      </c>
      <c r="E913">
        <v>60</v>
      </c>
      <c r="F913">
        <v>59.957584380999997</v>
      </c>
      <c r="G913">
        <v>1326.7894286999999</v>
      </c>
      <c r="H913">
        <v>1324.7591553</v>
      </c>
      <c r="I913">
        <v>1339.885376</v>
      </c>
      <c r="J913">
        <v>1337.2436522999999</v>
      </c>
      <c r="K913">
        <v>0</v>
      </c>
      <c r="L913">
        <v>2750</v>
      </c>
      <c r="M913">
        <v>2750</v>
      </c>
      <c r="N913">
        <v>0</v>
      </c>
    </row>
    <row r="914" spans="1:14" x14ac:dyDescent="0.25">
      <c r="A914">
        <v>225.62173300000001</v>
      </c>
      <c r="B914" s="1">
        <f>DATE(2010,12,12) + TIME(14,55,17)</f>
        <v>40524.621724537035</v>
      </c>
      <c r="C914">
        <v>80</v>
      </c>
      <c r="D914">
        <v>74.980430603000002</v>
      </c>
      <c r="E914">
        <v>60</v>
      </c>
      <c r="F914">
        <v>59.957572937000002</v>
      </c>
      <c r="G914">
        <v>1326.7747803</v>
      </c>
      <c r="H914">
        <v>1324.7386475000001</v>
      </c>
      <c r="I914">
        <v>1339.8813477000001</v>
      </c>
      <c r="J914">
        <v>1337.2415771000001</v>
      </c>
      <c r="K914">
        <v>0</v>
      </c>
      <c r="L914">
        <v>2750</v>
      </c>
      <c r="M914">
        <v>2750</v>
      </c>
      <c r="N914">
        <v>0</v>
      </c>
    </row>
    <row r="915" spans="1:14" x14ac:dyDescent="0.25">
      <c r="A915">
        <v>225.97431</v>
      </c>
      <c r="B915" s="1">
        <f>DATE(2010,12,12) + TIME(23,23,0)</f>
        <v>40524.974305555559</v>
      </c>
      <c r="C915">
        <v>80</v>
      </c>
      <c r="D915">
        <v>74.940406799000002</v>
      </c>
      <c r="E915">
        <v>60</v>
      </c>
      <c r="F915">
        <v>59.957561493</v>
      </c>
      <c r="G915">
        <v>1326.7606201000001</v>
      </c>
      <c r="H915">
        <v>1324.7191161999999</v>
      </c>
      <c r="I915">
        <v>1339.8773193</v>
      </c>
      <c r="J915">
        <v>1337.2395019999999</v>
      </c>
      <c r="K915">
        <v>0</v>
      </c>
      <c r="L915">
        <v>2750</v>
      </c>
      <c r="M915">
        <v>2750</v>
      </c>
      <c r="N915">
        <v>0</v>
      </c>
    </row>
    <row r="916" spans="1:14" x14ac:dyDescent="0.25">
      <c r="A916">
        <v>226.326887</v>
      </c>
      <c r="B916" s="1">
        <f>DATE(2010,12,13) + TIME(7,50,43)</f>
        <v>40525.326886574076</v>
      </c>
      <c r="C916">
        <v>80</v>
      </c>
      <c r="D916">
        <v>74.901496886999993</v>
      </c>
      <c r="E916">
        <v>60</v>
      </c>
      <c r="F916">
        <v>59.957553863999998</v>
      </c>
      <c r="G916">
        <v>1326.7468262</v>
      </c>
      <c r="H916">
        <v>1324.7000731999999</v>
      </c>
      <c r="I916">
        <v>1339.8732910000001</v>
      </c>
      <c r="J916">
        <v>1337.2374268000001</v>
      </c>
      <c r="K916">
        <v>0</v>
      </c>
      <c r="L916">
        <v>2750</v>
      </c>
      <c r="M916">
        <v>2750</v>
      </c>
      <c r="N916">
        <v>0</v>
      </c>
    </row>
    <row r="917" spans="1:14" x14ac:dyDescent="0.25">
      <c r="A917">
        <v>226.67946499999999</v>
      </c>
      <c r="B917" s="1">
        <f>DATE(2010,12,13) + TIME(16,18,25)</f>
        <v>40525.679456018515</v>
      </c>
      <c r="C917">
        <v>80</v>
      </c>
      <c r="D917">
        <v>74.863243103000002</v>
      </c>
      <c r="E917">
        <v>60</v>
      </c>
      <c r="F917">
        <v>59.957546233999999</v>
      </c>
      <c r="G917">
        <v>1326.7333983999999</v>
      </c>
      <c r="H917">
        <v>1324.6815185999999</v>
      </c>
      <c r="I917">
        <v>1339.8693848</v>
      </c>
      <c r="J917">
        <v>1337.2353516000001</v>
      </c>
      <c r="K917">
        <v>0</v>
      </c>
      <c r="L917">
        <v>2750</v>
      </c>
      <c r="M917">
        <v>2750</v>
      </c>
      <c r="N917">
        <v>0</v>
      </c>
    </row>
    <row r="918" spans="1:14" x14ac:dyDescent="0.25">
      <c r="A918">
        <v>227.03204199999999</v>
      </c>
      <c r="B918" s="1">
        <f>DATE(2010,12,14) + TIME(0,46,8)</f>
        <v>40526.032037037039</v>
      </c>
      <c r="C918">
        <v>80</v>
      </c>
      <c r="D918">
        <v>74.825378418</v>
      </c>
      <c r="E918">
        <v>60</v>
      </c>
      <c r="F918">
        <v>59.957538605000003</v>
      </c>
      <c r="G918">
        <v>1326.7199707</v>
      </c>
      <c r="H918">
        <v>1324.6633300999999</v>
      </c>
      <c r="I918">
        <v>1339.8653564000001</v>
      </c>
      <c r="J918">
        <v>1337.2332764</v>
      </c>
      <c r="K918">
        <v>0</v>
      </c>
      <c r="L918">
        <v>2750</v>
      </c>
      <c r="M918">
        <v>2750</v>
      </c>
      <c r="N918">
        <v>0</v>
      </c>
    </row>
    <row r="919" spans="1:14" x14ac:dyDescent="0.25">
      <c r="A919">
        <v>227.38461899999999</v>
      </c>
      <c r="B919" s="1">
        <f>DATE(2010,12,14) + TIME(9,13,51)</f>
        <v>40526.384618055556</v>
      </c>
      <c r="C919">
        <v>80</v>
      </c>
      <c r="D919">
        <v>74.787712096999996</v>
      </c>
      <c r="E919">
        <v>60</v>
      </c>
      <c r="F919">
        <v>59.957534789999997</v>
      </c>
      <c r="G919">
        <v>1326.7067870999999</v>
      </c>
      <c r="H919">
        <v>1324.6453856999999</v>
      </c>
      <c r="I919">
        <v>1339.8614502</v>
      </c>
      <c r="J919">
        <v>1337.2312012</v>
      </c>
      <c r="K919">
        <v>0</v>
      </c>
      <c r="L919">
        <v>2750</v>
      </c>
      <c r="M919">
        <v>2750</v>
      </c>
      <c r="N919">
        <v>0</v>
      </c>
    </row>
    <row r="920" spans="1:14" x14ac:dyDescent="0.25">
      <c r="A920">
        <v>227.73719600000001</v>
      </c>
      <c r="B920" s="1">
        <f>DATE(2010,12,14) + TIME(17,41,33)</f>
        <v>40526.737187500003</v>
      </c>
      <c r="C920">
        <v>80</v>
      </c>
      <c r="D920">
        <v>74.750160217000001</v>
      </c>
      <c r="E920">
        <v>60</v>
      </c>
      <c r="F920">
        <v>59.957527161000002</v>
      </c>
      <c r="G920">
        <v>1326.6937256000001</v>
      </c>
      <c r="H920">
        <v>1324.6275635</v>
      </c>
      <c r="I920">
        <v>1339.8575439000001</v>
      </c>
      <c r="J920">
        <v>1337.229126</v>
      </c>
      <c r="K920">
        <v>0</v>
      </c>
      <c r="L920">
        <v>2750</v>
      </c>
      <c r="M920">
        <v>2750</v>
      </c>
      <c r="N920">
        <v>0</v>
      </c>
    </row>
    <row r="921" spans="1:14" x14ac:dyDescent="0.25">
      <c r="A921">
        <v>228.442351</v>
      </c>
      <c r="B921" s="1">
        <f>DATE(2010,12,15) + TIME(10,36,59)</f>
        <v>40527.442349537036</v>
      </c>
      <c r="C921">
        <v>80</v>
      </c>
      <c r="D921">
        <v>74.696464539000004</v>
      </c>
      <c r="E921">
        <v>60</v>
      </c>
      <c r="F921">
        <v>59.957534789999997</v>
      </c>
      <c r="G921">
        <v>1326.6800536999999</v>
      </c>
      <c r="H921">
        <v>1324.6081543</v>
      </c>
      <c r="I921">
        <v>1339.8538818</v>
      </c>
      <c r="J921">
        <v>1337.2272949000001</v>
      </c>
      <c r="K921">
        <v>0</v>
      </c>
      <c r="L921">
        <v>2750</v>
      </c>
      <c r="M921">
        <v>2750</v>
      </c>
      <c r="N921">
        <v>0</v>
      </c>
    </row>
    <row r="922" spans="1:14" x14ac:dyDescent="0.25">
      <c r="A922">
        <v>229.15127899999999</v>
      </c>
      <c r="B922" s="1">
        <f>DATE(2010,12,16) + TIME(3,37,50)</f>
        <v>40528.151273148149</v>
      </c>
      <c r="C922">
        <v>80</v>
      </c>
      <c r="D922">
        <v>74.630546570000007</v>
      </c>
      <c r="E922">
        <v>60</v>
      </c>
      <c r="F922">
        <v>59.957530974999997</v>
      </c>
      <c r="G922">
        <v>1326.6572266000001</v>
      </c>
      <c r="H922">
        <v>1324.5784911999999</v>
      </c>
      <c r="I922">
        <v>1339.8461914</v>
      </c>
      <c r="J922">
        <v>1337.2233887</v>
      </c>
      <c r="K922">
        <v>0</v>
      </c>
      <c r="L922">
        <v>2750</v>
      </c>
      <c r="M922">
        <v>2750</v>
      </c>
      <c r="N922">
        <v>0</v>
      </c>
    </row>
    <row r="923" spans="1:14" x14ac:dyDescent="0.25">
      <c r="A923">
        <v>229.87420399999999</v>
      </c>
      <c r="B923" s="1">
        <f>DATE(2010,12,16) + TIME(20,58,51)</f>
        <v>40528.874201388891</v>
      </c>
      <c r="C923">
        <v>80</v>
      </c>
      <c r="D923">
        <v>74.558540343999994</v>
      </c>
      <c r="E923">
        <v>60</v>
      </c>
      <c r="F923">
        <v>59.957523346000002</v>
      </c>
      <c r="G923">
        <v>1326.6330565999999</v>
      </c>
      <c r="H923">
        <v>1324.5461425999999</v>
      </c>
      <c r="I923">
        <v>1339.8386230000001</v>
      </c>
      <c r="J923">
        <v>1337.2194824000001</v>
      </c>
      <c r="K923">
        <v>0</v>
      </c>
      <c r="L923">
        <v>2750</v>
      </c>
      <c r="M923">
        <v>2750</v>
      </c>
      <c r="N923">
        <v>0</v>
      </c>
    </row>
    <row r="924" spans="1:14" x14ac:dyDescent="0.25">
      <c r="A924">
        <v>230.61428100000001</v>
      </c>
      <c r="B924" s="1">
        <f>DATE(2010,12,17) + TIME(14,44,33)</f>
        <v>40529.614270833335</v>
      </c>
      <c r="C924">
        <v>80</v>
      </c>
      <c r="D924">
        <v>74.482772827000005</v>
      </c>
      <c r="E924">
        <v>60</v>
      </c>
      <c r="F924">
        <v>59.957515717</v>
      </c>
      <c r="G924">
        <v>1326.6079102000001</v>
      </c>
      <c r="H924">
        <v>1324.512207</v>
      </c>
      <c r="I924">
        <v>1339.8310547000001</v>
      </c>
      <c r="J924">
        <v>1337.2155762</v>
      </c>
      <c r="K924">
        <v>0</v>
      </c>
      <c r="L924">
        <v>2750</v>
      </c>
      <c r="M924">
        <v>2750</v>
      </c>
      <c r="N924">
        <v>0</v>
      </c>
    </row>
    <row r="925" spans="1:14" x14ac:dyDescent="0.25">
      <c r="A925">
        <v>231.37506999999999</v>
      </c>
      <c r="B925" s="1">
        <f>DATE(2010,12,18) + TIME(9,0,6)</f>
        <v>40530.375069444446</v>
      </c>
      <c r="C925">
        <v>80</v>
      </c>
      <c r="D925">
        <v>74.404052734000004</v>
      </c>
      <c r="E925">
        <v>60</v>
      </c>
      <c r="F925">
        <v>59.957508087000001</v>
      </c>
      <c r="G925">
        <v>1326.5820312000001</v>
      </c>
      <c r="H925">
        <v>1324.4774170000001</v>
      </c>
      <c r="I925">
        <v>1339.8233643000001</v>
      </c>
      <c r="J925">
        <v>1337.2115478999999</v>
      </c>
      <c r="K925">
        <v>0</v>
      </c>
      <c r="L925">
        <v>2750</v>
      </c>
      <c r="M925">
        <v>2750</v>
      </c>
      <c r="N925">
        <v>0</v>
      </c>
    </row>
    <row r="926" spans="1:14" x14ac:dyDescent="0.25">
      <c r="A926">
        <v>231.76485700000001</v>
      </c>
      <c r="B926" s="1">
        <f>DATE(2010,12,18) + TIME(18,21,23)</f>
        <v>40530.764849537038</v>
      </c>
      <c r="C926">
        <v>80</v>
      </c>
      <c r="D926">
        <v>74.346130371000001</v>
      </c>
      <c r="E926">
        <v>60</v>
      </c>
      <c r="F926">
        <v>59.957489013999997</v>
      </c>
      <c r="G926">
        <v>1326.5566406</v>
      </c>
      <c r="H926">
        <v>1324.4439697</v>
      </c>
      <c r="I926">
        <v>1339.8155518000001</v>
      </c>
      <c r="J926">
        <v>1337.2073975000001</v>
      </c>
      <c r="K926">
        <v>0</v>
      </c>
      <c r="L926">
        <v>2750</v>
      </c>
      <c r="M926">
        <v>2750</v>
      </c>
      <c r="N926">
        <v>0</v>
      </c>
    </row>
    <row r="927" spans="1:14" x14ac:dyDescent="0.25">
      <c r="A927">
        <v>232.15464399999999</v>
      </c>
      <c r="B927" s="1">
        <f>DATE(2010,12,19) + TIME(3,42,41)</f>
        <v>40531.154641203706</v>
      </c>
      <c r="C927">
        <v>80</v>
      </c>
      <c r="D927">
        <v>74.294960021999998</v>
      </c>
      <c r="E927">
        <v>60</v>
      </c>
      <c r="F927">
        <v>59.957477570000002</v>
      </c>
      <c r="G927">
        <v>1326.5408935999999</v>
      </c>
      <c r="H927">
        <v>1324.4215088000001</v>
      </c>
      <c r="I927">
        <v>1339.8116454999999</v>
      </c>
      <c r="J927">
        <v>1337.2054443</v>
      </c>
      <c r="K927">
        <v>0</v>
      </c>
      <c r="L927">
        <v>2750</v>
      </c>
      <c r="M927">
        <v>2750</v>
      </c>
      <c r="N927">
        <v>0</v>
      </c>
    </row>
    <row r="928" spans="1:14" x14ac:dyDescent="0.25">
      <c r="A928">
        <v>232.544431</v>
      </c>
      <c r="B928" s="1">
        <f>DATE(2010,12,19) + TIME(13,3,58)</f>
        <v>40531.544421296298</v>
      </c>
      <c r="C928">
        <v>80</v>
      </c>
      <c r="D928">
        <v>74.247665405000006</v>
      </c>
      <c r="E928">
        <v>60</v>
      </c>
      <c r="F928">
        <v>59.957469940000003</v>
      </c>
      <c r="G928">
        <v>1326.526001</v>
      </c>
      <c r="H928">
        <v>1324.4007568</v>
      </c>
      <c r="I928">
        <v>1339.8077393000001</v>
      </c>
      <c r="J928">
        <v>1337.2033690999999</v>
      </c>
      <c r="K928">
        <v>0</v>
      </c>
      <c r="L928">
        <v>2750</v>
      </c>
      <c r="M928">
        <v>2750</v>
      </c>
      <c r="N928">
        <v>0</v>
      </c>
    </row>
    <row r="929" spans="1:14" x14ac:dyDescent="0.25">
      <c r="A929">
        <v>232.93421799999999</v>
      </c>
      <c r="B929" s="1">
        <f>DATE(2010,12,19) + TIME(22,25,16)</f>
        <v>40531.934212962966</v>
      </c>
      <c r="C929">
        <v>80</v>
      </c>
      <c r="D929">
        <v>74.202568053999997</v>
      </c>
      <c r="E929">
        <v>60</v>
      </c>
      <c r="F929">
        <v>59.957466125000003</v>
      </c>
      <c r="G929">
        <v>1326.5117187999999</v>
      </c>
      <c r="H929">
        <v>1324.3809814000001</v>
      </c>
      <c r="I929">
        <v>1339.8038329999999</v>
      </c>
      <c r="J929">
        <v>1337.2014160000001</v>
      </c>
      <c r="K929">
        <v>0</v>
      </c>
      <c r="L929">
        <v>2750</v>
      </c>
      <c r="M929">
        <v>2750</v>
      </c>
      <c r="N929">
        <v>0</v>
      </c>
    </row>
    <row r="930" spans="1:14" x14ac:dyDescent="0.25">
      <c r="A930">
        <v>233.324006</v>
      </c>
      <c r="B930" s="1">
        <f>DATE(2010,12,20) + TIME(7,46,34)</f>
        <v>40532.324004629627</v>
      </c>
      <c r="C930">
        <v>80</v>
      </c>
      <c r="D930">
        <v>74.158706664999997</v>
      </c>
      <c r="E930">
        <v>60</v>
      </c>
      <c r="F930">
        <v>59.957458496000001</v>
      </c>
      <c r="G930">
        <v>1326.4978027</v>
      </c>
      <c r="H930">
        <v>1324.3619385</v>
      </c>
      <c r="I930">
        <v>1339.8000488</v>
      </c>
      <c r="J930">
        <v>1337.1993408000001</v>
      </c>
      <c r="K930">
        <v>0</v>
      </c>
      <c r="L930">
        <v>2750</v>
      </c>
      <c r="M930">
        <v>2750</v>
      </c>
      <c r="N930">
        <v>0</v>
      </c>
    </row>
    <row r="931" spans="1:14" x14ac:dyDescent="0.25">
      <c r="A931">
        <v>233.71379300000001</v>
      </c>
      <c r="B931" s="1">
        <f>DATE(2010,12,20) + TIME(17,7,51)</f>
        <v>40532.713784722226</v>
      </c>
      <c r="C931">
        <v>80</v>
      </c>
      <c r="D931">
        <v>74.115524292000003</v>
      </c>
      <c r="E931">
        <v>60</v>
      </c>
      <c r="F931">
        <v>59.957454681000002</v>
      </c>
      <c r="G931">
        <v>1326.4842529</v>
      </c>
      <c r="H931">
        <v>1324.3432617000001</v>
      </c>
      <c r="I931">
        <v>1339.7962646000001</v>
      </c>
      <c r="J931">
        <v>1337.1973877</v>
      </c>
      <c r="K931">
        <v>0</v>
      </c>
      <c r="L931">
        <v>2750</v>
      </c>
      <c r="M931">
        <v>2750</v>
      </c>
      <c r="N931">
        <v>0</v>
      </c>
    </row>
    <row r="932" spans="1:14" x14ac:dyDescent="0.25">
      <c r="A932">
        <v>234.10357999999999</v>
      </c>
      <c r="B932" s="1">
        <f>DATE(2010,12,21) + TIME(2,29,9)</f>
        <v>40533.103576388887</v>
      </c>
      <c r="C932">
        <v>80</v>
      </c>
      <c r="D932">
        <v>74.072715759000005</v>
      </c>
      <c r="E932">
        <v>60</v>
      </c>
      <c r="F932">
        <v>59.957450866999999</v>
      </c>
      <c r="G932">
        <v>1326.4707031</v>
      </c>
      <c r="H932">
        <v>1324.3249512</v>
      </c>
      <c r="I932">
        <v>1339.7924805</v>
      </c>
      <c r="J932">
        <v>1337.1954346</v>
      </c>
      <c r="K932">
        <v>0</v>
      </c>
      <c r="L932">
        <v>2750</v>
      </c>
      <c r="M932">
        <v>2750</v>
      </c>
      <c r="N932">
        <v>0</v>
      </c>
    </row>
    <row r="933" spans="1:14" x14ac:dyDescent="0.25">
      <c r="A933">
        <v>234.49336700000001</v>
      </c>
      <c r="B933" s="1">
        <f>DATE(2010,12,21) + TIME(11,50,26)</f>
        <v>40533.493356481478</v>
      </c>
      <c r="C933">
        <v>80</v>
      </c>
      <c r="D933">
        <v>74.030082703000005</v>
      </c>
      <c r="E933">
        <v>60</v>
      </c>
      <c r="F933">
        <v>59.957450866999999</v>
      </c>
      <c r="G933">
        <v>1326.4573975000001</v>
      </c>
      <c r="H933">
        <v>1324.3067627</v>
      </c>
      <c r="I933">
        <v>1339.7886963000001</v>
      </c>
      <c r="J933">
        <v>1337.1934814000001</v>
      </c>
      <c r="K933">
        <v>0</v>
      </c>
      <c r="L933">
        <v>2750</v>
      </c>
      <c r="M933">
        <v>2750</v>
      </c>
      <c r="N933">
        <v>0</v>
      </c>
    </row>
    <row r="934" spans="1:14" x14ac:dyDescent="0.25">
      <c r="A934">
        <v>234.88315499999999</v>
      </c>
      <c r="B934" s="1">
        <f>DATE(2010,12,21) + TIME(21,11,44)</f>
        <v>40533.883148148147</v>
      </c>
      <c r="C934">
        <v>80</v>
      </c>
      <c r="D934">
        <v>73.987525939999998</v>
      </c>
      <c r="E934">
        <v>60</v>
      </c>
      <c r="F934">
        <v>59.957447051999999</v>
      </c>
      <c r="G934">
        <v>1326.4442139</v>
      </c>
      <c r="H934">
        <v>1324.2888184000001</v>
      </c>
      <c r="I934">
        <v>1339.7849120999999</v>
      </c>
      <c r="J934">
        <v>1337.1915283000001</v>
      </c>
      <c r="K934">
        <v>0</v>
      </c>
      <c r="L934">
        <v>2750</v>
      </c>
      <c r="M934">
        <v>2750</v>
      </c>
      <c r="N934">
        <v>0</v>
      </c>
    </row>
    <row r="935" spans="1:14" x14ac:dyDescent="0.25">
      <c r="A935">
        <v>235.272942</v>
      </c>
      <c r="B935" s="1">
        <f>DATE(2010,12,22) + TIME(6,33,2)</f>
        <v>40534.272939814815</v>
      </c>
      <c r="C935">
        <v>80</v>
      </c>
      <c r="D935">
        <v>73.944992064999994</v>
      </c>
      <c r="E935">
        <v>60</v>
      </c>
      <c r="F935">
        <v>59.957443237</v>
      </c>
      <c r="G935">
        <v>1326.4310303</v>
      </c>
      <c r="H935">
        <v>1324.2709961</v>
      </c>
      <c r="I935">
        <v>1339.78125</v>
      </c>
      <c r="J935">
        <v>1337.1895752</v>
      </c>
      <c r="K935">
        <v>0</v>
      </c>
      <c r="L935">
        <v>2750</v>
      </c>
      <c r="M935">
        <v>2750</v>
      </c>
      <c r="N935">
        <v>0</v>
      </c>
    </row>
    <row r="936" spans="1:14" x14ac:dyDescent="0.25">
      <c r="A936">
        <v>236.052516</v>
      </c>
      <c r="B936" s="1">
        <f>DATE(2010,12,23) + TIME(1,15,37)</f>
        <v>40535.052511574075</v>
      </c>
      <c r="C936">
        <v>80</v>
      </c>
      <c r="D936">
        <v>73.885452271000005</v>
      </c>
      <c r="E936">
        <v>60</v>
      </c>
      <c r="F936">
        <v>59.957458496000001</v>
      </c>
      <c r="G936">
        <v>1326.4173584</v>
      </c>
      <c r="H936">
        <v>1324.2515868999999</v>
      </c>
      <c r="I936">
        <v>1339.7777100000001</v>
      </c>
      <c r="J936">
        <v>1337.1878661999999</v>
      </c>
      <c r="K936">
        <v>0</v>
      </c>
      <c r="L936">
        <v>2750</v>
      </c>
      <c r="M936">
        <v>2750</v>
      </c>
      <c r="N936">
        <v>0</v>
      </c>
    </row>
    <row r="937" spans="1:14" x14ac:dyDescent="0.25">
      <c r="A937">
        <v>236.83341799999999</v>
      </c>
      <c r="B937" s="1">
        <f>DATE(2010,12,23) + TIME(20,0,7)</f>
        <v>40535.833414351851</v>
      </c>
      <c r="C937">
        <v>80</v>
      </c>
      <c r="D937">
        <v>73.810409546000002</v>
      </c>
      <c r="E937">
        <v>60</v>
      </c>
      <c r="F937">
        <v>59.957458496000001</v>
      </c>
      <c r="G937">
        <v>1326.3945312000001</v>
      </c>
      <c r="H937">
        <v>1324.2220459</v>
      </c>
      <c r="I937">
        <v>1339.7703856999999</v>
      </c>
      <c r="J937">
        <v>1337.184082</v>
      </c>
      <c r="K937">
        <v>0</v>
      </c>
      <c r="L937">
        <v>2750</v>
      </c>
      <c r="M937">
        <v>2750</v>
      </c>
      <c r="N937">
        <v>0</v>
      </c>
    </row>
    <row r="938" spans="1:14" x14ac:dyDescent="0.25">
      <c r="A938">
        <v>237.629829</v>
      </c>
      <c r="B938" s="1">
        <f>DATE(2010,12,24) + TIME(15,6,57)</f>
        <v>40536.629826388889</v>
      </c>
      <c r="C938">
        <v>80</v>
      </c>
      <c r="D938">
        <v>73.728347778</v>
      </c>
      <c r="E938">
        <v>60</v>
      </c>
      <c r="F938">
        <v>59.957458496000001</v>
      </c>
      <c r="G938">
        <v>1326.3701172000001</v>
      </c>
      <c r="H938">
        <v>1324.1895752</v>
      </c>
      <c r="I938">
        <v>1339.7631836</v>
      </c>
      <c r="J938">
        <v>1337.1802978999999</v>
      </c>
      <c r="K938">
        <v>0</v>
      </c>
      <c r="L938">
        <v>2750</v>
      </c>
      <c r="M938">
        <v>2750</v>
      </c>
      <c r="N938">
        <v>0</v>
      </c>
    </row>
    <row r="939" spans="1:14" x14ac:dyDescent="0.25">
      <c r="A939">
        <v>238.44529299999999</v>
      </c>
      <c r="B939" s="1">
        <f>DATE(2010,12,25) + TIME(10,41,13)</f>
        <v>40537.445289351854</v>
      </c>
      <c r="C939">
        <v>80</v>
      </c>
      <c r="D939">
        <v>73.642143250000004</v>
      </c>
      <c r="E939">
        <v>60</v>
      </c>
      <c r="F939">
        <v>59.957458496000001</v>
      </c>
      <c r="G939">
        <v>1326.3448486</v>
      </c>
      <c r="H939">
        <v>1324.1555175999999</v>
      </c>
      <c r="I939">
        <v>1339.7559814000001</v>
      </c>
      <c r="J939">
        <v>1337.1766356999999</v>
      </c>
      <c r="K939">
        <v>0</v>
      </c>
      <c r="L939">
        <v>2750</v>
      </c>
      <c r="M939">
        <v>2750</v>
      </c>
      <c r="N939">
        <v>0</v>
      </c>
    </row>
    <row r="940" spans="1:14" x14ac:dyDescent="0.25">
      <c r="A940">
        <v>239.28385</v>
      </c>
      <c r="B940" s="1">
        <f>DATE(2010,12,26) + TIME(6,48,44)</f>
        <v>40538.283842592595</v>
      </c>
      <c r="C940">
        <v>80</v>
      </c>
      <c r="D940">
        <v>73.552696228000002</v>
      </c>
      <c r="E940">
        <v>60</v>
      </c>
      <c r="F940">
        <v>59.957454681000002</v>
      </c>
      <c r="G940">
        <v>1326.3188477000001</v>
      </c>
      <c r="H940">
        <v>1324.1204834</v>
      </c>
      <c r="I940">
        <v>1339.7486572</v>
      </c>
      <c r="J940">
        <v>1337.1728516000001</v>
      </c>
      <c r="K940">
        <v>0</v>
      </c>
      <c r="L940">
        <v>2750</v>
      </c>
      <c r="M940">
        <v>2750</v>
      </c>
      <c r="N940">
        <v>0</v>
      </c>
    </row>
    <row r="941" spans="1:14" x14ac:dyDescent="0.25">
      <c r="A941">
        <v>239.7123</v>
      </c>
      <c r="B941" s="1">
        <f>DATE(2010,12,26) + TIME(17,5,42)</f>
        <v>40538.712291666663</v>
      </c>
      <c r="C941">
        <v>80</v>
      </c>
      <c r="D941">
        <v>73.485534668</v>
      </c>
      <c r="E941">
        <v>60</v>
      </c>
      <c r="F941">
        <v>59.957443237</v>
      </c>
      <c r="G941">
        <v>1326.2932129000001</v>
      </c>
      <c r="H941">
        <v>1324.0869141000001</v>
      </c>
      <c r="I941">
        <v>1339.7412108999999</v>
      </c>
      <c r="J941">
        <v>1337.1689452999999</v>
      </c>
      <c r="K941">
        <v>0</v>
      </c>
      <c r="L941">
        <v>2750</v>
      </c>
      <c r="M941">
        <v>2750</v>
      </c>
      <c r="N941">
        <v>0</v>
      </c>
    </row>
    <row r="942" spans="1:14" x14ac:dyDescent="0.25">
      <c r="A942">
        <v>240.14075</v>
      </c>
      <c r="B942" s="1">
        <f>DATE(2010,12,27) + TIME(3,22,40)</f>
        <v>40539.140740740739</v>
      </c>
      <c r="C942">
        <v>80</v>
      </c>
      <c r="D942">
        <v>73.427322387999993</v>
      </c>
      <c r="E942">
        <v>60</v>
      </c>
      <c r="F942">
        <v>59.957435607999997</v>
      </c>
      <c r="G942">
        <v>1326.2774658000001</v>
      </c>
      <c r="H942">
        <v>1324.0643310999999</v>
      </c>
      <c r="I942">
        <v>1339.7374268000001</v>
      </c>
      <c r="J942">
        <v>1337.1669922000001</v>
      </c>
      <c r="K942">
        <v>0</v>
      </c>
      <c r="L942">
        <v>2750</v>
      </c>
      <c r="M942">
        <v>2750</v>
      </c>
      <c r="N942">
        <v>0</v>
      </c>
    </row>
    <row r="943" spans="1:14" x14ac:dyDescent="0.25">
      <c r="A943">
        <v>240.5692</v>
      </c>
      <c r="B943" s="1">
        <f>DATE(2010,12,27) + TIME(13,39,38)</f>
        <v>40539.569189814814</v>
      </c>
      <c r="C943">
        <v>80</v>
      </c>
      <c r="D943">
        <v>73.373954772999994</v>
      </c>
      <c r="E943">
        <v>60</v>
      </c>
      <c r="F943">
        <v>59.957431792999998</v>
      </c>
      <c r="G943">
        <v>1326.2625731999999</v>
      </c>
      <c r="H943">
        <v>1324.043457</v>
      </c>
      <c r="I943">
        <v>1339.7337646000001</v>
      </c>
      <c r="J943">
        <v>1337.1650391000001</v>
      </c>
      <c r="K943">
        <v>0</v>
      </c>
      <c r="L943">
        <v>2750</v>
      </c>
      <c r="M943">
        <v>2750</v>
      </c>
      <c r="N943">
        <v>0</v>
      </c>
    </row>
    <row r="944" spans="1:14" x14ac:dyDescent="0.25">
      <c r="A944">
        <v>240.997649</v>
      </c>
      <c r="B944" s="1">
        <f>DATE(2010,12,27) + TIME(23,56,36)</f>
        <v>40539.99763888889</v>
      </c>
      <c r="C944">
        <v>80</v>
      </c>
      <c r="D944">
        <v>73.323196410999998</v>
      </c>
      <c r="E944">
        <v>60</v>
      </c>
      <c r="F944">
        <v>59.957427979000002</v>
      </c>
      <c r="G944">
        <v>1326.2482910000001</v>
      </c>
      <c r="H944">
        <v>1324.0238036999999</v>
      </c>
      <c r="I944">
        <v>1339.7301024999999</v>
      </c>
      <c r="J944">
        <v>1337.1630858999999</v>
      </c>
      <c r="K944">
        <v>0</v>
      </c>
      <c r="L944">
        <v>2750</v>
      </c>
      <c r="M944">
        <v>2750</v>
      </c>
      <c r="N944">
        <v>0</v>
      </c>
    </row>
    <row r="945" spans="1:14" x14ac:dyDescent="0.25">
      <c r="A945">
        <v>241.42609899999999</v>
      </c>
      <c r="B945" s="1">
        <f>DATE(2010,12,28) + TIME(10,13,34)</f>
        <v>40540.426087962966</v>
      </c>
      <c r="C945">
        <v>80</v>
      </c>
      <c r="D945">
        <v>73.273818969999994</v>
      </c>
      <c r="E945">
        <v>60</v>
      </c>
      <c r="F945">
        <v>59.957427979000002</v>
      </c>
      <c r="G945">
        <v>1326.2344971</v>
      </c>
      <c r="H945">
        <v>1324.0048827999999</v>
      </c>
      <c r="I945">
        <v>1339.7264404</v>
      </c>
      <c r="J945">
        <v>1337.1611327999999</v>
      </c>
      <c r="K945">
        <v>0</v>
      </c>
      <c r="L945">
        <v>2750</v>
      </c>
      <c r="M945">
        <v>2750</v>
      </c>
      <c r="N945">
        <v>0</v>
      </c>
    </row>
    <row r="946" spans="1:14" x14ac:dyDescent="0.25">
      <c r="A946">
        <v>241.85454899999999</v>
      </c>
      <c r="B946" s="1">
        <f>DATE(2010,12,28) + TIME(20,30,33)</f>
        <v>40540.854548611111</v>
      </c>
      <c r="C946">
        <v>80</v>
      </c>
      <c r="D946">
        <v>73.225158691000004</v>
      </c>
      <c r="E946">
        <v>60</v>
      </c>
      <c r="F946">
        <v>59.957427979000002</v>
      </c>
      <c r="G946">
        <v>1326.2208252</v>
      </c>
      <c r="H946">
        <v>1323.9863281</v>
      </c>
      <c r="I946">
        <v>1339.7227783000001</v>
      </c>
      <c r="J946">
        <v>1337.1593018000001</v>
      </c>
      <c r="K946">
        <v>0</v>
      </c>
      <c r="L946">
        <v>2750</v>
      </c>
      <c r="M946">
        <v>2750</v>
      </c>
      <c r="N946">
        <v>0</v>
      </c>
    </row>
    <row r="947" spans="1:14" x14ac:dyDescent="0.25">
      <c r="A947">
        <v>242.28299899999999</v>
      </c>
      <c r="B947" s="1">
        <f>DATE(2010,12,29) + TIME(6,47,31)</f>
        <v>40541.282997685186</v>
      </c>
      <c r="C947">
        <v>80</v>
      </c>
      <c r="D947">
        <v>73.176856994999994</v>
      </c>
      <c r="E947">
        <v>60</v>
      </c>
      <c r="F947">
        <v>59.957427979000002</v>
      </c>
      <c r="G947">
        <v>1326.2073975000001</v>
      </c>
      <c r="H947">
        <v>1323.9680175999999</v>
      </c>
      <c r="I947">
        <v>1339.7191161999999</v>
      </c>
      <c r="J947">
        <v>1337.1573486</v>
      </c>
      <c r="K947">
        <v>0</v>
      </c>
      <c r="L947">
        <v>2750</v>
      </c>
      <c r="M947">
        <v>2750</v>
      </c>
      <c r="N947">
        <v>0</v>
      </c>
    </row>
    <row r="948" spans="1:14" x14ac:dyDescent="0.25">
      <c r="A948">
        <v>242.71144899999999</v>
      </c>
      <c r="B948" s="1">
        <f>DATE(2010,12,29) + TIME(17,4,29)</f>
        <v>40541.711446759262</v>
      </c>
      <c r="C948">
        <v>80</v>
      </c>
      <c r="D948">
        <v>73.128723144999995</v>
      </c>
      <c r="E948">
        <v>60</v>
      </c>
      <c r="F948">
        <v>59.957427979000002</v>
      </c>
      <c r="G948">
        <v>1326.1940918</v>
      </c>
      <c r="H948">
        <v>1323.9499512</v>
      </c>
      <c r="I948">
        <v>1339.7155762</v>
      </c>
      <c r="J948">
        <v>1337.1555175999999</v>
      </c>
      <c r="K948">
        <v>0</v>
      </c>
      <c r="L948">
        <v>2750</v>
      </c>
      <c r="M948">
        <v>2750</v>
      </c>
      <c r="N948">
        <v>0</v>
      </c>
    </row>
    <row r="949" spans="1:14" x14ac:dyDescent="0.25">
      <c r="A949">
        <v>243.13989799999999</v>
      </c>
      <c r="B949" s="1">
        <f>DATE(2010,12,30) + TIME(3,21,27)</f>
        <v>40542.13989583333</v>
      </c>
      <c r="C949">
        <v>80</v>
      </c>
      <c r="D949">
        <v>73.080642699999999</v>
      </c>
      <c r="E949">
        <v>60</v>
      </c>
      <c r="F949">
        <v>59.957427979000002</v>
      </c>
      <c r="G949">
        <v>1326.1809082</v>
      </c>
      <c r="H949">
        <v>1323.9320068</v>
      </c>
      <c r="I949">
        <v>1339.7120361</v>
      </c>
      <c r="J949">
        <v>1337.1536865</v>
      </c>
      <c r="K949">
        <v>0</v>
      </c>
      <c r="L949">
        <v>2750</v>
      </c>
      <c r="M949">
        <v>2750</v>
      </c>
      <c r="N949">
        <v>0</v>
      </c>
    </row>
    <row r="950" spans="1:14" x14ac:dyDescent="0.25">
      <c r="A950">
        <v>243.99679800000001</v>
      </c>
      <c r="B950" s="1">
        <f>DATE(2010,12,30) + TIME(23,55,23)</f>
        <v>40542.996793981481</v>
      </c>
      <c r="C950">
        <v>80</v>
      </c>
      <c r="D950">
        <v>73.014778136999993</v>
      </c>
      <c r="E950">
        <v>60</v>
      </c>
      <c r="F950">
        <v>59.957447051999999</v>
      </c>
      <c r="G950">
        <v>1326.1672363</v>
      </c>
      <c r="H950">
        <v>1323.9125977000001</v>
      </c>
      <c r="I950">
        <v>1339.7084961</v>
      </c>
      <c r="J950">
        <v>1337.1518555</v>
      </c>
      <c r="K950">
        <v>0</v>
      </c>
      <c r="L950">
        <v>2750</v>
      </c>
      <c r="M950">
        <v>2750</v>
      </c>
      <c r="N950">
        <v>0</v>
      </c>
    </row>
    <row r="951" spans="1:14" x14ac:dyDescent="0.25">
      <c r="A951">
        <v>244.854805</v>
      </c>
      <c r="B951" s="1">
        <f>DATE(2010,12,31) + TIME(20,30,55)</f>
        <v>40543.854803240742</v>
      </c>
      <c r="C951">
        <v>80</v>
      </c>
      <c r="D951">
        <v>72.929733275999993</v>
      </c>
      <c r="E951">
        <v>60</v>
      </c>
      <c r="F951">
        <v>59.957458496000001</v>
      </c>
      <c r="G951">
        <v>1326.1444091999999</v>
      </c>
      <c r="H951">
        <v>1323.8831786999999</v>
      </c>
      <c r="I951">
        <v>1339.7015381000001</v>
      </c>
      <c r="J951">
        <v>1337.1481934000001</v>
      </c>
      <c r="K951">
        <v>0</v>
      </c>
      <c r="L951">
        <v>2750</v>
      </c>
      <c r="M951">
        <v>2750</v>
      </c>
      <c r="N951">
        <v>0</v>
      </c>
    </row>
    <row r="952" spans="1:14" x14ac:dyDescent="0.25">
      <c r="A952">
        <v>245</v>
      </c>
      <c r="B952" s="1">
        <f>DATE(2011,1,1) + TIME(0,0,0)</f>
        <v>40544</v>
      </c>
      <c r="C952">
        <v>80</v>
      </c>
      <c r="D952">
        <v>72.896842957000004</v>
      </c>
      <c r="E952">
        <v>60</v>
      </c>
      <c r="F952">
        <v>59.957447051999999</v>
      </c>
      <c r="G952">
        <v>1326.1213379000001</v>
      </c>
      <c r="H952">
        <v>1323.8549805</v>
      </c>
      <c r="I952">
        <v>1339.6944579999999</v>
      </c>
      <c r="J952">
        <v>1337.1444091999999</v>
      </c>
      <c r="K952">
        <v>0</v>
      </c>
      <c r="L952">
        <v>2750</v>
      </c>
      <c r="M952">
        <v>2750</v>
      </c>
      <c r="N952">
        <v>0</v>
      </c>
    </row>
    <row r="953" spans="1:14" x14ac:dyDescent="0.25">
      <c r="A953">
        <v>245.87645800000001</v>
      </c>
      <c r="B953" s="1">
        <f>DATE(2011,1,1) + TIME(21,2,5)</f>
        <v>40544.876446759263</v>
      </c>
      <c r="C953">
        <v>80</v>
      </c>
      <c r="D953">
        <v>72.814270019999995</v>
      </c>
      <c r="E953">
        <v>60</v>
      </c>
      <c r="F953">
        <v>59.957458496000001</v>
      </c>
      <c r="G953">
        <v>1326.1140137</v>
      </c>
      <c r="H953">
        <v>1323.8416748</v>
      </c>
      <c r="I953">
        <v>1339.6934814000001</v>
      </c>
      <c r="J953">
        <v>1337.1439209</v>
      </c>
      <c r="K953">
        <v>0</v>
      </c>
      <c r="L953">
        <v>2750</v>
      </c>
      <c r="M953">
        <v>2750</v>
      </c>
      <c r="N953">
        <v>0</v>
      </c>
    </row>
    <row r="954" spans="1:14" x14ac:dyDescent="0.25">
      <c r="A954">
        <v>246.77989199999999</v>
      </c>
      <c r="B954" s="1">
        <f>DATE(2011,1,2) + TIME(18,43,2)</f>
        <v>40545.77988425926</v>
      </c>
      <c r="C954">
        <v>80</v>
      </c>
      <c r="D954">
        <v>72.720230103000006</v>
      </c>
      <c r="E954">
        <v>60</v>
      </c>
      <c r="F954">
        <v>59.957466125000003</v>
      </c>
      <c r="G954">
        <v>1326.0894774999999</v>
      </c>
      <c r="H954">
        <v>1323.8092041</v>
      </c>
      <c r="I954">
        <v>1339.6864014</v>
      </c>
      <c r="J954">
        <v>1337.1403809000001</v>
      </c>
      <c r="K954">
        <v>0</v>
      </c>
      <c r="L954">
        <v>2750</v>
      </c>
      <c r="M954">
        <v>2750</v>
      </c>
      <c r="N954">
        <v>0</v>
      </c>
    </row>
    <row r="955" spans="1:14" x14ac:dyDescent="0.25">
      <c r="A955">
        <v>247.70886100000001</v>
      </c>
      <c r="B955" s="1">
        <f>DATE(2011,1,3) + TIME(17,0,45)</f>
        <v>40546.708854166667</v>
      </c>
      <c r="C955">
        <v>80</v>
      </c>
      <c r="D955">
        <v>72.619888306000007</v>
      </c>
      <c r="E955">
        <v>60</v>
      </c>
      <c r="F955">
        <v>59.957473755000002</v>
      </c>
      <c r="G955">
        <v>1326.0637207</v>
      </c>
      <c r="H955">
        <v>1323.7746582</v>
      </c>
      <c r="I955">
        <v>1339.6793213000001</v>
      </c>
      <c r="J955">
        <v>1337.1365966999999</v>
      </c>
      <c r="K955">
        <v>0</v>
      </c>
      <c r="L955">
        <v>2750</v>
      </c>
      <c r="M955">
        <v>2750</v>
      </c>
      <c r="N955">
        <v>0</v>
      </c>
    </row>
    <row r="956" spans="1:14" x14ac:dyDescent="0.25">
      <c r="A956">
        <v>248.17515900000001</v>
      </c>
      <c r="B956" s="1">
        <f>DATE(2011,1,4) + TIME(4,12,13)</f>
        <v>40547.175150462965</v>
      </c>
      <c r="C956">
        <v>80</v>
      </c>
      <c r="D956">
        <v>72.542831421000002</v>
      </c>
      <c r="E956">
        <v>60</v>
      </c>
      <c r="F956">
        <v>59.957466125000003</v>
      </c>
      <c r="G956">
        <v>1326.0378418</v>
      </c>
      <c r="H956">
        <v>1323.7409668</v>
      </c>
      <c r="I956">
        <v>1339.6719971</v>
      </c>
      <c r="J956">
        <v>1337.1326904</v>
      </c>
      <c r="K956">
        <v>0</v>
      </c>
      <c r="L956">
        <v>2750</v>
      </c>
      <c r="M956">
        <v>2750</v>
      </c>
      <c r="N956">
        <v>0</v>
      </c>
    </row>
    <row r="957" spans="1:14" x14ac:dyDescent="0.25">
      <c r="A957">
        <v>248.64008799999999</v>
      </c>
      <c r="B957" s="1">
        <f>DATE(2011,1,4) + TIME(15,21,43)</f>
        <v>40547.640081018515</v>
      </c>
      <c r="C957">
        <v>80</v>
      </c>
      <c r="D957">
        <v>72.477485657000003</v>
      </c>
      <c r="E957">
        <v>60</v>
      </c>
      <c r="F957">
        <v>59.957462311</v>
      </c>
      <c r="G957">
        <v>1326.0220947</v>
      </c>
      <c r="H957">
        <v>1323.7182617000001</v>
      </c>
      <c r="I957">
        <v>1339.668457</v>
      </c>
      <c r="J957">
        <v>1337.1308594</v>
      </c>
      <c r="K957">
        <v>0</v>
      </c>
      <c r="L957">
        <v>2750</v>
      </c>
      <c r="M957">
        <v>2750</v>
      </c>
      <c r="N957">
        <v>0</v>
      </c>
    </row>
    <row r="958" spans="1:14" x14ac:dyDescent="0.25">
      <c r="A958">
        <v>249.10473400000001</v>
      </c>
      <c r="B958" s="1">
        <f>DATE(2011,1,5) + TIME(2,30,49)</f>
        <v>40548.104733796295</v>
      </c>
      <c r="C958">
        <v>80</v>
      </c>
      <c r="D958">
        <v>72.418136597</v>
      </c>
      <c r="E958">
        <v>60</v>
      </c>
      <c r="F958">
        <v>59.957458496000001</v>
      </c>
      <c r="G958">
        <v>1326.0074463000001</v>
      </c>
      <c r="H958">
        <v>1323.6977539</v>
      </c>
      <c r="I958">
        <v>1339.6649170000001</v>
      </c>
      <c r="J958">
        <v>1337.1290283000001</v>
      </c>
      <c r="K958">
        <v>0</v>
      </c>
      <c r="L958">
        <v>2750</v>
      </c>
      <c r="M958">
        <v>2750</v>
      </c>
      <c r="N958">
        <v>0</v>
      </c>
    </row>
    <row r="959" spans="1:14" x14ac:dyDescent="0.25">
      <c r="A959">
        <v>249.56938</v>
      </c>
      <c r="B959" s="1">
        <f>DATE(2011,1,5) + TIME(13,39,54)</f>
        <v>40548.569374999999</v>
      </c>
      <c r="C959">
        <v>80</v>
      </c>
      <c r="D959">
        <v>72.361839294000006</v>
      </c>
      <c r="E959">
        <v>60</v>
      </c>
      <c r="F959">
        <v>59.957462311</v>
      </c>
      <c r="G959">
        <v>1325.9934082</v>
      </c>
      <c r="H959">
        <v>1323.6783447</v>
      </c>
      <c r="I959">
        <v>1339.6613769999999</v>
      </c>
      <c r="J959">
        <v>1337.1270752</v>
      </c>
      <c r="K959">
        <v>0</v>
      </c>
      <c r="L959">
        <v>2750</v>
      </c>
      <c r="M959">
        <v>2750</v>
      </c>
      <c r="N959">
        <v>0</v>
      </c>
    </row>
    <row r="960" spans="1:14" x14ac:dyDescent="0.25">
      <c r="A960">
        <v>250.03402500000001</v>
      </c>
      <c r="B960" s="1">
        <f>DATE(2011,1,6) + TIME(0,48,59)</f>
        <v>40549.034016203703</v>
      </c>
      <c r="C960">
        <v>80</v>
      </c>
      <c r="D960">
        <v>72.307090759000005</v>
      </c>
      <c r="E960">
        <v>60</v>
      </c>
      <c r="F960">
        <v>59.957462311</v>
      </c>
      <c r="G960">
        <v>1325.9797363</v>
      </c>
      <c r="H960">
        <v>1323.6595459</v>
      </c>
      <c r="I960">
        <v>1339.6579589999999</v>
      </c>
      <c r="J960">
        <v>1337.1252440999999</v>
      </c>
      <c r="K960">
        <v>0</v>
      </c>
      <c r="L960">
        <v>2750</v>
      </c>
      <c r="M960">
        <v>2750</v>
      </c>
      <c r="N960">
        <v>0</v>
      </c>
    </row>
    <row r="961" spans="1:14" x14ac:dyDescent="0.25">
      <c r="A961">
        <v>250.498671</v>
      </c>
      <c r="B961" s="1">
        <f>DATE(2011,1,6) + TIME(11,58,5)</f>
        <v>40549.498668981483</v>
      </c>
      <c r="C961">
        <v>80</v>
      </c>
      <c r="D961">
        <v>72.253112793</v>
      </c>
      <c r="E961">
        <v>60</v>
      </c>
      <c r="F961">
        <v>59.957466125000003</v>
      </c>
      <c r="G961">
        <v>1325.9663086</v>
      </c>
      <c r="H961">
        <v>1323.6413574000001</v>
      </c>
      <c r="I961">
        <v>1339.6544189000001</v>
      </c>
      <c r="J961">
        <v>1337.1234131000001</v>
      </c>
      <c r="K961">
        <v>0</v>
      </c>
      <c r="L961">
        <v>2750</v>
      </c>
      <c r="M961">
        <v>2750</v>
      </c>
      <c r="N961">
        <v>0</v>
      </c>
    </row>
    <row r="962" spans="1:14" x14ac:dyDescent="0.25">
      <c r="A962">
        <v>250.96331699999999</v>
      </c>
      <c r="B962" s="1">
        <f>DATE(2011,1,6) + TIME(23,7,10)</f>
        <v>40549.963310185187</v>
      </c>
      <c r="C962">
        <v>80</v>
      </c>
      <c r="D962">
        <v>72.199485779</v>
      </c>
      <c r="E962">
        <v>60</v>
      </c>
      <c r="F962">
        <v>59.957469940000003</v>
      </c>
      <c r="G962">
        <v>1325.953125</v>
      </c>
      <c r="H962">
        <v>1323.6232910000001</v>
      </c>
      <c r="I962">
        <v>1339.651001</v>
      </c>
      <c r="J962">
        <v>1337.121582</v>
      </c>
      <c r="K962">
        <v>0</v>
      </c>
      <c r="L962">
        <v>2750</v>
      </c>
      <c r="M962">
        <v>2750</v>
      </c>
      <c r="N962">
        <v>0</v>
      </c>
    </row>
    <row r="963" spans="1:14" x14ac:dyDescent="0.25">
      <c r="A963">
        <v>251.42796300000001</v>
      </c>
      <c r="B963" s="1">
        <f>DATE(2011,1,7) + TIME(10,16,15)</f>
        <v>40550.427951388891</v>
      </c>
      <c r="C963">
        <v>80</v>
      </c>
      <c r="D963">
        <v>72.146018982000001</v>
      </c>
      <c r="E963">
        <v>60</v>
      </c>
      <c r="F963">
        <v>59.957473755000002</v>
      </c>
      <c r="G963">
        <v>1325.9399414</v>
      </c>
      <c r="H963">
        <v>1323.6054687999999</v>
      </c>
      <c r="I963">
        <v>1339.6475829999999</v>
      </c>
      <c r="J963">
        <v>1337.119751</v>
      </c>
      <c r="K963">
        <v>0</v>
      </c>
      <c r="L963">
        <v>2750</v>
      </c>
      <c r="M963">
        <v>2750</v>
      </c>
      <c r="N963">
        <v>0</v>
      </c>
    </row>
    <row r="964" spans="1:14" x14ac:dyDescent="0.25">
      <c r="A964">
        <v>252.35725500000001</v>
      </c>
      <c r="B964" s="1">
        <f>DATE(2011,1,8) + TIME(8,34,26)</f>
        <v>40551.357245370367</v>
      </c>
      <c r="C964">
        <v>80</v>
      </c>
      <c r="D964">
        <v>72.074157714999998</v>
      </c>
      <c r="E964">
        <v>60</v>
      </c>
      <c r="F964">
        <v>59.957500457999998</v>
      </c>
      <c r="G964">
        <v>1325.9265137</v>
      </c>
      <c r="H964">
        <v>1323.5863036999999</v>
      </c>
      <c r="I964">
        <v>1339.6442870999999</v>
      </c>
      <c r="J964">
        <v>1337.1180420000001</v>
      </c>
      <c r="K964">
        <v>0</v>
      </c>
      <c r="L964">
        <v>2750</v>
      </c>
      <c r="M964">
        <v>2750</v>
      </c>
      <c r="N964">
        <v>0</v>
      </c>
    </row>
    <row r="965" spans="1:14" x14ac:dyDescent="0.25">
      <c r="A965">
        <v>253.290042</v>
      </c>
      <c r="B965" s="1">
        <f>DATE(2011,1,9) + TIME(6,57,39)</f>
        <v>40552.290034722224</v>
      </c>
      <c r="C965">
        <v>80</v>
      </c>
      <c r="D965">
        <v>71.979301453000005</v>
      </c>
      <c r="E965">
        <v>60</v>
      </c>
      <c r="F965">
        <v>59.957515717</v>
      </c>
      <c r="G965">
        <v>1325.9038086</v>
      </c>
      <c r="H965">
        <v>1323.557251</v>
      </c>
      <c r="I965">
        <v>1339.6374512</v>
      </c>
      <c r="J965">
        <v>1337.1145019999999</v>
      </c>
      <c r="K965">
        <v>0</v>
      </c>
      <c r="L965">
        <v>2750</v>
      </c>
      <c r="M965">
        <v>2750</v>
      </c>
      <c r="N965">
        <v>0</v>
      </c>
    </row>
    <row r="966" spans="1:14" x14ac:dyDescent="0.25">
      <c r="A966">
        <v>254.24219099999999</v>
      </c>
      <c r="B966" s="1">
        <f>DATE(2011,1,10) + TIME(5,48,45)</f>
        <v>40553.2421875</v>
      </c>
      <c r="C966">
        <v>80</v>
      </c>
      <c r="D966">
        <v>71.875465392999999</v>
      </c>
      <c r="E966">
        <v>60</v>
      </c>
      <c r="F966">
        <v>59.957527161000002</v>
      </c>
      <c r="G966">
        <v>1325.8793945</v>
      </c>
      <c r="H966">
        <v>1323.5246582</v>
      </c>
      <c r="I966">
        <v>1339.6307373</v>
      </c>
      <c r="J966">
        <v>1337.1109618999999</v>
      </c>
      <c r="K966">
        <v>0</v>
      </c>
      <c r="L966">
        <v>2750</v>
      </c>
      <c r="M966">
        <v>2750</v>
      </c>
      <c r="N966">
        <v>0</v>
      </c>
    </row>
    <row r="967" spans="1:14" x14ac:dyDescent="0.25">
      <c r="A967">
        <v>255.21830800000001</v>
      </c>
      <c r="B967" s="1">
        <f>DATE(2011,1,11) + TIME(5,14,21)</f>
        <v>40554.218298611115</v>
      </c>
      <c r="C967">
        <v>80</v>
      </c>
      <c r="D967">
        <v>71.766716002999999</v>
      </c>
      <c r="E967">
        <v>60</v>
      </c>
      <c r="F967">
        <v>59.957538605000003</v>
      </c>
      <c r="G967">
        <v>1325.854126</v>
      </c>
      <c r="H967">
        <v>1323.4906006000001</v>
      </c>
      <c r="I967">
        <v>1339.6240233999999</v>
      </c>
      <c r="J967">
        <v>1337.1072998</v>
      </c>
      <c r="K967">
        <v>0</v>
      </c>
      <c r="L967">
        <v>2750</v>
      </c>
      <c r="M967">
        <v>2750</v>
      </c>
      <c r="N967">
        <v>0</v>
      </c>
    </row>
    <row r="968" spans="1:14" x14ac:dyDescent="0.25">
      <c r="A968">
        <v>256.223702</v>
      </c>
      <c r="B968" s="1">
        <f>DATE(2011,1,12) + TIME(5,22,7)</f>
        <v>40555.223692129628</v>
      </c>
      <c r="C968">
        <v>80</v>
      </c>
      <c r="D968">
        <v>71.654113769999995</v>
      </c>
      <c r="E968">
        <v>60</v>
      </c>
      <c r="F968">
        <v>59.957553863999998</v>
      </c>
      <c r="G968">
        <v>1325.828125</v>
      </c>
      <c r="H968">
        <v>1323.4555664</v>
      </c>
      <c r="I968">
        <v>1339.6171875</v>
      </c>
      <c r="J968">
        <v>1337.1036377</v>
      </c>
      <c r="K968">
        <v>0</v>
      </c>
      <c r="L968">
        <v>2750</v>
      </c>
      <c r="M968">
        <v>2750</v>
      </c>
      <c r="N968">
        <v>0</v>
      </c>
    </row>
    <row r="969" spans="1:14" x14ac:dyDescent="0.25">
      <c r="A969">
        <v>256.72690399999999</v>
      </c>
      <c r="B969" s="1">
        <f>DATE(2011,1,12) + TIME(17,26,44)</f>
        <v>40555.726898148147</v>
      </c>
      <c r="C969">
        <v>80</v>
      </c>
      <c r="D969">
        <v>71.567100525000001</v>
      </c>
      <c r="E969">
        <v>60</v>
      </c>
      <c r="F969">
        <v>59.957546233999999</v>
      </c>
      <c r="G969">
        <v>1325.8023682</v>
      </c>
      <c r="H969">
        <v>1323.421875</v>
      </c>
      <c r="I969">
        <v>1339.6101074000001</v>
      </c>
      <c r="J969">
        <v>1337.0998535000001</v>
      </c>
      <c r="K969">
        <v>0</v>
      </c>
      <c r="L969">
        <v>2750</v>
      </c>
      <c r="M969">
        <v>2750</v>
      </c>
      <c r="N969">
        <v>0</v>
      </c>
    </row>
    <row r="970" spans="1:14" x14ac:dyDescent="0.25">
      <c r="A970">
        <v>257.23010599999998</v>
      </c>
      <c r="B970" s="1">
        <f>DATE(2011,1,13) + TIME(5,31,21)</f>
        <v>40556.230104166665</v>
      </c>
      <c r="C970">
        <v>80</v>
      </c>
      <c r="D970">
        <v>71.494621276999993</v>
      </c>
      <c r="E970">
        <v>60</v>
      </c>
      <c r="F970">
        <v>59.957546233999999</v>
      </c>
      <c r="G970">
        <v>1325.7867432</v>
      </c>
      <c r="H970">
        <v>1323.3992920000001</v>
      </c>
      <c r="I970">
        <v>1339.6066894999999</v>
      </c>
      <c r="J970">
        <v>1337.0980225000001</v>
      </c>
      <c r="K970">
        <v>0</v>
      </c>
      <c r="L970">
        <v>2750</v>
      </c>
      <c r="M970">
        <v>2750</v>
      </c>
      <c r="N970">
        <v>0</v>
      </c>
    </row>
    <row r="971" spans="1:14" x14ac:dyDescent="0.25">
      <c r="A971">
        <v>257.73330800000002</v>
      </c>
      <c r="B971" s="1">
        <f>DATE(2011,1,13) + TIME(17,35,57)</f>
        <v>40556.733298611114</v>
      </c>
      <c r="C971">
        <v>80</v>
      </c>
      <c r="D971">
        <v>71.429244995000005</v>
      </c>
      <c r="E971">
        <v>60</v>
      </c>
      <c r="F971">
        <v>59.957546233999999</v>
      </c>
      <c r="G971">
        <v>1325.7722168</v>
      </c>
      <c r="H971">
        <v>1323.3787841999999</v>
      </c>
      <c r="I971">
        <v>1339.6032714999999</v>
      </c>
      <c r="J971">
        <v>1337.0961914</v>
      </c>
      <c r="K971">
        <v>0</v>
      </c>
      <c r="L971">
        <v>2750</v>
      </c>
      <c r="M971">
        <v>2750</v>
      </c>
      <c r="N971">
        <v>0</v>
      </c>
    </row>
    <row r="972" spans="1:14" x14ac:dyDescent="0.25">
      <c r="A972">
        <v>258.23651000000001</v>
      </c>
      <c r="B972" s="1">
        <f>DATE(2011,1,14) + TIME(5,40,34)</f>
        <v>40557.236504629633</v>
      </c>
      <c r="C972">
        <v>80</v>
      </c>
      <c r="D972">
        <v>71.367309570000003</v>
      </c>
      <c r="E972">
        <v>60</v>
      </c>
      <c r="F972">
        <v>59.957553863999998</v>
      </c>
      <c r="G972">
        <v>1325.7583007999999</v>
      </c>
      <c r="H972">
        <v>1323.3596190999999</v>
      </c>
      <c r="I972">
        <v>1339.5998535000001</v>
      </c>
      <c r="J972">
        <v>1337.0943603999999</v>
      </c>
      <c r="K972">
        <v>0</v>
      </c>
      <c r="L972">
        <v>2750</v>
      </c>
      <c r="M972">
        <v>2750</v>
      </c>
      <c r="N972">
        <v>0</v>
      </c>
    </row>
    <row r="973" spans="1:14" x14ac:dyDescent="0.25">
      <c r="A973">
        <v>258.739712</v>
      </c>
      <c r="B973" s="1">
        <f>DATE(2011,1,14) + TIME(17,45,11)</f>
        <v>40557.739710648151</v>
      </c>
      <c r="C973">
        <v>80</v>
      </c>
      <c r="D973">
        <v>71.307037354000002</v>
      </c>
      <c r="E973">
        <v>60</v>
      </c>
      <c r="F973">
        <v>59.957557678000001</v>
      </c>
      <c r="G973">
        <v>1325.7448730000001</v>
      </c>
      <c r="H973">
        <v>1323.3411865</v>
      </c>
      <c r="I973">
        <v>1339.5964355000001</v>
      </c>
      <c r="J973">
        <v>1337.0925293</v>
      </c>
      <c r="K973">
        <v>0</v>
      </c>
      <c r="L973">
        <v>2750</v>
      </c>
      <c r="M973">
        <v>2750</v>
      </c>
      <c r="N973">
        <v>0</v>
      </c>
    </row>
    <row r="974" spans="1:14" x14ac:dyDescent="0.25">
      <c r="A974">
        <v>259.24291499999998</v>
      </c>
      <c r="B974" s="1">
        <f>DATE(2011,1,15) + TIME(5,49,47)</f>
        <v>40558.242905092593</v>
      </c>
      <c r="C974">
        <v>80</v>
      </c>
      <c r="D974">
        <v>71.247535705999994</v>
      </c>
      <c r="E974">
        <v>60</v>
      </c>
      <c r="F974">
        <v>59.957565308</v>
      </c>
      <c r="G974">
        <v>1325.7316894999999</v>
      </c>
      <c r="H974">
        <v>1323.3231201000001</v>
      </c>
      <c r="I974">
        <v>1339.5931396000001</v>
      </c>
      <c r="J974">
        <v>1337.0906981999999</v>
      </c>
      <c r="K974">
        <v>0</v>
      </c>
      <c r="L974">
        <v>2750</v>
      </c>
      <c r="M974">
        <v>2750</v>
      </c>
      <c r="N974">
        <v>0</v>
      </c>
    </row>
    <row r="975" spans="1:14" x14ac:dyDescent="0.25">
      <c r="A975">
        <v>259.74611700000003</v>
      </c>
      <c r="B975" s="1">
        <f>DATE(2011,1,15) + TIME(17,54,24)</f>
        <v>40558.746111111112</v>
      </c>
      <c r="C975">
        <v>80</v>
      </c>
      <c r="D975">
        <v>71.188392639</v>
      </c>
      <c r="E975">
        <v>60</v>
      </c>
      <c r="F975">
        <v>59.957572937000002</v>
      </c>
      <c r="G975">
        <v>1325.7185059000001</v>
      </c>
      <c r="H975">
        <v>1323.3052978999999</v>
      </c>
      <c r="I975">
        <v>1339.5897216999999</v>
      </c>
      <c r="J975">
        <v>1337.0888672000001</v>
      </c>
      <c r="K975">
        <v>0</v>
      </c>
      <c r="L975">
        <v>2750</v>
      </c>
      <c r="M975">
        <v>2750</v>
      </c>
      <c r="N975">
        <v>0</v>
      </c>
    </row>
    <row r="976" spans="1:14" x14ac:dyDescent="0.25">
      <c r="A976">
        <v>260.24931900000001</v>
      </c>
      <c r="B976" s="1">
        <f>DATE(2011,1,16) + TIME(5,59,1)</f>
        <v>40559.24931712963</v>
      </c>
      <c r="C976">
        <v>80</v>
      </c>
      <c r="D976">
        <v>71.129379271999994</v>
      </c>
      <c r="E976">
        <v>60</v>
      </c>
      <c r="F976">
        <v>59.957580565999997</v>
      </c>
      <c r="G976">
        <v>1325.7055664</v>
      </c>
      <c r="H976">
        <v>1323.2877197</v>
      </c>
      <c r="I976">
        <v>1339.5864257999999</v>
      </c>
      <c r="J976">
        <v>1337.0870361</v>
      </c>
      <c r="K976">
        <v>0</v>
      </c>
      <c r="L976">
        <v>2750</v>
      </c>
      <c r="M976">
        <v>2750</v>
      </c>
      <c r="N976">
        <v>0</v>
      </c>
    </row>
    <row r="977" spans="1:14" x14ac:dyDescent="0.25">
      <c r="A977">
        <v>261.25572299999999</v>
      </c>
      <c r="B977" s="1">
        <f>DATE(2011,1,17) + TIME(6,8,14)</f>
        <v>40560.25571759259</v>
      </c>
      <c r="C977">
        <v>80</v>
      </c>
      <c r="D977">
        <v>71.051376343000001</v>
      </c>
      <c r="E977">
        <v>60</v>
      </c>
      <c r="F977">
        <v>59.957611084</v>
      </c>
      <c r="G977">
        <v>1325.6922606999999</v>
      </c>
      <c r="H977">
        <v>1323.2687988</v>
      </c>
      <c r="I977">
        <v>1339.5832519999999</v>
      </c>
      <c r="J977">
        <v>1337.0853271000001</v>
      </c>
      <c r="K977">
        <v>0</v>
      </c>
      <c r="L977">
        <v>2750</v>
      </c>
      <c r="M977">
        <v>2750</v>
      </c>
      <c r="N977">
        <v>0</v>
      </c>
    </row>
    <row r="978" spans="1:14" x14ac:dyDescent="0.25">
      <c r="A978">
        <v>262.26790199999999</v>
      </c>
      <c r="B978" s="1">
        <f>DATE(2011,1,18) + TIME(6,25,46)</f>
        <v>40561.267893518518</v>
      </c>
      <c r="C978">
        <v>80</v>
      </c>
      <c r="D978">
        <v>70.946159363000007</v>
      </c>
      <c r="E978">
        <v>60</v>
      </c>
      <c r="F978">
        <v>59.957633971999996</v>
      </c>
      <c r="G978">
        <v>1325.6699219</v>
      </c>
      <c r="H978">
        <v>1323.2401123</v>
      </c>
      <c r="I978">
        <v>1339.5766602000001</v>
      </c>
      <c r="J978">
        <v>1337.0817870999999</v>
      </c>
      <c r="K978">
        <v>0</v>
      </c>
      <c r="L978">
        <v>2750</v>
      </c>
      <c r="M978">
        <v>2750</v>
      </c>
      <c r="N978">
        <v>0</v>
      </c>
    </row>
    <row r="979" spans="1:14" x14ac:dyDescent="0.25">
      <c r="A979">
        <v>263.303067</v>
      </c>
      <c r="B979" s="1">
        <f>DATE(2011,1,19) + TIME(7,16,24)</f>
        <v>40562.303055555552</v>
      </c>
      <c r="C979">
        <v>80</v>
      </c>
      <c r="D979">
        <v>70.830909728999998</v>
      </c>
      <c r="E979">
        <v>60</v>
      </c>
      <c r="F979">
        <v>59.957653045999997</v>
      </c>
      <c r="G979">
        <v>1325.6456298999999</v>
      </c>
      <c r="H979">
        <v>1323.2077637</v>
      </c>
      <c r="I979">
        <v>1339.5700684000001</v>
      </c>
      <c r="J979">
        <v>1337.0782471</v>
      </c>
      <c r="K979">
        <v>0</v>
      </c>
      <c r="L979">
        <v>2750</v>
      </c>
      <c r="M979">
        <v>2750</v>
      </c>
      <c r="N979">
        <v>0</v>
      </c>
    </row>
    <row r="980" spans="1:14" x14ac:dyDescent="0.25">
      <c r="A980">
        <v>264.36644899999999</v>
      </c>
      <c r="B980" s="1">
        <f>DATE(2011,1,20) + TIME(8,47,41)</f>
        <v>40563.366446759261</v>
      </c>
      <c r="C980">
        <v>80</v>
      </c>
      <c r="D980">
        <v>70.710235596000004</v>
      </c>
      <c r="E980">
        <v>60</v>
      </c>
      <c r="F980">
        <v>59.957672119000001</v>
      </c>
      <c r="G980">
        <v>1325.6204834</v>
      </c>
      <c r="H980">
        <v>1323.1738281</v>
      </c>
      <c r="I980">
        <v>1339.5634766000001</v>
      </c>
      <c r="J980">
        <v>1337.074707</v>
      </c>
      <c r="K980">
        <v>0</v>
      </c>
      <c r="L980">
        <v>2750</v>
      </c>
      <c r="M980">
        <v>2750</v>
      </c>
      <c r="N980">
        <v>0</v>
      </c>
    </row>
    <row r="981" spans="1:14" x14ac:dyDescent="0.25">
      <c r="A981">
        <v>264.91181799999998</v>
      </c>
      <c r="B981" s="1">
        <f>DATE(2011,1,20) + TIME(21,53,1)</f>
        <v>40563.911817129629</v>
      </c>
      <c r="C981">
        <v>80</v>
      </c>
      <c r="D981">
        <v>70.614517211999996</v>
      </c>
      <c r="E981">
        <v>60</v>
      </c>
      <c r="F981">
        <v>59.957668304000002</v>
      </c>
      <c r="G981">
        <v>1325.5953368999999</v>
      </c>
      <c r="H981">
        <v>1323.1409911999999</v>
      </c>
      <c r="I981">
        <v>1339.5567627</v>
      </c>
      <c r="J981">
        <v>1337.0709228999999</v>
      </c>
      <c r="K981">
        <v>0</v>
      </c>
      <c r="L981">
        <v>2750</v>
      </c>
      <c r="M981">
        <v>2750</v>
      </c>
      <c r="N981">
        <v>0</v>
      </c>
    </row>
    <row r="982" spans="1:14" x14ac:dyDescent="0.25">
      <c r="A982">
        <v>265.456391</v>
      </c>
      <c r="B982" s="1">
        <f>DATE(2011,1,21) + TIME(10,57,12)</f>
        <v>40564.456388888888</v>
      </c>
      <c r="C982">
        <v>80</v>
      </c>
      <c r="D982">
        <v>70.535591124999996</v>
      </c>
      <c r="E982">
        <v>60</v>
      </c>
      <c r="F982">
        <v>59.957672119000001</v>
      </c>
      <c r="G982">
        <v>1325.5798339999999</v>
      </c>
      <c r="H982">
        <v>1323.1184082</v>
      </c>
      <c r="I982">
        <v>1339.5533447</v>
      </c>
      <c r="J982">
        <v>1337.0690918</v>
      </c>
      <c r="K982">
        <v>0</v>
      </c>
      <c r="L982">
        <v>2750</v>
      </c>
      <c r="M982">
        <v>2750</v>
      </c>
      <c r="N982">
        <v>0</v>
      </c>
    </row>
    <row r="983" spans="1:14" x14ac:dyDescent="0.25">
      <c r="A983">
        <v>265.99953599999998</v>
      </c>
      <c r="B983" s="1">
        <f>DATE(2011,1,21) + TIME(23,59,19)</f>
        <v>40564.999525462961</v>
      </c>
      <c r="C983">
        <v>80</v>
      </c>
      <c r="D983">
        <v>70.464530945000007</v>
      </c>
      <c r="E983">
        <v>60</v>
      </c>
      <c r="F983">
        <v>59.957675934000001</v>
      </c>
      <c r="G983">
        <v>1325.5654297000001</v>
      </c>
      <c r="H983">
        <v>1323.0981445</v>
      </c>
      <c r="I983">
        <v>1339.5499268000001</v>
      </c>
      <c r="J983">
        <v>1337.0672606999999</v>
      </c>
      <c r="K983">
        <v>0</v>
      </c>
      <c r="L983">
        <v>2750</v>
      </c>
      <c r="M983">
        <v>2750</v>
      </c>
      <c r="N983">
        <v>0</v>
      </c>
    </row>
    <row r="984" spans="1:14" x14ac:dyDescent="0.25">
      <c r="A984">
        <v>266.54204700000003</v>
      </c>
      <c r="B984" s="1">
        <f>DATE(2011,1,22) + TIME(13,0,32)</f>
        <v>40565.542037037034</v>
      </c>
      <c r="C984">
        <v>80</v>
      </c>
      <c r="D984">
        <v>70.397140503000003</v>
      </c>
      <c r="E984">
        <v>60</v>
      </c>
      <c r="F984">
        <v>59.957683563000003</v>
      </c>
      <c r="G984">
        <v>1325.5517577999999</v>
      </c>
      <c r="H984">
        <v>1323.0792236</v>
      </c>
      <c r="I984">
        <v>1339.5466309000001</v>
      </c>
      <c r="J984">
        <v>1337.0653076000001</v>
      </c>
      <c r="K984">
        <v>0</v>
      </c>
      <c r="L984">
        <v>2750</v>
      </c>
      <c r="M984">
        <v>2750</v>
      </c>
      <c r="N984">
        <v>0</v>
      </c>
    </row>
    <row r="985" spans="1:14" x14ac:dyDescent="0.25">
      <c r="A985">
        <v>267.08455900000001</v>
      </c>
      <c r="B985" s="1">
        <f>DATE(2011,1,23) + TIME(2,1,45)</f>
        <v>40566.084548611114</v>
      </c>
      <c r="C985">
        <v>80</v>
      </c>
      <c r="D985">
        <v>70.331420898000005</v>
      </c>
      <c r="E985">
        <v>60</v>
      </c>
      <c r="F985">
        <v>59.957695006999998</v>
      </c>
      <c r="G985">
        <v>1325.5384521000001</v>
      </c>
      <c r="H985">
        <v>1323.0609131000001</v>
      </c>
      <c r="I985">
        <v>1339.5433350000001</v>
      </c>
      <c r="J985">
        <v>1337.0634766000001</v>
      </c>
      <c r="K985">
        <v>0</v>
      </c>
      <c r="L985">
        <v>2750</v>
      </c>
      <c r="M985">
        <v>2750</v>
      </c>
      <c r="N985">
        <v>0</v>
      </c>
    </row>
    <row r="986" spans="1:14" x14ac:dyDescent="0.25">
      <c r="A986">
        <v>267.62707</v>
      </c>
      <c r="B986" s="1">
        <f>DATE(2011,1,23) + TIME(15,2,58)</f>
        <v>40566.627060185187</v>
      </c>
      <c r="C986">
        <v>80</v>
      </c>
      <c r="D986">
        <v>70.266456603999998</v>
      </c>
      <c r="E986">
        <v>60</v>
      </c>
      <c r="F986">
        <v>59.957702636999997</v>
      </c>
      <c r="G986">
        <v>1325.5252685999999</v>
      </c>
      <c r="H986">
        <v>1323.0429687999999</v>
      </c>
      <c r="I986">
        <v>1339.5400391000001</v>
      </c>
      <c r="J986">
        <v>1337.0617675999999</v>
      </c>
      <c r="K986">
        <v>0</v>
      </c>
      <c r="L986">
        <v>2750</v>
      </c>
      <c r="M986">
        <v>2750</v>
      </c>
      <c r="N986">
        <v>0</v>
      </c>
    </row>
    <row r="987" spans="1:14" x14ac:dyDescent="0.25">
      <c r="A987">
        <v>268.16958099999999</v>
      </c>
      <c r="B987" s="1">
        <f>DATE(2011,1,24) + TIME(4,4,11)</f>
        <v>40567.169571759259</v>
      </c>
      <c r="C987">
        <v>80</v>
      </c>
      <c r="D987">
        <v>70.201797485</v>
      </c>
      <c r="E987">
        <v>60</v>
      </c>
      <c r="F987">
        <v>59.957714080999999</v>
      </c>
      <c r="G987">
        <v>1325.5123291</v>
      </c>
      <c r="H987">
        <v>1323.0253906</v>
      </c>
      <c r="I987">
        <v>1339.5367432</v>
      </c>
      <c r="J987">
        <v>1337.0599365</v>
      </c>
      <c r="K987">
        <v>0</v>
      </c>
      <c r="L987">
        <v>2750</v>
      </c>
      <c r="M987">
        <v>2750</v>
      </c>
      <c r="N987">
        <v>0</v>
      </c>
    </row>
    <row r="988" spans="1:14" x14ac:dyDescent="0.25">
      <c r="A988">
        <v>268.71209199999998</v>
      </c>
      <c r="B988" s="1">
        <f>DATE(2011,1,24) + TIME(17,5,24)</f>
        <v>40567.712083333332</v>
      </c>
      <c r="C988">
        <v>80</v>
      </c>
      <c r="D988">
        <v>70.137260436999995</v>
      </c>
      <c r="E988">
        <v>60</v>
      </c>
      <c r="F988">
        <v>59.957725525000001</v>
      </c>
      <c r="G988">
        <v>1325.4995117000001</v>
      </c>
      <c r="H988">
        <v>1323.0078125</v>
      </c>
      <c r="I988">
        <v>1339.5334473</v>
      </c>
      <c r="J988">
        <v>1337.0581055</v>
      </c>
      <c r="K988">
        <v>0</v>
      </c>
      <c r="L988">
        <v>2750</v>
      </c>
      <c r="M988">
        <v>2750</v>
      </c>
      <c r="N988">
        <v>0</v>
      </c>
    </row>
    <row r="989" spans="1:14" x14ac:dyDescent="0.25">
      <c r="A989">
        <v>269.25460399999997</v>
      </c>
      <c r="B989" s="1">
        <f>DATE(2011,1,25) + TIME(6,6,37)</f>
        <v>40568.254594907405</v>
      </c>
      <c r="C989">
        <v>80</v>
      </c>
      <c r="D989">
        <v>70.072738646999994</v>
      </c>
      <c r="E989">
        <v>60</v>
      </c>
      <c r="F989">
        <v>59.957733154000003</v>
      </c>
      <c r="G989">
        <v>1325.4866943</v>
      </c>
      <c r="H989">
        <v>1322.9904785000001</v>
      </c>
      <c r="I989">
        <v>1339.5302733999999</v>
      </c>
      <c r="J989">
        <v>1337.0562743999999</v>
      </c>
      <c r="K989">
        <v>0</v>
      </c>
      <c r="L989">
        <v>2750</v>
      </c>
      <c r="M989">
        <v>2750</v>
      </c>
      <c r="N989">
        <v>0</v>
      </c>
    </row>
    <row r="990" spans="1:14" x14ac:dyDescent="0.25">
      <c r="A990">
        <v>269.79711500000002</v>
      </c>
      <c r="B990" s="1">
        <f>DATE(2011,1,25) + TIME(19,7,50)</f>
        <v>40568.797106481485</v>
      </c>
      <c r="C990">
        <v>80</v>
      </c>
      <c r="D990">
        <v>70.008193969999994</v>
      </c>
      <c r="E990">
        <v>60</v>
      </c>
      <c r="F990">
        <v>59.957744597999998</v>
      </c>
      <c r="G990">
        <v>1325.4741211</v>
      </c>
      <c r="H990">
        <v>1322.9732666</v>
      </c>
      <c r="I990">
        <v>1339.5269774999999</v>
      </c>
      <c r="J990">
        <v>1337.0545654</v>
      </c>
      <c r="K990">
        <v>0</v>
      </c>
      <c r="L990">
        <v>2750</v>
      </c>
      <c r="M990">
        <v>2750</v>
      </c>
      <c r="N990">
        <v>0</v>
      </c>
    </row>
    <row r="991" spans="1:14" x14ac:dyDescent="0.25">
      <c r="A991">
        <v>270.882137</v>
      </c>
      <c r="B991" s="1">
        <f>DATE(2011,1,26) + TIME(21,10,16)</f>
        <v>40569.88212962963</v>
      </c>
      <c r="C991">
        <v>80</v>
      </c>
      <c r="D991">
        <v>69.923980713000006</v>
      </c>
      <c r="E991">
        <v>60</v>
      </c>
      <c r="F991">
        <v>59.957782745000003</v>
      </c>
      <c r="G991">
        <v>1325.4611815999999</v>
      </c>
      <c r="H991">
        <v>1322.9548339999999</v>
      </c>
      <c r="I991">
        <v>1339.5239257999999</v>
      </c>
      <c r="J991">
        <v>1337.0527344</v>
      </c>
      <c r="K991">
        <v>0</v>
      </c>
      <c r="L991">
        <v>2750</v>
      </c>
      <c r="M991">
        <v>2750</v>
      </c>
      <c r="N991">
        <v>0</v>
      </c>
    </row>
    <row r="992" spans="1:14" x14ac:dyDescent="0.25">
      <c r="A992">
        <v>271.97404999999998</v>
      </c>
      <c r="B992" s="1">
        <f>DATE(2011,1,27) + TIME(23,22,37)</f>
        <v>40570.974039351851</v>
      </c>
      <c r="C992">
        <v>80</v>
      </c>
      <c r="D992">
        <v>69.808029175000001</v>
      </c>
      <c r="E992">
        <v>60</v>
      </c>
      <c r="F992">
        <v>59.957809447999999</v>
      </c>
      <c r="G992">
        <v>1325.4392089999999</v>
      </c>
      <c r="H992">
        <v>1322.9266356999999</v>
      </c>
      <c r="I992">
        <v>1339.5175781</v>
      </c>
      <c r="J992">
        <v>1337.0493164</v>
      </c>
      <c r="K992">
        <v>0</v>
      </c>
      <c r="L992">
        <v>2750</v>
      </c>
      <c r="M992">
        <v>2750</v>
      </c>
      <c r="N992">
        <v>0</v>
      </c>
    </row>
    <row r="993" spans="1:14" x14ac:dyDescent="0.25">
      <c r="A993">
        <v>273.09267899999998</v>
      </c>
      <c r="B993" s="1">
        <f>DATE(2011,1,29) + TIME(2,13,27)</f>
        <v>40572.092673611114</v>
      </c>
      <c r="C993">
        <v>80</v>
      </c>
      <c r="D993">
        <v>69.681030273000005</v>
      </c>
      <c r="E993">
        <v>60</v>
      </c>
      <c r="F993">
        <v>59.957836151000002</v>
      </c>
      <c r="G993">
        <v>1325.4152832</v>
      </c>
      <c r="H993">
        <v>1322.8947754000001</v>
      </c>
      <c r="I993">
        <v>1339.5112305</v>
      </c>
      <c r="J993">
        <v>1337.0457764</v>
      </c>
      <c r="K993">
        <v>0</v>
      </c>
      <c r="L993">
        <v>2750</v>
      </c>
      <c r="M993">
        <v>2750</v>
      </c>
      <c r="N993">
        <v>0</v>
      </c>
    </row>
    <row r="994" spans="1:14" x14ac:dyDescent="0.25">
      <c r="A994">
        <v>274.24383</v>
      </c>
      <c r="B994" s="1">
        <f>DATE(2011,1,30) + TIME(5,51,6)</f>
        <v>40573.243819444448</v>
      </c>
      <c r="C994">
        <v>80</v>
      </c>
      <c r="D994">
        <v>69.548080443999993</v>
      </c>
      <c r="E994">
        <v>60</v>
      </c>
      <c r="F994">
        <v>59.957862853999998</v>
      </c>
      <c r="G994">
        <v>1325.390625</v>
      </c>
      <c r="H994">
        <v>1322.8613281</v>
      </c>
      <c r="I994">
        <v>1339.5047606999999</v>
      </c>
      <c r="J994">
        <v>1337.0421143000001</v>
      </c>
      <c r="K994">
        <v>0</v>
      </c>
      <c r="L994">
        <v>2750</v>
      </c>
      <c r="M994">
        <v>2750</v>
      </c>
      <c r="N994">
        <v>0</v>
      </c>
    </row>
    <row r="995" spans="1:14" x14ac:dyDescent="0.25">
      <c r="A995">
        <v>274.83197999999999</v>
      </c>
      <c r="B995" s="1">
        <f>DATE(2011,1,30) + TIME(19,58,3)</f>
        <v>40573.831979166665</v>
      </c>
      <c r="C995">
        <v>80</v>
      </c>
      <c r="D995">
        <v>69.441108704000001</v>
      </c>
      <c r="E995">
        <v>60</v>
      </c>
      <c r="F995">
        <v>59.957862853999998</v>
      </c>
      <c r="G995">
        <v>1325.3657227000001</v>
      </c>
      <c r="H995">
        <v>1322.8287353999999</v>
      </c>
      <c r="I995">
        <v>1339.4981689000001</v>
      </c>
      <c r="J995">
        <v>1337.0384521000001</v>
      </c>
      <c r="K995">
        <v>0</v>
      </c>
      <c r="L995">
        <v>2750</v>
      </c>
      <c r="M995">
        <v>2750</v>
      </c>
      <c r="N995">
        <v>0</v>
      </c>
    </row>
    <row r="996" spans="1:14" x14ac:dyDescent="0.25">
      <c r="A996">
        <v>275.41599000000002</v>
      </c>
      <c r="B996" s="1">
        <f>DATE(2011,1,31) + TIME(9,59,1)</f>
        <v>40574.415983796294</v>
      </c>
      <c r="C996">
        <v>80</v>
      </c>
      <c r="D996">
        <v>69.354591369999994</v>
      </c>
      <c r="E996">
        <v>60</v>
      </c>
      <c r="F996">
        <v>59.957870483000001</v>
      </c>
      <c r="G996">
        <v>1325.3503418</v>
      </c>
      <c r="H996">
        <v>1322.8063964999999</v>
      </c>
      <c r="I996">
        <v>1339.4948730000001</v>
      </c>
      <c r="J996">
        <v>1337.0366211</v>
      </c>
      <c r="K996">
        <v>0</v>
      </c>
      <c r="L996">
        <v>2750</v>
      </c>
      <c r="M996">
        <v>2750</v>
      </c>
      <c r="N996">
        <v>0</v>
      </c>
    </row>
    <row r="997" spans="1:14" x14ac:dyDescent="0.25">
      <c r="A997">
        <v>276</v>
      </c>
      <c r="B997" s="1">
        <f>DATE(2011,2,1) + TIME(0,0,0)</f>
        <v>40575</v>
      </c>
      <c r="C997">
        <v>80</v>
      </c>
      <c r="D997">
        <v>69.277084350999999</v>
      </c>
      <c r="E997">
        <v>60</v>
      </c>
      <c r="F997">
        <v>59.957878113</v>
      </c>
      <c r="G997">
        <v>1325.3364257999999</v>
      </c>
      <c r="H997">
        <v>1322.7866211</v>
      </c>
      <c r="I997">
        <v>1339.4915771000001</v>
      </c>
      <c r="J997">
        <v>1337.0347899999999</v>
      </c>
      <c r="K997">
        <v>0</v>
      </c>
      <c r="L997">
        <v>2750</v>
      </c>
      <c r="M997">
        <v>2750</v>
      </c>
      <c r="N997">
        <v>0</v>
      </c>
    </row>
    <row r="998" spans="1:14" x14ac:dyDescent="0.25">
      <c r="A998">
        <v>276.58400999999998</v>
      </c>
      <c r="B998" s="1">
        <f>DATE(2011,2,1) + TIME(14,0,58)</f>
        <v>40575.584004629629</v>
      </c>
      <c r="C998">
        <v>80</v>
      </c>
      <c r="D998">
        <v>69.203536987000007</v>
      </c>
      <c r="E998">
        <v>60</v>
      </c>
      <c r="F998">
        <v>59.957889557000001</v>
      </c>
      <c r="G998">
        <v>1325.3229980000001</v>
      </c>
      <c r="H998">
        <v>1322.7680664</v>
      </c>
      <c r="I998">
        <v>1339.4884033000001</v>
      </c>
      <c r="J998">
        <v>1337.0329589999999</v>
      </c>
      <c r="K998">
        <v>0</v>
      </c>
      <c r="L998">
        <v>2750</v>
      </c>
      <c r="M998">
        <v>2750</v>
      </c>
      <c r="N998">
        <v>0</v>
      </c>
    </row>
    <row r="999" spans="1:14" x14ac:dyDescent="0.25">
      <c r="A999">
        <v>277.16802000000001</v>
      </c>
      <c r="B999" s="1">
        <f>DATE(2011,2,2) + TIME(4,1,56)</f>
        <v>40576.168009259258</v>
      </c>
      <c r="C999">
        <v>80</v>
      </c>
      <c r="D999">
        <v>69.131706238000007</v>
      </c>
      <c r="E999">
        <v>60</v>
      </c>
      <c r="F999">
        <v>59.957901001000003</v>
      </c>
      <c r="G999">
        <v>1325.3100586</v>
      </c>
      <c r="H999">
        <v>1322.7501221</v>
      </c>
      <c r="I999">
        <v>1339.4851074000001</v>
      </c>
      <c r="J999">
        <v>1337.0311279</v>
      </c>
      <c r="K999">
        <v>0</v>
      </c>
      <c r="L999">
        <v>2750</v>
      </c>
      <c r="M999">
        <v>2750</v>
      </c>
      <c r="N999">
        <v>0</v>
      </c>
    </row>
    <row r="1000" spans="1:14" x14ac:dyDescent="0.25">
      <c r="A1000">
        <v>277.75202999999999</v>
      </c>
      <c r="B1000" s="1">
        <f>DATE(2011,2,2) + TIME(18,2,55)</f>
        <v>40576.752025462964</v>
      </c>
      <c r="C1000">
        <v>80</v>
      </c>
      <c r="D1000">
        <v>69.060600281000006</v>
      </c>
      <c r="E1000">
        <v>60</v>
      </c>
      <c r="F1000">
        <v>59.957916259999998</v>
      </c>
      <c r="G1000">
        <v>1325.2972411999999</v>
      </c>
      <c r="H1000">
        <v>1322.7325439000001</v>
      </c>
      <c r="I1000">
        <v>1339.4819336</v>
      </c>
      <c r="J1000">
        <v>1337.0292969</v>
      </c>
      <c r="K1000">
        <v>0</v>
      </c>
      <c r="L1000">
        <v>2750</v>
      </c>
      <c r="M1000">
        <v>2750</v>
      </c>
      <c r="N1000">
        <v>0</v>
      </c>
    </row>
    <row r="1001" spans="1:14" x14ac:dyDescent="0.25">
      <c r="A1001">
        <v>278.33604000000003</v>
      </c>
      <c r="B1001" s="1">
        <f>DATE(2011,2,3) + TIME(8,3,53)</f>
        <v>40577.336030092592</v>
      </c>
      <c r="C1001">
        <v>80</v>
      </c>
      <c r="D1001">
        <v>68.989768982000001</v>
      </c>
      <c r="E1001">
        <v>60</v>
      </c>
      <c r="F1001">
        <v>59.957927703999999</v>
      </c>
      <c r="G1001">
        <v>1325.2845459</v>
      </c>
      <c r="H1001">
        <v>1322.715332</v>
      </c>
      <c r="I1001">
        <v>1339.4787598</v>
      </c>
      <c r="J1001">
        <v>1337.0274658000001</v>
      </c>
      <c r="K1001">
        <v>0</v>
      </c>
      <c r="L1001">
        <v>2750</v>
      </c>
      <c r="M1001">
        <v>2750</v>
      </c>
      <c r="N1001">
        <v>0</v>
      </c>
    </row>
    <row r="1002" spans="1:14" x14ac:dyDescent="0.25">
      <c r="A1002">
        <v>279.50405999999998</v>
      </c>
      <c r="B1002" s="1">
        <f>DATE(2011,2,4) + TIME(12,5,50)</f>
        <v>40578.504050925927</v>
      </c>
      <c r="C1002">
        <v>80</v>
      </c>
      <c r="D1002">
        <v>68.898887634000005</v>
      </c>
      <c r="E1002">
        <v>60</v>
      </c>
      <c r="F1002">
        <v>59.95797348</v>
      </c>
      <c r="G1002">
        <v>1325.2717285000001</v>
      </c>
      <c r="H1002">
        <v>1322.6968993999999</v>
      </c>
      <c r="I1002">
        <v>1339.4757079999999</v>
      </c>
      <c r="J1002">
        <v>1337.0257568</v>
      </c>
      <c r="K1002">
        <v>0</v>
      </c>
      <c r="L1002">
        <v>2750</v>
      </c>
      <c r="M1002">
        <v>2750</v>
      </c>
      <c r="N1002">
        <v>0</v>
      </c>
    </row>
    <row r="1003" spans="1:14" x14ac:dyDescent="0.25">
      <c r="A1003">
        <v>280.67267399999997</v>
      </c>
      <c r="B1003" s="1">
        <f>DATE(2011,2,5) + TIME(16,8,39)</f>
        <v>40579.672673611109</v>
      </c>
      <c r="C1003">
        <v>80</v>
      </c>
      <c r="D1003">
        <v>68.771881104000002</v>
      </c>
      <c r="E1003">
        <v>60</v>
      </c>
      <c r="F1003">
        <v>59.958003998000002</v>
      </c>
      <c r="G1003">
        <v>1325.2498779</v>
      </c>
      <c r="H1003">
        <v>1322.6688231999999</v>
      </c>
      <c r="I1003">
        <v>1339.4693603999999</v>
      </c>
      <c r="J1003">
        <v>1337.0220947</v>
      </c>
      <c r="K1003">
        <v>0</v>
      </c>
      <c r="L1003">
        <v>2750</v>
      </c>
      <c r="M1003">
        <v>2750</v>
      </c>
      <c r="N1003">
        <v>0</v>
      </c>
    </row>
    <row r="1004" spans="1:14" x14ac:dyDescent="0.25">
      <c r="A1004">
        <v>281.86433899999997</v>
      </c>
      <c r="B1004" s="1">
        <f>DATE(2011,2,6) + TIME(20,44,38)</f>
        <v>40580.864328703705</v>
      </c>
      <c r="C1004">
        <v>80</v>
      </c>
      <c r="D1004">
        <v>68.633621215999995</v>
      </c>
      <c r="E1004">
        <v>60</v>
      </c>
      <c r="F1004">
        <v>59.958034515000001</v>
      </c>
      <c r="G1004">
        <v>1325.2263184000001</v>
      </c>
      <c r="H1004">
        <v>1322.6370850000001</v>
      </c>
      <c r="I1004">
        <v>1339.4631348</v>
      </c>
      <c r="J1004">
        <v>1337.0185547000001</v>
      </c>
      <c r="K1004">
        <v>0</v>
      </c>
      <c r="L1004">
        <v>2750</v>
      </c>
      <c r="M1004">
        <v>2750</v>
      </c>
      <c r="N1004">
        <v>0</v>
      </c>
    </row>
    <row r="1005" spans="1:14" x14ac:dyDescent="0.25">
      <c r="A1005">
        <v>283.085329</v>
      </c>
      <c r="B1005" s="1">
        <f>DATE(2011,2,8) + TIME(2,2,52)</f>
        <v>40582.085324074076</v>
      </c>
      <c r="C1005">
        <v>80</v>
      </c>
      <c r="D1005">
        <v>68.489715575999995</v>
      </c>
      <c r="E1005">
        <v>60</v>
      </c>
      <c r="F1005">
        <v>59.958065032999997</v>
      </c>
      <c r="G1005">
        <v>1325.2019043</v>
      </c>
      <c r="H1005">
        <v>1322.6040039</v>
      </c>
      <c r="I1005">
        <v>1339.4567870999999</v>
      </c>
      <c r="J1005">
        <v>1337.0150146000001</v>
      </c>
      <c r="K1005">
        <v>0</v>
      </c>
      <c r="L1005">
        <v>2750</v>
      </c>
      <c r="M1005">
        <v>2750</v>
      </c>
      <c r="N1005">
        <v>0</v>
      </c>
    </row>
    <row r="1006" spans="1:14" x14ac:dyDescent="0.25">
      <c r="A1006">
        <v>284.33447899999999</v>
      </c>
      <c r="B1006" s="1">
        <f>DATE(2011,2,9) + TIME(8,1,38)</f>
        <v>40583.334467592591</v>
      </c>
      <c r="C1006">
        <v>80</v>
      </c>
      <c r="D1006">
        <v>68.341468810999999</v>
      </c>
      <c r="E1006">
        <v>60</v>
      </c>
      <c r="F1006">
        <v>59.958099365000002</v>
      </c>
      <c r="G1006">
        <v>1325.177124</v>
      </c>
      <c r="H1006">
        <v>1322.5701904</v>
      </c>
      <c r="I1006">
        <v>1339.4504394999999</v>
      </c>
      <c r="J1006">
        <v>1337.0113524999999</v>
      </c>
      <c r="K1006">
        <v>0</v>
      </c>
      <c r="L1006">
        <v>2750</v>
      </c>
      <c r="M1006">
        <v>2750</v>
      </c>
      <c r="N1006">
        <v>0</v>
      </c>
    </row>
    <row r="1007" spans="1:14" x14ac:dyDescent="0.25">
      <c r="A1007">
        <v>284.96220699999998</v>
      </c>
      <c r="B1007" s="1">
        <f>DATE(2011,2,9) + TIME(23,5,34)</f>
        <v>40583.962199074071</v>
      </c>
      <c r="C1007">
        <v>80</v>
      </c>
      <c r="D1007">
        <v>68.222076415999993</v>
      </c>
      <c r="E1007">
        <v>60</v>
      </c>
      <c r="F1007">
        <v>59.958103180000002</v>
      </c>
      <c r="G1007">
        <v>1325.1522216999999</v>
      </c>
      <c r="H1007">
        <v>1322.5375977000001</v>
      </c>
      <c r="I1007">
        <v>1339.4439697</v>
      </c>
      <c r="J1007">
        <v>1337.0075684000001</v>
      </c>
      <c r="K1007">
        <v>0</v>
      </c>
      <c r="L1007">
        <v>2750</v>
      </c>
      <c r="M1007">
        <v>2750</v>
      </c>
      <c r="N1007">
        <v>0</v>
      </c>
    </row>
    <row r="1008" spans="1:14" x14ac:dyDescent="0.25">
      <c r="A1008">
        <v>285.58689299999998</v>
      </c>
      <c r="B1008" s="1">
        <f>DATE(2011,2,10) + TIME(14,5,7)</f>
        <v>40584.586886574078</v>
      </c>
      <c r="C1008">
        <v>80</v>
      </c>
      <c r="D1008">
        <v>68.127387999999996</v>
      </c>
      <c r="E1008">
        <v>60</v>
      </c>
      <c r="F1008">
        <v>59.958110808999997</v>
      </c>
      <c r="G1008">
        <v>1325.1373291</v>
      </c>
      <c r="H1008">
        <v>1322.5155029</v>
      </c>
      <c r="I1008">
        <v>1339.4407959</v>
      </c>
      <c r="J1008">
        <v>1337.0057373</v>
      </c>
      <c r="K1008">
        <v>0</v>
      </c>
      <c r="L1008">
        <v>2750</v>
      </c>
      <c r="M1008">
        <v>2750</v>
      </c>
      <c r="N1008">
        <v>0</v>
      </c>
    </row>
    <row r="1009" spans="1:14" x14ac:dyDescent="0.25">
      <c r="A1009">
        <v>286.21132599999999</v>
      </c>
      <c r="B1009" s="1">
        <f>DATE(2011,2,11) + TIME(5,4,18)</f>
        <v>40585.211319444446</v>
      </c>
      <c r="C1009">
        <v>80</v>
      </c>
      <c r="D1009">
        <v>68.043121338000006</v>
      </c>
      <c r="E1009">
        <v>60</v>
      </c>
      <c r="F1009">
        <v>59.958126067999999</v>
      </c>
      <c r="G1009">
        <v>1325.1236572</v>
      </c>
      <c r="H1009">
        <v>1322.4960937999999</v>
      </c>
      <c r="I1009">
        <v>1339.4376221</v>
      </c>
      <c r="J1009">
        <v>1337.0039062000001</v>
      </c>
      <c r="K1009">
        <v>0</v>
      </c>
      <c r="L1009">
        <v>2750</v>
      </c>
      <c r="M1009">
        <v>2750</v>
      </c>
      <c r="N1009">
        <v>0</v>
      </c>
    </row>
    <row r="1010" spans="1:14" x14ac:dyDescent="0.25">
      <c r="A1010">
        <v>286.835759</v>
      </c>
      <c r="B1010" s="1">
        <f>DATE(2011,2,11) + TIME(20,3,29)</f>
        <v>40585.835752314815</v>
      </c>
      <c r="C1010">
        <v>80</v>
      </c>
      <c r="D1010">
        <v>67.963218689000001</v>
      </c>
      <c r="E1010">
        <v>60</v>
      </c>
      <c r="F1010">
        <v>59.958141327</v>
      </c>
      <c r="G1010">
        <v>1325.1107178</v>
      </c>
      <c r="H1010">
        <v>1322.4780272999999</v>
      </c>
      <c r="I1010">
        <v>1339.4344481999999</v>
      </c>
      <c r="J1010">
        <v>1337.0020752</v>
      </c>
      <c r="K1010">
        <v>0</v>
      </c>
      <c r="L1010">
        <v>2750</v>
      </c>
      <c r="M1010">
        <v>2750</v>
      </c>
      <c r="N1010">
        <v>0</v>
      </c>
    </row>
    <row r="1011" spans="1:14" x14ac:dyDescent="0.25">
      <c r="A1011">
        <v>287.46019200000001</v>
      </c>
      <c r="B1011" s="1">
        <f>DATE(2011,2,12) + TIME(11,2,40)</f>
        <v>40586.460185185184</v>
      </c>
      <c r="C1011">
        <v>80</v>
      </c>
      <c r="D1011">
        <v>67.885108947999996</v>
      </c>
      <c r="E1011">
        <v>60</v>
      </c>
      <c r="F1011">
        <v>59.958156586000001</v>
      </c>
      <c r="G1011">
        <v>1325.0980225000001</v>
      </c>
      <c r="H1011">
        <v>1322.4604492000001</v>
      </c>
      <c r="I1011">
        <v>1339.4312743999999</v>
      </c>
      <c r="J1011">
        <v>1337.0002440999999</v>
      </c>
      <c r="K1011">
        <v>0</v>
      </c>
      <c r="L1011">
        <v>2750</v>
      </c>
      <c r="M1011">
        <v>2750</v>
      </c>
      <c r="N1011">
        <v>0</v>
      </c>
    </row>
    <row r="1012" spans="1:14" x14ac:dyDescent="0.25">
      <c r="A1012">
        <v>288.08462400000002</v>
      </c>
      <c r="B1012" s="1">
        <f>DATE(2011,2,13) + TIME(2,1,51)</f>
        <v>40587.084618055553</v>
      </c>
      <c r="C1012">
        <v>80</v>
      </c>
      <c r="D1012">
        <v>67.807708739999995</v>
      </c>
      <c r="E1012">
        <v>60</v>
      </c>
      <c r="F1012">
        <v>59.958171843999999</v>
      </c>
      <c r="G1012">
        <v>1325.0855713000001</v>
      </c>
      <c r="H1012">
        <v>1322.4433594</v>
      </c>
      <c r="I1012">
        <v>1339.4282227000001</v>
      </c>
      <c r="J1012">
        <v>1336.9984131000001</v>
      </c>
      <c r="K1012">
        <v>0</v>
      </c>
      <c r="L1012">
        <v>2750</v>
      </c>
      <c r="M1012">
        <v>2750</v>
      </c>
      <c r="N1012">
        <v>0</v>
      </c>
    </row>
    <row r="1013" spans="1:14" x14ac:dyDescent="0.25">
      <c r="A1013">
        <v>288.70905699999997</v>
      </c>
      <c r="B1013" s="1">
        <f>DATE(2011,2,13) + TIME(17,1,2)</f>
        <v>40587.709050925929</v>
      </c>
      <c r="C1013">
        <v>80</v>
      </c>
      <c r="D1013">
        <v>67.730560303000004</v>
      </c>
      <c r="E1013">
        <v>60</v>
      </c>
      <c r="F1013">
        <v>59.958187103</v>
      </c>
      <c r="G1013">
        <v>1325.0733643000001</v>
      </c>
      <c r="H1013">
        <v>1322.4265137</v>
      </c>
      <c r="I1013">
        <v>1339.4250488</v>
      </c>
      <c r="J1013">
        <v>1336.996582</v>
      </c>
      <c r="K1013">
        <v>0</v>
      </c>
      <c r="L1013">
        <v>2750</v>
      </c>
      <c r="M1013">
        <v>2750</v>
      </c>
      <c r="N1013">
        <v>0</v>
      </c>
    </row>
    <row r="1014" spans="1:14" x14ac:dyDescent="0.25">
      <c r="A1014">
        <v>289.95792299999999</v>
      </c>
      <c r="B1014" s="1">
        <f>DATE(2011,2,14) + TIME(22,59,24)</f>
        <v>40588.957916666666</v>
      </c>
      <c r="C1014">
        <v>80</v>
      </c>
      <c r="D1014">
        <v>67.632736206000004</v>
      </c>
      <c r="E1014">
        <v>60</v>
      </c>
      <c r="F1014">
        <v>59.958236694</v>
      </c>
      <c r="G1014">
        <v>1325.0609131000001</v>
      </c>
      <c r="H1014">
        <v>1322.4085693</v>
      </c>
      <c r="I1014">
        <v>1339.4221190999999</v>
      </c>
      <c r="J1014">
        <v>1336.9948730000001</v>
      </c>
      <c r="K1014">
        <v>0</v>
      </c>
      <c r="L1014">
        <v>2750</v>
      </c>
      <c r="M1014">
        <v>2750</v>
      </c>
      <c r="N1014">
        <v>0</v>
      </c>
    </row>
    <row r="1015" spans="1:14" x14ac:dyDescent="0.25">
      <c r="A1015">
        <v>291.20797199999998</v>
      </c>
      <c r="B1015" s="1">
        <f>DATE(2011,2,16) + TIME(4,59,28)</f>
        <v>40590.207962962966</v>
      </c>
      <c r="C1015">
        <v>80</v>
      </c>
      <c r="D1015">
        <v>67.493721007999994</v>
      </c>
      <c r="E1015">
        <v>60</v>
      </c>
      <c r="F1015">
        <v>59.958274840999998</v>
      </c>
      <c r="G1015">
        <v>1325.0396728999999</v>
      </c>
      <c r="H1015">
        <v>1322.3812256000001</v>
      </c>
      <c r="I1015">
        <v>1339.4158935999999</v>
      </c>
      <c r="J1015">
        <v>1336.9913329999999</v>
      </c>
      <c r="K1015">
        <v>0</v>
      </c>
      <c r="L1015">
        <v>2750</v>
      </c>
      <c r="M1015">
        <v>2750</v>
      </c>
      <c r="N1015">
        <v>0</v>
      </c>
    </row>
    <row r="1016" spans="1:14" x14ac:dyDescent="0.25">
      <c r="A1016">
        <v>292.48504500000001</v>
      </c>
      <c r="B1016" s="1">
        <f>DATE(2011,2,17) + TIME(11,38,27)</f>
        <v>40591.485034722224</v>
      </c>
      <c r="C1016">
        <v>80</v>
      </c>
      <c r="D1016">
        <v>67.342475891000007</v>
      </c>
      <c r="E1016">
        <v>60</v>
      </c>
      <c r="F1016">
        <v>59.958312988000003</v>
      </c>
      <c r="G1016">
        <v>1325.0167236</v>
      </c>
      <c r="H1016">
        <v>1322.3502197</v>
      </c>
      <c r="I1016">
        <v>1339.4097899999999</v>
      </c>
      <c r="J1016">
        <v>1336.987793</v>
      </c>
      <c r="K1016">
        <v>0</v>
      </c>
      <c r="L1016">
        <v>2750</v>
      </c>
      <c r="M1016">
        <v>2750</v>
      </c>
      <c r="N1016">
        <v>0</v>
      </c>
    </row>
    <row r="1017" spans="1:14" x14ac:dyDescent="0.25">
      <c r="A1017">
        <v>293.79586999999998</v>
      </c>
      <c r="B1017" s="1">
        <f>DATE(2011,2,18) + TIME(19,6,3)</f>
        <v>40592.795868055553</v>
      </c>
      <c r="C1017">
        <v>80</v>
      </c>
      <c r="D1017">
        <v>67.184989928999997</v>
      </c>
      <c r="E1017">
        <v>60</v>
      </c>
      <c r="F1017">
        <v>59.958347320999998</v>
      </c>
      <c r="G1017">
        <v>1324.9930420000001</v>
      </c>
      <c r="H1017">
        <v>1322.3178711</v>
      </c>
      <c r="I1017">
        <v>1339.4036865</v>
      </c>
      <c r="J1017">
        <v>1336.9841309000001</v>
      </c>
      <c r="K1017">
        <v>0</v>
      </c>
      <c r="L1017">
        <v>2750</v>
      </c>
      <c r="M1017">
        <v>2750</v>
      </c>
      <c r="N1017">
        <v>0</v>
      </c>
    </row>
    <row r="1018" spans="1:14" x14ac:dyDescent="0.25">
      <c r="A1018">
        <v>294.46689199999997</v>
      </c>
      <c r="B1018" s="1">
        <f>DATE(2011,2,19) + TIME(11,12,19)</f>
        <v>40593.466886574075</v>
      </c>
      <c r="C1018">
        <v>80</v>
      </c>
      <c r="D1018">
        <v>67.055435181000007</v>
      </c>
      <c r="E1018">
        <v>60</v>
      </c>
      <c r="F1018">
        <v>59.95835495</v>
      </c>
      <c r="G1018">
        <v>1324.9691161999999</v>
      </c>
      <c r="H1018">
        <v>1322.2863769999999</v>
      </c>
      <c r="I1018">
        <v>1339.3974608999999</v>
      </c>
      <c r="J1018">
        <v>1336.9804687999999</v>
      </c>
      <c r="K1018">
        <v>0</v>
      </c>
      <c r="L1018">
        <v>2750</v>
      </c>
      <c r="M1018">
        <v>2750</v>
      </c>
      <c r="N1018">
        <v>0</v>
      </c>
    </row>
    <row r="1019" spans="1:14" x14ac:dyDescent="0.25">
      <c r="A1019">
        <v>295.13791400000002</v>
      </c>
      <c r="B1019" s="1">
        <f>DATE(2011,2,20) + TIME(3,18,35)</f>
        <v>40594.13790509259</v>
      </c>
      <c r="C1019">
        <v>80</v>
      </c>
      <c r="D1019">
        <v>66.953155518000003</v>
      </c>
      <c r="E1019">
        <v>60</v>
      </c>
      <c r="F1019">
        <v>59.958370209000002</v>
      </c>
      <c r="G1019">
        <v>1324.9545897999999</v>
      </c>
      <c r="H1019">
        <v>1322.2646483999999</v>
      </c>
      <c r="I1019">
        <v>1339.3942870999999</v>
      </c>
      <c r="J1019">
        <v>1336.9785156</v>
      </c>
      <c r="K1019">
        <v>0</v>
      </c>
      <c r="L1019">
        <v>2750</v>
      </c>
      <c r="M1019">
        <v>2750</v>
      </c>
      <c r="N1019">
        <v>0</v>
      </c>
    </row>
    <row r="1020" spans="1:14" x14ac:dyDescent="0.25">
      <c r="A1020">
        <v>295.80893700000001</v>
      </c>
      <c r="B1020" s="1">
        <f>DATE(2011,2,20) + TIME(19,24,52)</f>
        <v>40594.808935185189</v>
      </c>
      <c r="C1020">
        <v>80</v>
      </c>
      <c r="D1020">
        <v>66.861839294000006</v>
      </c>
      <c r="E1020">
        <v>60</v>
      </c>
      <c r="F1020">
        <v>59.958385468000003</v>
      </c>
      <c r="G1020">
        <v>1324.9412841999999</v>
      </c>
      <c r="H1020">
        <v>1322.2456055</v>
      </c>
      <c r="I1020">
        <v>1339.3911132999999</v>
      </c>
      <c r="J1020">
        <v>1336.9766846</v>
      </c>
      <c r="K1020">
        <v>0</v>
      </c>
      <c r="L1020">
        <v>2750</v>
      </c>
      <c r="M1020">
        <v>2750</v>
      </c>
      <c r="N1020">
        <v>0</v>
      </c>
    </row>
    <row r="1021" spans="1:14" x14ac:dyDescent="0.25">
      <c r="A1021">
        <v>296.47988900000001</v>
      </c>
      <c r="B1021" s="1">
        <f>DATE(2011,2,21) + TIME(11,31,2)</f>
        <v>40595.479884259257</v>
      </c>
      <c r="C1021">
        <v>80</v>
      </c>
      <c r="D1021">
        <v>66.774879455999994</v>
      </c>
      <c r="E1021">
        <v>60</v>
      </c>
      <c r="F1021">
        <v>59.958404541</v>
      </c>
      <c r="G1021">
        <v>1324.9285889</v>
      </c>
      <c r="H1021">
        <v>1322.2279053</v>
      </c>
      <c r="I1021">
        <v>1339.3879394999999</v>
      </c>
      <c r="J1021">
        <v>1336.9748535000001</v>
      </c>
      <c r="K1021">
        <v>0</v>
      </c>
      <c r="L1021">
        <v>2750</v>
      </c>
      <c r="M1021">
        <v>2750</v>
      </c>
      <c r="N1021">
        <v>0</v>
      </c>
    </row>
    <row r="1022" spans="1:14" x14ac:dyDescent="0.25">
      <c r="A1022">
        <v>297.15052800000001</v>
      </c>
      <c r="B1022" s="1">
        <f>DATE(2011,2,22) + TIME(3,36,45)</f>
        <v>40596.150520833333</v>
      </c>
      <c r="C1022">
        <v>80</v>
      </c>
      <c r="D1022">
        <v>66.689636230000005</v>
      </c>
      <c r="E1022">
        <v>60</v>
      </c>
      <c r="F1022">
        <v>59.958423615000001</v>
      </c>
      <c r="G1022">
        <v>1324.9162598</v>
      </c>
      <c r="H1022">
        <v>1322.2106934000001</v>
      </c>
      <c r="I1022">
        <v>1339.3848877</v>
      </c>
      <c r="J1022">
        <v>1336.9730225000001</v>
      </c>
      <c r="K1022">
        <v>0</v>
      </c>
      <c r="L1022">
        <v>2750</v>
      </c>
      <c r="M1022">
        <v>2750</v>
      </c>
      <c r="N1022">
        <v>0</v>
      </c>
    </row>
    <row r="1023" spans="1:14" x14ac:dyDescent="0.25">
      <c r="A1023">
        <v>297.821167</v>
      </c>
      <c r="B1023" s="1">
        <f>DATE(2011,2,22) + TIME(19,42,28)</f>
        <v>40596.821157407408</v>
      </c>
      <c r="C1023">
        <v>80</v>
      </c>
      <c r="D1023">
        <v>66.605026245000005</v>
      </c>
      <c r="E1023">
        <v>60</v>
      </c>
      <c r="F1023">
        <v>59.958442687999998</v>
      </c>
      <c r="G1023">
        <v>1324.9040527</v>
      </c>
      <c r="H1023">
        <v>1322.1938477000001</v>
      </c>
      <c r="I1023">
        <v>1339.3818358999999</v>
      </c>
      <c r="J1023">
        <v>1336.9711914</v>
      </c>
      <c r="K1023">
        <v>0</v>
      </c>
      <c r="L1023">
        <v>2750</v>
      </c>
      <c r="M1023">
        <v>2750</v>
      </c>
      <c r="N1023">
        <v>0</v>
      </c>
    </row>
    <row r="1024" spans="1:14" x14ac:dyDescent="0.25">
      <c r="A1024">
        <v>298.491806</v>
      </c>
      <c r="B1024" s="1">
        <f>DATE(2011,2,23) + TIME(11,48,12)</f>
        <v>40597.491805555554</v>
      </c>
      <c r="C1024">
        <v>80</v>
      </c>
      <c r="D1024">
        <v>66.520606994999994</v>
      </c>
      <c r="E1024">
        <v>60</v>
      </c>
      <c r="F1024">
        <v>59.958461761000002</v>
      </c>
      <c r="G1024">
        <v>1324.8919678</v>
      </c>
      <c r="H1024">
        <v>1322.177124</v>
      </c>
      <c r="I1024">
        <v>1339.3786620999999</v>
      </c>
      <c r="J1024">
        <v>1336.9692382999999</v>
      </c>
      <c r="K1024">
        <v>0</v>
      </c>
      <c r="L1024">
        <v>2750</v>
      </c>
      <c r="M1024">
        <v>2750</v>
      </c>
      <c r="N1024">
        <v>0</v>
      </c>
    </row>
    <row r="1025" spans="1:14" x14ac:dyDescent="0.25">
      <c r="A1025">
        <v>299.16244599999999</v>
      </c>
      <c r="B1025" s="1">
        <f>DATE(2011,2,24) + TIME(3,53,55)</f>
        <v>40598.162442129629</v>
      </c>
      <c r="C1025">
        <v>80</v>
      </c>
      <c r="D1025">
        <v>66.436195373999993</v>
      </c>
      <c r="E1025">
        <v>60</v>
      </c>
      <c r="F1025">
        <v>59.958480835000003</v>
      </c>
      <c r="G1025">
        <v>1324.8800048999999</v>
      </c>
      <c r="H1025">
        <v>1322.1606445</v>
      </c>
      <c r="I1025">
        <v>1339.3756103999999</v>
      </c>
      <c r="J1025">
        <v>1336.9674072</v>
      </c>
      <c r="K1025">
        <v>0</v>
      </c>
      <c r="L1025">
        <v>2750</v>
      </c>
      <c r="M1025">
        <v>2750</v>
      </c>
      <c r="N1025">
        <v>0</v>
      </c>
    </row>
    <row r="1026" spans="1:14" x14ac:dyDescent="0.25">
      <c r="A1026">
        <v>299.83308499999998</v>
      </c>
      <c r="B1026" s="1">
        <f>DATE(2011,2,24) + TIME(19,59,38)</f>
        <v>40598.833078703705</v>
      </c>
      <c r="C1026">
        <v>80</v>
      </c>
      <c r="D1026">
        <v>66.351722717000001</v>
      </c>
      <c r="E1026">
        <v>60</v>
      </c>
      <c r="F1026">
        <v>59.958499908</v>
      </c>
      <c r="G1026">
        <v>1324.8681641000001</v>
      </c>
      <c r="H1026">
        <v>1322.1442870999999</v>
      </c>
      <c r="I1026">
        <v>1339.3726807</v>
      </c>
      <c r="J1026">
        <v>1336.9655762</v>
      </c>
      <c r="K1026">
        <v>0</v>
      </c>
      <c r="L1026">
        <v>2750</v>
      </c>
      <c r="M1026">
        <v>2750</v>
      </c>
      <c r="N1026">
        <v>0</v>
      </c>
    </row>
    <row r="1027" spans="1:14" x14ac:dyDescent="0.25">
      <c r="A1027">
        <v>301.17436300000003</v>
      </c>
      <c r="B1027" s="1">
        <f>DATE(2011,2,26) + TIME(4,11,4)</f>
        <v>40600.174351851849</v>
      </c>
      <c r="C1027">
        <v>80</v>
      </c>
      <c r="D1027">
        <v>66.245742797999995</v>
      </c>
      <c r="E1027">
        <v>60</v>
      </c>
      <c r="F1027">
        <v>59.958553314</v>
      </c>
      <c r="G1027">
        <v>1324.8563231999999</v>
      </c>
      <c r="H1027">
        <v>1322.1269531</v>
      </c>
      <c r="I1027">
        <v>1339.3696289</v>
      </c>
      <c r="J1027">
        <v>1336.9638672000001</v>
      </c>
      <c r="K1027">
        <v>0</v>
      </c>
      <c r="L1027">
        <v>2750</v>
      </c>
      <c r="M1027">
        <v>2750</v>
      </c>
      <c r="N1027">
        <v>0</v>
      </c>
    </row>
    <row r="1028" spans="1:14" x14ac:dyDescent="0.25">
      <c r="A1028">
        <v>302.51694400000002</v>
      </c>
      <c r="B1028" s="1">
        <f>DATE(2011,2,27) + TIME(12,24,23)</f>
        <v>40601.516932870371</v>
      </c>
      <c r="C1028">
        <v>80</v>
      </c>
      <c r="D1028">
        <v>66.092506408999995</v>
      </c>
      <c r="E1028">
        <v>60</v>
      </c>
      <c r="F1028">
        <v>59.958599091000004</v>
      </c>
      <c r="G1028">
        <v>1324.8358154</v>
      </c>
      <c r="H1028">
        <v>1322.1004639</v>
      </c>
      <c r="I1028">
        <v>1339.3636475000001</v>
      </c>
      <c r="J1028">
        <v>1336.9602050999999</v>
      </c>
      <c r="K1028">
        <v>0</v>
      </c>
      <c r="L1028">
        <v>2750</v>
      </c>
      <c r="M1028">
        <v>2750</v>
      </c>
      <c r="N1028">
        <v>0</v>
      </c>
    </row>
    <row r="1029" spans="1:14" x14ac:dyDescent="0.25">
      <c r="A1029">
        <v>303.893935</v>
      </c>
      <c r="B1029" s="1">
        <f>DATE(2011,2,28) + TIME(21,27,15)</f>
        <v>40602.893923611111</v>
      </c>
      <c r="C1029">
        <v>80</v>
      </c>
      <c r="D1029">
        <v>65.925903320000003</v>
      </c>
      <c r="E1029">
        <v>60</v>
      </c>
      <c r="F1029">
        <v>59.958641051999997</v>
      </c>
      <c r="G1029">
        <v>1324.8135986</v>
      </c>
      <c r="H1029">
        <v>1322.0700684000001</v>
      </c>
      <c r="I1029">
        <v>1339.3576660000001</v>
      </c>
      <c r="J1029">
        <v>1336.9566649999999</v>
      </c>
      <c r="K1029">
        <v>0</v>
      </c>
      <c r="L1029">
        <v>2750</v>
      </c>
      <c r="M1029">
        <v>2750</v>
      </c>
      <c r="N1029">
        <v>0</v>
      </c>
    </row>
    <row r="1030" spans="1:14" x14ac:dyDescent="0.25">
      <c r="A1030">
        <v>304</v>
      </c>
      <c r="B1030" s="1">
        <f>DATE(2011,3,1) + TIME(0,0,0)</f>
        <v>40603</v>
      </c>
      <c r="C1030">
        <v>80</v>
      </c>
      <c r="D1030">
        <v>65.882400512999993</v>
      </c>
      <c r="E1030">
        <v>60</v>
      </c>
      <c r="F1030">
        <v>59.958637238000001</v>
      </c>
      <c r="G1030">
        <v>1324.7908935999999</v>
      </c>
      <c r="H1030">
        <v>1322.0439452999999</v>
      </c>
      <c r="I1030">
        <v>1339.3515625</v>
      </c>
      <c r="J1030">
        <v>1336.9530029</v>
      </c>
      <c r="K1030">
        <v>0</v>
      </c>
      <c r="L1030">
        <v>2750</v>
      </c>
      <c r="M1030">
        <v>2750</v>
      </c>
      <c r="N1030">
        <v>0</v>
      </c>
    </row>
    <row r="1031" spans="1:14" x14ac:dyDescent="0.25">
      <c r="A1031">
        <v>305.41888</v>
      </c>
      <c r="B1031" s="1">
        <f>DATE(2011,3,2) + TIME(10,3,11)</f>
        <v>40604.418877314813</v>
      </c>
      <c r="C1031">
        <v>80</v>
      </c>
      <c r="D1031">
        <v>65.731330872000001</v>
      </c>
      <c r="E1031">
        <v>60</v>
      </c>
      <c r="F1031">
        <v>59.958686829000001</v>
      </c>
      <c r="G1031">
        <v>1324.7877197</v>
      </c>
      <c r="H1031">
        <v>1322.0336914</v>
      </c>
      <c r="I1031">
        <v>1339.3511963000001</v>
      </c>
      <c r="J1031">
        <v>1336.9527588000001</v>
      </c>
      <c r="K1031">
        <v>0</v>
      </c>
      <c r="L1031">
        <v>2750</v>
      </c>
      <c r="M1031">
        <v>2750</v>
      </c>
      <c r="N1031">
        <v>0</v>
      </c>
    </row>
    <row r="1032" spans="1:14" x14ac:dyDescent="0.25">
      <c r="A1032">
        <v>306.140942</v>
      </c>
      <c r="B1032" s="1">
        <f>DATE(2011,3,3) + TIME(3,22,57)</f>
        <v>40605.1409375</v>
      </c>
      <c r="C1032">
        <v>80</v>
      </c>
      <c r="D1032">
        <v>65.590888977000006</v>
      </c>
      <c r="E1032">
        <v>60</v>
      </c>
      <c r="F1032">
        <v>59.958698273000003</v>
      </c>
      <c r="G1032">
        <v>1324.7652588000001</v>
      </c>
      <c r="H1032">
        <v>1322.0046387</v>
      </c>
      <c r="I1032">
        <v>1339.3449707</v>
      </c>
      <c r="J1032">
        <v>1336.9489745999999</v>
      </c>
      <c r="K1032">
        <v>0</v>
      </c>
      <c r="L1032">
        <v>2750</v>
      </c>
      <c r="M1032">
        <v>2750</v>
      </c>
      <c r="N1032">
        <v>0</v>
      </c>
    </row>
    <row r="1033" spans="1:14" x14ac:dyDescent="0.25">
      <c r="A1033">
        <v>306.85943900000001</v>
      </c>
      <c r="B1033" s="1">
        <f>DATE(2011,3,3) + TIME(20,37,35)</f>
        <v>40605.859432870369</v>
      </c>
      <c r="C1033">
        <v>80</v>
      </c>
      <c r="D1033">
        <v>65.480346679999997</v>
      </c>
      <c r="E1033">
        <v>60</v>
      </c>
      <c r="F1033">
        <v>59.958717346</v>
      </c>
      <c r="G1033">
        <v>1324.7514647999999</v>
      </c>
      <c r="H1033">
        <v>1321.9837646000001</v>
      </c>
      <c r="I1033">
        <v>1339.3417969</v>
      </c>
      <c r="J1033">
        <v>1336.9470214999999</v>
      </c>
      <c r="K1033">
        <v>0</v>
      </c>
      <c r="L1033">
        <v>2750</v>
      </c>
      <c r="M1033">
        <v>2750</v>
      </c>
      <c r="N1033">
        <v>0</v>
      </c>
    </row>
    <row r="1034" spans="1:14" x14ac:dyDescent="0.25">
      <c r="A1034">
        <v>307.57714199999998</v>
      </c>
      <c r="B1034" s="1">
        <f>DATE(2011,3,4) + TIME(13,51,5)</f>
        <v>40606.577141203707</v>
      </c>
      <c r="C1034">
        <v>80</v>
      </c>
      <c r="D1034">
        <v>65.381324767999999</v>
      </c>
      <c r="E1034">
        <v>60</v>
      </c>
      <c r="F1034">
        <v>59.958736420000001</v>
      </c>
      <c r="G1034">
        <v>1324.7387695</v>
      </c>
      <c r="H1034">
        <v>1321.9655762</v>
      </c>
      <c r="I1034">
        <v>1339.3387451000001</v>
      </c>
      <c r="J1034">
        <v>1336.9451904</v>
      </c>
      <c r="K1034">
        <v>0</v>
      </c>
      <c r="L1034">
        <v>2750</v>
      </c>
      <c r="M1034">
        <v>2750</v>
      </c>
      <c r="N1034">
        <v>0</v>
      </c>
    </row>
    <row r="1035" spans="1:14" x14ac:dyDescent="0.25">
      <c r="A1035">
        <v>308.29484600000001</v>
      </c>
      <c r="B1035" s="1">
        <f>DATE(2011,3,5) + TIME(7,4,34)</f>
        <v>40607.29483796296</v>
      </c>
      <c r="C1035">
        <v>80</v>
      </c>
      <c r="D1035">
        <v>65.286689757999994</v>
      </c>
      <c r="E1035">
        <v>60</v>
      </c>
      <c r="F1035">
        <v>59.958755492999998</v>
      </c>
      <c r="G1035">
        <v>1324.7268065999999</v>
      </c>
      <c r="H1035">
        <v>1321.9484863</v>
      </c>
      <c r="I1035">
        <v>1339.3356934000001</v>
      </c>
      <c r="J1035">
        <v>1336.9432373</v>
      </c>
      <c r="K1035">
        <v>0</v>
      </c>
      <c r="L1035">
        <v>2750</v>
      </c>
      <c r="M1035">
        <v>2750</v>
      </c>
      <c r="N1035">
        <v>0</v>
      </c>
    </row>
    <row r="1036" spans="1:14" x14ac:dyDescent="0.25">
      <c r="A1036">
        <v>309.01254999999998</v>
      </c>
      <c r="B1036" s="1">
        <f>DATE(2011,3,6) + TIME(0,18,4)</f>
        <v>40608.012546296297</v>
      </c>
      <c r="C1036">
        <v>80</v>
      </c>
      <c r="D1036">
        <v>65.193702697999996</v>
      </c>
      <c r="E1036">
        <v>60</v>
      </c>
      <c r="F1036">
        <v>59.958778381000002</v>
      </c>
      <c r="G1036">
        <v>1324.7150879000001</v>
      </c>
      <c r="H1036">
        <v>1321.9320068</v>
      </c>
      <c r="I1036">
        <v>1339.3326416</v>
      </c>
      <c r="J1036">
        <v>1336.9414062000001</v>
      </c>
      <c r="K1036">
        <v>0</v>
      </c>
      <c r="L1036">
        <v>2750</v>
      </c>
      <c r="M1036">
        <v>2750</v>
      </c>
      <c r="N1036">
        <v>0</v>
      </c>
    </row>
    <row r="1037" spans="1:14" x14ac:dyDescent="0.25">
      <c r="A1037">
        <v>309.730253</v>
      </c>
      <c r="B1037" s="1">
        <f>DATE(2011,3,6) + TIME(17,31,33)</f>
        <v>40608.730243055557</v>
      </c>
      <c r="C1037">
        <v>80</v>
      </c>
      <c r="D1037">
        <v>65.101280212000006</v>
      </c>
      <c r="E1037">
        <v>60</v>
      </c>
      <c r="F1037">
        <v>59.958801270000002</v>
      </c>
      <c r="G1037">
        <v>1324.7034911999999</v>
      </c>
      <c r="H1037">
        <v>1321.9158935999999</v>
      </c>
      <c r="I1037">
        <v>1339.3295897999999</v>
      </c>
      <c r="J1037">
        <v>1336.9395752</v>
      </c>
      <c r="K1037">
        <v>0</v>
      </c>
      <c r="L1037">
        <v>2750</v>
      </c>
      <c r="M1037">
        <v>2750</v>
      </c>
      <c r="N1037">
        <v>0</v>
      </c>
    </row>
    <row r="1038" spans="1:14" x14ac:dyDescent="0.25">
      <c r="A1038">
        <v>310.44795699999997</v>
      </c>
      <c r="B1038" s="1">
        <f>DATE(2011,3,7) + TIME(10,45,3)</f>
        <v>40609.447951388887</v>
      </c>
      <c r="C1038">
        <v>80</v>
      </c>
      <c r="D1038">
        <v>65.009025574000006</v>
      </c>
      <c r="E1038">
        <v>60</v>
      </c>
      <c r="F1038">
        <v>59.958824157999999</v>
      </c>
      <c r="G1038">
        <v>1324.6920166</v>
      </c>
      <c r="H1038">
        <v>1321.8999022999999</v>
      </c>
      <c r="I1038">
        <v>1339.3266602000001</v>
      </c>
      <c r="J1038">
        <v>1336.9377440999999</v>
      </c>
      <c r="K1038">
        <v>0</v>
      </c>
      <c r="L1038">
        <v>2750</v>
      </c>
      <c r="M1038">
        <v>2750</v>
      </c>
      <c r="N1038">
        <v>0</v>
      </c>
    </row>
    <row r="1039" spans="1:14" x14ac:dyDescent="0.25">
      <c r="A1039">
        <v>311.16566</v>
      </c>
      <c r="B1039" s="1">
        <f>DATE(2011,3,8) + TIME(3,58,33)</f>
        <v>40610.165659722225</v>
      </c>
      <c r="C1039">
        <v>80</v>
      </c>
      <c r="D1039">
        <v>64.916809082</v>
      </c>
      <c r="E1039">
        <v>60</v>
      </c>
      <c r="F1039">
        <v>59.958847046000002</v>
      </c>
      <c r="G1039">
        <v>1324.6806641000001</v>
      </c>
      <c r="H1039">
        <v>1321.8841553</v>
      </c>
      <c r="I1039">
        <v>1339.3236084</v>
      </c>
      <c r="J1039">
        <v>1336.9359131000001</v>
      </c>
      <c r="K1039">
        <v>0</v>
      </c>
      <c r="L1039">
        <v>2750</v>
      </c>
      <c r="M1039">
        <v>2750</v>
      </c>
      <c r="N1039">
        <v>0</v>
      </c>
    </row>
    <row r="1040" spans="1:14" x14ac:dyDescent="0.25">
      <c r="A1040">
        <v>312.601067</v>
      </c>
      <c r="B1040" s="1">
        <f>DATE(2011,3,9) + TIME(14,25,32)</f>
        <v>40611.601064814815</v>
      </c>
      <c r="C1040">
        <v>80</v>
      </c>
      <c r="D1040">
        <v>64.802459717000005</v>
      </c>
      <c r="E1040">
        <v>60</v>
      </c>
      <c r="F1040">
        <v>59.958904265999998</v>
      </c>
      <c r="G1040">
        <v>1324.6694336</v>
      </c>
      <c r="H1040">
        <v>1321.8674315999999</v>
      </c>
      <c r="I1040">
        <v>1339.3206786999999</v>
      </c>
      <c r="J1040">
        <v>1336.934082</v>
      </c>
      <c r="K1040">
        <v>0</v>
      </c>
      <c r="L1040">
        <v>2750</v>
      </c>
      <c r="M1040">
        <v>2750</v>
      </c>
      <c r="N1040">
        <v>0</v>
      </c>
    </row>
    <row r="1041" spans="1:14" x14ac:dyDescent="0.25">
      <c r="A1041">
        <v>314.040931</v>
      </c>
      <c r="B1041" s="1">
        <f>DATE(2011,3,11) + TIME(0,58,56)</f>
        <v>40613.040925925925</v>
      </c>
      <c r="C1041">
        <v>80</v>
      </c>
      <c r="D1041">
        <v>64.634704589999998</v>
      </c>
      <c r="E1041">
        <v>60</v>
      </c>
      <c r="F1041">
        <v>59.958953856999997</v>
      </c>
      <c r="G1041">
        <v>1324.6499022999999</v>
      </c>
      <c r="H1041">
        <v>1321.8419189000001</v>
      </c>
      <c r="I1041">
        <v>1339.3148193</v>
      </c>
      <c r="J1041">
        <v>1336.9304199000001</v>
      </c>
      <c r="K1041">
        <v>0</v>
      </c>
      <c r="L1041">
        <v>2750</v>
      </c>
      <c r="M1041">
        <v>2750</v>
      </c>
      <c r="N1041">
        <v>0</v>
      </c>
    </row>
    <row r="1042" spans="1:14" x14ac:dyDescent="0.25">
      <c r="A1042">
        <v>315.51841000000002</v>
      </c>
      <c r="B1042" s="1">
        <f>DATE(2011,3,12) + TIME(12,26,30)</f>
        <v>40614.51840277778</v>
      </c>
      <c r="C1042">
        <v>80</v>
      </c>
      <c r="D1042">
        <v>64.452606200999995</v>
      </c>
      <c r="E1042">
        <v>60</v>
      </c>
      <c r="F1042">
        <v>59.959003447999997</v>
      </c>
      <c r="G1042">
        <v>1324.6286620999999</v>
      </c>
      <c r="H1042">
        <v>1321.8126221</v>
      </c>
      <c r="I1042">
        <v>1339.3089600000001</v>
      </c>
      <c r="J1042">
        <v>1336.9267577999999</v>
      </c>
      <c r="K1042">
        <v>0</v>
      </c>
      <c r="L1042">
        <v>2750</v>
      </c>
      <c r="M1042">
        <v>2750</v>
      </c>
      <c r="N1042">
        <v>0</v>
      </c>
    </row>
    <row r="1043" spans="1:14" x14ac:dyDescent="0.25">
      <c r="A1043">
        <v>317.041921</v>
      </c>
      <c r="B1043" s="1">
        <f>DATE(2011,3,14) + TIME(1,0,21)</f>
        <v>40616.041909722226</v>
      </c>
      <c r="C1043">
        <v>80</v>
      </c>
      <c r="D1043">
        <v>64.262924193999993</v>
      </c>
      <c r="E1043">
        <v>60</v>
      </c>
      <c r="F1043">
        <v>59.959053040000001</v>
      </c>
      <c r="G1043">
        <v>1324.6068115</v>
      </c>
      <c r="H1043">
        <v>1321.7822266000001</v>
      </c>
      <c r="I1043">
        <v>1339.3029785000001</v>
      </c>
      <c r="J1043">
        <v>1336.9230957</v>
      </c>
      <c r="K1043">
        <v>0</v>
      </c>
      <c r="L1043">
        <v>2750</v>
      </c>
      <c r="M1043">
        <v>2750</v>
      </c>
      <c r="N1043">
        <v>0</v>
      </c>
    </row>
    <row r="1044" spans="1:14" x14ac:dyDescent="0.25">
      <c r="A1044">
        <v>317.81207899999998</v>
      </c>
      <c r="B1044" s="1">
        <f>DATE(2011,3,14) + TIME(19,29,23)</f>
        <v>40616.812071759261</v>
      </c>
      <c r="C1044">
        <v>80</v>
      </c>
      <c r="D1044">
        <v>64.103645325000002</v>
      </c>
      <c r="E1044">
        <v>60</v>
      </c>
      <c r="F1044">
        <v>59.959064484000002</v>
      </c>
      <c r="G1044">
        <v>1324.5845947</v>
      </c>
      <c r="H1044">
        <v>1321.7526855000001</v>
      </c>
      <c r="I1044">
        <v>1339.2967529</v>
      </c>
      <c r="J1044">
        <v>1336.9191894999999</v>
      </c>
      <c r="K1044">
        <v>0</v>
      </c>
      <c r="L1044">
        <v>2750</v>
      </c>
      <c r="M1044">
        <v>2750</v>
      </c>
      <c r="N1044">
        <v>0</v>
      </c>
    </row>
    <row r="1045" spans="1:14" x14ac:dyDescent="0.25">
      <c r="A1045">
        <v>318.57717400000001</v>
      </c>
      <c r="B1045" s="1">
        <f>DATE(2011,3,15) + TIME(13,51,7)</f>
        <v>40617.577164351853</v>
      </c>
      <c r="C1045">
        <v>80</v>
      </c>
      <c r="D1045">
        <v>63.982311248999999</v>
      </c>
      <c r="E1045">
        <v>60</v>
      </c>
      <c r="F1045">
        <v>59.959087371999999</v>
      </c>
      <c r="G1045">
        <v>1324.5714111</v>
      </c>
      <c r="H1045">
        <v>1321.7322998</v>
      </c>
      <c r="I1045">
        <v>1339.2937012</v>
      </c>
      <c r="J1045">
        <v>1336.9172363</v>
      </c>
      <c r="K1045">
        <v>0</v>
      </c>
      <c r="L1045">
        <v>2750</v>
      </c>
      <c r="M1045">
        <v>2750</v>
      </c>
      <c r="N1045">
        <v>0</v>
      </c>
    </row>
    <row r="1046" spans="1:14" x14ac:dyDescent="0.25">
      <c r="A1046">
        <v>319.34128099999998</v>
      </c>
      <c r="B1046" s="1">
        <f>DATE(2011,3,16) + TIME(8,11,26)</f>
        <v>40618.341273148151</v>
      </c>
      <c r="C1046">
        <v>80</v>
      </c>
      <c r="D1046">
        <v>63.875053405999999</v>
      </c>
      <c r="E1046">
        <v>60</v>
      </c>
      <c r="F1046">
        <v>59.959110260000003</v>
      </c>
      <c r="G1046">
        <v>1324.5594481999999</v>
      </c>
      <c r="H1046">
        <v>1321.7148437999999</v>
      </c>
      <c r="I1046">
        <v>1339.2906493999999</v>
      </c>
      <c r="J1046">
        <v>1336.9154053</v>
      </c>
      <c r="K1046">
        <v>0</v>
      </c>
      <c r="L1046">
        <v>2750</v>
      </c>
      <c r="M1046">
        <v>2750</v>
      </c>
      <c r="N1046">
        <v>0</v>
      </c>
    </row>
    <row r="1047" spans="1:14" x14ac:dyDescent="0.25">
      <c r="A1047">
        <v>320.105389</v>
      </c>
      <c r="B1047" s="1">
        <f>DATE(2011,3,17) + TIME(2,31,45)</f>
        <v>40619.105381944442</v>
      </c>
      <c r="C1047">
        <v>80</v>
      </c>
      <c r="D1047">
        <v>63.773025513</v>
      </c>
      <c r="E1047">
        <v>60</v>
      </c>
      <c r="F1047">
        <v>59.959133147999999</v>
      </c>
      <c r="G1047">
        <v>1324.5482178</v>
      </c>
      <c r="H1047">
        <v>1321.6986084</v>
      </c>
      <c r="I1047">
        <v>1339.2877197</v>
      </c>
      <c r="J1047">
        <v>1336.9134521000001</v>
      </c>
      <c r="K1047">
        <v>0</v>
      </c>
      <c r="L1047">
        <v>2750</v>
      </c>
      <c r="M1047">
        <v>2750</v>
      </c>
      <c r="N1047">
        <v>0</v>
      </c>
    </row>
    <row r="1048" spans="1:14" x14ac:dyDescent="0.25">
      <c r="A1048">
        <v>320.86949600000003</v>
      </c>
      <c r="B1048" s="1">
        <f>DATE(2011,3,17) + TIME(20,52,4)</f>
        <v>40619.869490740741</v>
      </c>
      <c r="C1048">
        <v>80</v>
      </c>
      <c r="D1048">
        <v>63.672931671000001</v>
      </c>
      <c r="E1048">
        <v>60</v>
      </c>
      <c r="F1048">
        <v>59.959156036000003</v>
      </c>
      <c r="G1048">
        <v>1324.5372314000001</v>
      </c>
      <c r="H1048">
        <v>1321.6831055</v>
      </c>
      <c r="I1048">
        <v>1339.284668</v>
      </c>
      <c r="J1048">
        <v>1336.9116211</v>
      </c>
      <c r="K1048">
        <v>0</v>
      </c>
      <c r="L1048">
        <v>2750</v>
      </c>
      <c r="M1048">
        <v>2750</v>
      </c>
      <c r="N1048">
        <v>0</v>
      </c>
    </row>
    <row r="1049" spans="1:14" x14ac:dyDescent="0.25">
      <c r="A1049">
        <v>321.63360399999999</v>
      </c>
      <c r="B1049" s="1">
        <f>DATE(2011,3,18) + TIME(15,12,23)</f>
        <v>40620.633599537039</v>
      </c>
      <c r="C1049">
        <v>80</v>
      </c>
      <c r="D1049">
        <v>63.573551178000002</v>
      </c>
      <c r="E1049">
        <v>60</v>
      </c>
      <c r="F1049">
        <v>59.959182738999999</v>
      </c>
      <c r="G1049">
        <v>1324.5263672000001</v>
      </c>
      <c r="H1049">
        <v>1321.6678466999999</v>
      </c>
      <c r="I1049">
        <v>1339.2817382999999</v>
      </c>
      <c r="J1049">
        <v>1336.9097899999999</v>
      </c>
      <c r="K1049">
        <v>0</v>
      </c>
      <c r="L1049">
        <v>2750</v>
      </c>
      <c r="M1049">
        <v>2750</v>
      </c>
      <c r="N1049">
        <v>0</v>
      </c>
    </row>
    <row r="1050" spans="1:14" x14ac:dyDescent="0.25">
      <c r="A1050">
        <v>322.39771100000002</v>
      </c>
      <c r="B1050" s="1">
        <f>DATE(2011,3,19) + TIME(9,32,42)</f>
        <v>40621.39770833333</v>
      </c>
      <c r="C1050">
        <v>80</v>
      </c>
      <c r="D1050">
        <v>63.474445342999999</v>
      </c>
      <c r="E1050">
        <v>60</v>
      </c>
      <c r="F1050">
        <v>59.959205627000003</v>
      </c>
      <c r="G1050">
        <v>1324.5157471</v>
      </c>
      <c r="H1050">
        <v>1321.6527100000001</v>
      </c>
      <c r="I1050">
        <v>1339.2788086</v>
      </c>
      <c r="J1050">
        <v>1336.9078368999999</v>
      </c>
      <c r="K1050">
        <v>0</v>
      </c>
      <c r="L1050">
        <v>2750</v>
      </c>
      <c r="M1050">
        <v>2750</v>
      </c>
      <c r="N1050">
        <v>0</v>
      </c>
    </row>
    <row r="1051" spans="1:14" x14ac:dyDescent="0.25">
      <c r="A1051">
        <v>323.925927</v>
      </c>
      <c r="B1051" s="1">
        <f>DATE(2011,3,20) + TIME(22,13,20)</f>
        <v>40622.925925925927</v>
      </c>
      <c r="C1051">
        <v>80</v>
      </c>
      <c r="D1051">
        <v>63.352893829000003</v>
      </c>
      <c r="E1051">
        <v>60</v>
      </c>
      <c r="F1051">
        <v>59.959270476999997</v>
      </c>
      <c r="G1051">
        <v>1324.505249</v>
      </c>
      <c r="H1051">
        <v>1321.6369629000001</v>
      </c>
      <c r="I1051">
        <v>1339.2758789</v>
      </c>
      <c r="J1051">
        <v>1336.9061279</v>
      </c>
      <c r="K1051">
        <v>0</v>
      </c>
      <c r="L1051">
        <v>2750</v>
      </c>
      <c r="M1051">
        <v>2750</v>
      </c>
      <c r="N1051">
        <v>0</v>
      </c>
    </row>
    <row r="1052" spans="1:14" x14ac:dyDescent="0.25">
      <c r="A1052">
        <v>325.462469</v>
      </c>
      <c r="B1052" s="1">
        <f>DATE(2011,3,22) + TIME(11,5,57)</f>
        <v>40624.462465277778</v>
      </c>
      <c r="C1052">
        <v>80</v>
      </c>
      <c r="D1052">
        <v>63.172588347999998</v>
      </c>
      <c r="E1052">
        <v>60</v>
      </c>
      <c r="F1052">
        <v>59.959327698000003</v>
      </c>
      <c r="G1052">
        <v>1324.4869385</v>
      </c>
      <c r="H1052">
        <v>1321.6129149999999</v>
      </c>
      <c r="I1052">
        <v>1339.2700195</v>
      </c>
      <c r="J1052">
        <v>1336.9023437999999</v>
      </c>
      <c r="K1052">
        <v>0</v>
      </c>
      <c r="L1052">
        <v>2750</v>
      </c>
      <c r="M1052">
        <v>2750</v>
      </c>
      <c r="N1052">
        <v>0</v>
      </c>
    </row>
    <row r="1053" spans="1:14" x14ac:dyDescent="0.25">
      <c r="A1053">
        <v>327.03798499999999</v>
      </c>
      <c r="B1053" s="1">
        <f>DATE(2011,3,24) + TIME(0,54,41)</f>
        <v>40626.037974537037</v>
      </c>
      <c r="C1053">
        <v>80</v>
      </c>
      <c r="D1053">
        <v>62.977382660000004</v>
      </c>
      <c r="E1053">
        <v>60</v>
      </c>
      <c r="F1053">
        <v>59.959381104000002</v>
      </c>
      <c r="G1053">
        <v>1324.4671631000001</v>
      </c>
      <c r="H1053">
        <v>1321.5852050999999</v>
      </c>
      <c r="I1053">
        <v>1339.2641602000001</v>
      </c>
      <c r="J1053">
        <v>1336.8986815999999</v>
      </c>
      <c r="K1053">
        <v>0</v>
      </c>
      <c r="L1053">
        <v>2750</v>
      </c>
      <c r="M1053">
        <v>2750</v>
      </c>
      <c r="N1053">
        <v>0</v>
      </c>
    </row>
    <row r="1054" spans="1:14" x14ac:dyDescent="0.25">
      <c r="A1054">
        <v>328.66181499999999</v>
      </c>
      <c r="B1054" s="1">
        <f>DATE(2011,3,25) + TIME(15,53,0)</f>
        <v>40627.661805555559</v>
      </c>
      <c r="C1054">
        <v>80</v>
      </c>
      <c r="D1054">
        <v>62.774856567</v>
      </c>
      <c r="E1054">
        <v>60</v>
      </c>
      <c r="F1054">
        <v>59.959434508999998</v>
      </c>
      <c r="G1054">
        <v>1324.4467772999999</v>
      </c>
      <c r="H1054">
        <v>1321.5565185999999</v>
      </c>
      <c r="I1054">
        <v>1339.2583007999999</v>
      </c>
      <c r="J1054">
        <v>1336.8948975000001</v>
      </c>
      <c r="K1054">
        <v>0</v>
      </c>
      <c r="L1054">
        <v>2750</v>
      </c>
      <c r="M1054">
        <v>2750</v>
      </c>
      <c r="N1054">
        <v>0</v>
      </c>
    </row>
    <row r="1055" spans="1:14" x14ac:dyDescent="0.25">
      <c r="A1055">
        <v>329.48148099999997</v>
      </c>
      <c r="B1055" s="1">
        <f>DATE(2011,3,26) + TIME(11,33,19)</f>
        <v>40628.481469907405</v>
      </c>
      <c r="C1055">
        <v>80</v>
      </c>
      <c r="D1055">
        <v>62.603919982999997</v>
      </c>
      <c r="E1055">
        <v>60</v>
      </c>
      <c r="F1055">
        <v>59.959449767999999</v>
      </c>
      <c r="G1055">
        <v>1324.4261475000001</v>
      </c>
      <c r="H1055">
        <v>1321.5286865</v>
      </c>
      <c r="I1055">
        <v>1339.2521973</v>
      </c>
      <c r="J1055">
        <v>1336.8909911999999</v>
      </c>
      <c r="K1055">
        <v>0</v>
      </c>
      <c r="L1055">
        <v>2750</v>
      </c>
      <c r="M1055">
        <v>2750</v>
      </c>
      <c r="N1055">
        <v>0</v>
      </c>
    </row>
    <row r="1056" spans="1:14" x14ac:dyDescent="0.25">
      <c r="A1056">
        <v>330.29936600000002</v>
      </c>
      <c r="B1056" s="1">
        <f>DATE(2011,3,27) + TIME(7,11,5)</f>
        <v>40629.299363425926</v>
      </c>
      <c r="C1056">
        <v>80</v>
      </c>
      <c r="D1056">
        <v>62.475418091000002</v>
      </c>
      <c r="E1056">
        <v>60</v>
      </c>
      <c r="F1056">
        <v>59.959472656000003</v>
      </c>
      <c r="G1056">
        <v>1324.4139404</v>
      </c>
      <c r="H1056">
        <v>1321.5096435999999</v>
      </c>
      <c r="I1056">
        <v>1339.2491454999999</v>
      </c>
      <c r="J1056">
        <v>1336.8890381000001</v>
      </c>
      <c r="K1056">
        <v>0</v>
      </c>
      <c r="L1056">
        <v>2750</v>
      </c>
      <c r="M1056">
        <v>2750</v>
      </c>
      <c r="N1056">
        <v>0</v>
      </c>
    </row>
    <row r="1057" spans="1:14" x14ac:dyDescent="0.25">
      <c r="A1057">
        <v>331.11643199999997</v>
      </c>
      <c r="B1057" s="1">
        <f>DATE(2011,3,28) + TIME(2,47,39)</f>
        <v>40630.116423611114</v>
      </c>
      <c r="C1057">
        <v>80</v>
      </c>
      <c r="D1057">
        <v>62.362110137999998</v>
      </c>
      <c r="E1057">
        <v>60</v>
      </c>
      <c r="F1057">
        <v>59.959499358999999</v>
      </c>
      <c r="G1057">
        <v>1324.4030762</v>
      </c>
      <c r="H1057">
        <v>1321.4934082</v>
      </c>
      <c r="I1057">
        <v>1339.2462158000001</v>
      </c>
      <c r="J1057">
        <v>1336.8870850000001</v>
      </c>
      <c r="K1057">
        <v>0</v>
      </c>
      <c r="L1057">
        <v>2750</v>
      </c>
      <c r="M1057">
        <v>2750</v>
      </c>
      <c r="N1057">
        <v>0</v>
      </c>
    </row>
    <row r="1058" spans="1:14" x14ac:dyDescent="0.25">
      <c r="A1058">
        <v>331.93349799999999</v>
      </c>
      <c r="B1058" s="1">
        <f>DATE(2011,3,28) + TIME(22,24,14)</f>
        <v>40630.933495370373</v>
      </c>
      <c r="C1058">
        <v>80</v>
      </c>
      <c r="D1058">
        <v>62.254325866999999</v>
      </c>
      <c r="E1058">
        <v>60</v>
      </c>
      <c r="F1058">
        <v>59.959526062000002</v>
      </c>
      <c r="G1058">
        <v>1324.3927002</v>
      </c>
      <c r="H1058">
        <v>1321.4783935999999</v>
      </c>
      <c r="I1058">
        <v>1339.2431641000001</v>
      </c>
      <c r="J1058">
        <v>1336.8851318</v>
      </c>
      <c r="K1058">
        <v>0</v>
      </c>
      <c r="L1058">
        <v>2750</v>
      </c>
      <c r="M1058">
        <v>2750</v>
      </c>
      <c r="N1058">
        <v>0</v>
      </c>
    </row>
    <row r="1059" spans="1:14" x14ac:dyDescent="0.25">
      <c r="A1059">
        <v>332.75056499999999</v>
      </c>
      <c r="B1059" s="1">
        <f>DATE(2011,3,29) + TIME(18,0,48)</f>
        <v>40631.750555555554</v>
      </c>
      <c r="C1059">
        <v>80</v>
      </c>
      <c r="D1059">
        <v>62.148635863999999</v>
      </c>
      <c r="E1059">
        <v>60</v>
      </c>
      <c r="F1059">
        <v>59.959552764999998</v>
      </c>
      <c r="G1059">
        <v>1324.3826904</v>
      </c>
      <c r="H1059">
        <v>1321.4638672000001</v>
      </c>
      <c r="I1059">
        <v>1339.2402344</v>
      </c>
      <c r="J1059">
        <v>1336.8831786999999</v>
      </c>
      <c r="K1059">
        <v>0</v>
      </c>
      <c r="L1059">
        <v>2750</v>
      </c>
      <c r="M1059">
        <v>2750</v>
      </c>
      <c r="N1059">
        <v>0</v>
      </c>
    </row>
    <row r="1060" spans="1:14" x14ac:dyDescent="0.25">
      <c r="A1060">
        <v>333.56763100000001</v>
      </c>
      <c r="B1060" s="1">
        <f>DATE(2011,3,30) + TIME(13,37,23)</f>
        <v>40632.567627314813</v>
      </c>
      <c r="C1060">
        <v>80</v>
      </c>
      <c r="D1060">
        <v>62.043830872000001</v>
      </c>
      <c r="E1060">
        <v>60</v>
      </c>
      <c r="F1060">
        <v>59.959583281999997</v>
      </c>
      <c r="G1060">
        <v>1324.3728027</v>
      </c>
      <c r="H1060">
        <v>1321.449707</v>
      </c>
      <c r="I1060">
        <v>1339.2373047000001</v>
      </c>
      <c r="J1060">
        <v>1336.8813477000001</v>
      </c>
      <c r="K1060">
        <v>0</v>
      </c>
      <c r="L1060">
        <v>2750</v>
      </c>
      <c r="M1060">
        <v>2750</v>
      </c>
      <c r="N1060">
        <v>0</v>
      </c>
    </row>
    <row r="1061" spans="1:14" x14ac:dyDescent="0.25">
      <c r="A1061">
        <v>335</v>
      </c>
      <c r="B1061" s="1">
        <f>DATE(2011,4,1) + TIME(0,0,0)</f>
        <v>40634</v>
      </c>
      <c r="C1061">
        <v>80</v>
      </c>
      <c r="D1061">
        <v>61.920684813999998</v>
      </c>
      <c r="E1061">
        <v>60</v>
      </c>
      <c r="F1061">
        <v>59.959640503000003</v>
      </c>
      <c r="G1061">
        <v>1324.3631591999999</v>
      </c>
      <c r="H1061">
        <v>1321.4351807</v>
      </c>
      <c r="I1061">
        <v>1339.234375</v>
      </c>
      <c r="J1061">
        <v>1336.8793945</v>
      </c>
      <c r="K1061">
        <v>0</v>
      </c>
      <c r="L1061">
        <v>2750</v>
      </c>
      <c r="M1061">
        <v>2750</v>
      </c>
      <c r="N1061">
        <v>0</v>
      </c>
    </row>
    <row r="1062" spans="1:14" x14ac:dyDescent="0.25">
      <c r="A1062">
        <v>336.63413300000002</v>
      </c>
      <c r="B1062" s="1">
        <f>DATE(2011,4,2) + TIME(15,13,9)</f>
        <v>40635.634131944447</v>
      </c>
      <c r="C1062">
        <v>80</v>
      </c>
      <c r="D1062">
        <v>61.747905731000003</v>
      </c>
      <c r="E1062">
        <v>60</v>
      </c>
      <c r="F1062">
        <v>59.959701537999997</v>
      </c>
      <c r="G1062">
        <v>1324.3481445</v>
      </c>
      <c r="H1062">
        <v>1321.4146728999999</v>
      </c>
      <c r="I1062">
        <v>1339.2292480000001</v>
      </c>
      <c r="J1062">
        <v>1336.8760986</v>
      </c>
      <c r="K1062">
        <v>0</v>
      </c>
      <c r="L1062">
        <v>2750</v>
      </c>
      <c r="M1062">
        <v>2750</v>
      </c>
      <c r="N1062">
        <v>0</v>
      </c>
    </row>
    <row r="1063" spans="1:14" x14ac:dyDescent="0.25">
      <c r="A1063">
        <v>338.286812</v>
      </c>
      <c r="B1063" s="1">
        <f>DATE(2011,4,4) + TIME(6,53,0)</f>
        <v>40637.286805555559</v>
      </c>
      <c r="C1063">
        <v>80</v>
      </c>
      <c r="D1063">
        <v>61.548488616999997</v>
      </c>
      <c r="E1063">
        <v>60</v>
      </c>
      <c r="F1063">
        <v>59.959758759000003</v>
      </c>
      <c r="G1063">
        <v>1324.3304443</v>
      </c>
      <c r="H1063">
        <v>1321.3900146000001</v>
      </c>
      <c r="I1063">
        <v>1339.2233887</v>
      </c>
      <c r="J1063">
        <v>1336.8723144999999</v>
      </c>
      <c r="K1063">
        <v>0</v>
      </c>
      <c r="L1063">
        <v>2750</v>
      </c>
      <c r="M1063">
        <v>2750</v>
      </c>
      <c r="N1063">
        <v>0</v>
      </c>
    </row>
    <row r="1064" spans="1:14" x14ac:dyDescent="0.25">
      <c r="A1064">
        <v>339.98443900000001</v>
      </c>
      <c r="B1064" s="1">
        <f>DATE(2011,4,5) + TIME(23,37,35)</f>
        <v>40638.984432870369</v>
      </c>
      <c r="C1064">
        <v>80</v>
      </c>
      <c r="D1064">
        <v>61.341724395999996</v>
      </c>
      <c r="E1064">
        <v>60</v>
      </c>
      <c r="F1064">
        <v>59.959819793999998</v>
      </c>
      <c r="G1064">
        <v>1324.3122559000001</v>
      </c>
      <c r="H1064">
        <v>1321.3640137</v>
      </c>
      <c r="I1064">
        <v>1339.2176514</v>
      </c>
      <c r="J1064">
        <v>1336.8685303</v>
      </c>
      <c r="K1064">
        <v>0</v>
      </c>
      <c r="L1064">
        <v>2750</v>
      </c>
      <c r="M1064">
        <v>2750</v>
      </c>
      <c r="N1064">
        <v>0</v>
      </c>
    </row>
    <row r="1065" spans="1:14" x14ac:dyDescent="0.25">
      <c r="A1065">
        <v>340.86124000000001</v>
      </c>
      <c r="B1065" s="1">
        <f>DATE(2011,4,6) + TIME(20,40,11)</f>
        <v>40639.861238425925</v>
      </c>
      <c r="C1065">
        <v>80</v>
      </c>
      <c r="D1065">
        <v>61.165817261000001</v>
      </c>
      <c r="E1065">
        <v>60</v>
      </c>
      <c r="F1065">
        <v>59.959838867000002</v>
      </c>
      <c r="G1065">
        <v>1324.2938231999999</v>
      </c>
      <c r="H1065">
        <v>1321.3389893000001</v>
      </c>
      <c r="I1065">
        <v>1339.2116699000001</v>
      </c>
      <c r="J1065">
        <v>1336.864624</v>
      </c>
      <c r="K1065">
        <v>0</v>
      </c>
      <c r="L1065">
        <v>2750</v>
      </c>
      <c r="M1065">
        <v>2750</v>
      </c>
      <c r="N1065">
        <v>0</v>
      </c>
    </row>
    <row r="1066" spans="1:14" x14ac:dyDescent="0.25">
      <c r="A1066">
        <v>341.73672199999999</v>
      </c>
      <c r="B1066" s="1">
        <f>DATE(2011,4,7) + TIME(17,40,52)</f>
        <v>40640.736712962964</v>
      </c>
      <c r="C1066">
        <v>80</v>
      </c>
      <c r="D1066">
        <v>61.034351348999998</v>
      </c>
      <c r="E1066">
        <v>60</v>
      </c>
      <c r="F1066">
        <v>59.959865569999998</v>
      </c>
      <c r="G1066">
        <v>1324.2829589999999</v>
      </c>
      <c r="H1066">
        <v>1321.3216553</v>
      </c>
      <c r="I1066">
        <v>1339.2086182</v>
      </c>
      <c r="J1066">
        <v>1336.8626709</v>
      </c>
      <c r="K1066">
        <v>0</v>
      </c>
      <c r="L1066">
        <v>2750</v>
      </c>
      <c r="M1066">
        <v>2750</v>
      </c>
      <c r="N1066">
        <v>0</v>
      </c>
    </row>
    <row r="1067" spans="1:14" x14ac:dyDescent="0.25">
      <c r="A1067">
        <v>342.609869</v>
      </c>
      <c r="B1067" s="1">
        <f>DATE(2011,4,8) + TIME(14,38,12)</f>
        <v>40641.609861111108</v>
      </c>
      <c r="C1067">
        <v>80</v>
      </c>
      <c r="D1067">
        <v>60.918403625000003</v>
      </c>
      <c r="E1067">
        <v>60</v>
      </c>
      <c r="F1067">
        <v>59.959892273000001</v>
      </c>
      <c r="G1067">
        <v>1324.2731934000001</v>
      </c>
      <c r="H1067">
        <v>1321.3068848</v>
      </c>
      <c r="I1067">
        <v>1339.2056885</v>
      </c>
      <c r="J1067">
        <v>1336.8605957</v>
      </c>
      <c r="K1067">
        <v>0</v>
      </c>
      <c r="L1067">
        <v>2750</v>
      </c>
      <c r="M1067">
        <v>2750</v>
      </c>
      <c r="N1067">
        <v>0</v>
      </c>
    </row>
    <row r="1068" spans="1:14" x14ac:dyDescent="0.25">
      <c r="A1068">
        <v>343.48214000000002</v>
      </c>
      <c r="B1068" s="1">
        <f>DATE(2011,4,9) + TIME(11,34,16)</f>
        <v>40642.482129629629</v>
      </c>
      <c r="C1068">
        <v>80</v>
      </c>
      <c r="D1068">
        <v>60.808166503999999</v>
      </c>
      <c r="E1068">
        <v>60</v>
      </c>
      <c r="F1068">
        <v>59.959922790999997</v>
      </c>
      <c r="G1068">
        <v>1324.2639160000001</v>
      </c>
      <c r="H1068">
        <v>1321.2933350000001</v>
      </c>
      <c r="I1068">
        <v>1339.2026367000001</v>
      </c>
      <c r="J1068">
        <v>1336.8586425999999</v>
      </c>
      <c r="K1068">
        <v>0</v>
      </c>
      <c r="L1068">
        <v>2750</v>
      </c>
      <c r="M1068">
        <v>2750</v>
      </c>
      <c r="N1068">
        <v>0</v>
      </c>
    </row>
    <row r="1069" spans="1:14" x14ac:dyDescent="0.25">
      <c r="A1069">
        <v>344.35440999999997</v>
      </c>
      <c r="B1069" s="1">
        <f>DATE(2011,4,10) + TIME(8,30,21)</f>
        <v>40643.354409722226</v>
      </c>
      <c r="C1069">
        <v>80</v>
      </c>
      <c r="D1069">
        <v>60.700252532999997</v>
      </c>
      <c r="E1069">
        <v>60</v>
      </c>
      <c r="F1069">
        <v>59.959953308000003</v>
      </c>
      <c r="G1069">
        <v>1324.2550048999999</v>
      </c>
      <c r="H1069">
        <v>1321.2802733999999</v>
      </c>
      <c r="I1069">
        <v>1339.199707</v>
      </c>
      <c r="J1069">
        <v>1336.8566894999999</v>
      </c>
      <c r="K1069">
        <v>0</v>
      </c>
      <c r="L1069">
        <v>2750</v>
      </c>
      <c r="M1069">
        <v>2750</v>
      </c>
      <c r="N1069">
        <v>0</v>
      </c>
    </row>
    <row r="1070" spans="1:14" x14ac:dyDescent="0.25">
      <c r="A1070">
        <v>345.22668099999999</v>
      </c>
      <c r="B1070" s="1">
        <f>DATE(2011,4,11) + TIME(5,26,25)</f>
        <v>40644.226678240739</v>
      </c>
      <c r="C1070">
        <v>80</v>
      </c>
      <c r="D1070">
        <v>60.593482971</v>
      </c>
      <c r="E1070">
        <v>60</v>
      </c>
      <c r="F1070">
        <v>59.959983825999998</v>
      </c>
      <c r="G1070">
        <v>1324.2462158000001</v>
      </c>
      <c r="H1070">
        <v>1321.2675781</v>
      </c>
      <c r="I1070">
        <v>1339.1967772999999</v>
      </c>
      <c r="J1070">
        <v>1336.8547363</v>
      </c>
      <c r="K1070">
        <v>0</v>
      </c>
      <c r="L1070">
        <v>2750</v>
      </c>
      <c r="M1070">
        <v>2750</v>
      </c>
      <c r="N1070">
        <v>0</v>
      </c>
    </row>
    <row r="1071" spans="1:14" x14ac:dyDescent="0.25">
      <c r="A1071">
        <v>346.098952</v>
      </c>
      <c r="B1071" s="1">
        <f>DATE(2011,4,12) + TIME(2,22,29)</f>
        <v>40645.098946759259</v>
      </c>
      <c r="C1071">
        <v>80</v>
      </c>
      <c r="D1071">
        <v>60.487472533999998</v>
      </c>
      <c r="E1071">
        <v>60</v>
      </c>
      <c r="F1071">
        <v>59.960014342999997</v>
      </c>
      <c r="G1071">
        <v>1324.2376709</v>
      </c>
      <c r="H1071">
        <v>1321.2551269999999</v>
      </c>
      <c r="I1071">
        <v>1339.1938477000001</v>
      </c>
      <c r="J1071">
        <v>1336.8527832</v>
      </c>
      <c r="K1071">
        <v>0</v>
      </c>
      <c r="L1071">
        <v>2750</v>
      </c>
      <c r="M1071">
        <v>2750</v>
      </c>
      <c r="N1071">
        <v>0</v>
      </c>
    </row>
    <row r="1072" spans="1:14" x14ac:dyDescent="0.25">
      <c r="A1072">
        <v>346.97122200000001</v>
      </c>
      <c r="B1072" s="1">
        <f>DATE(2011,4,12) + TIME(23,18,33)</f>
        <v>40645.971215277779</v>
      </c>
      <c r="C1072">
        <v>80</v>
      </c>
      <c r="D1072">
        <v>60.382099152000002</v>
      </c>
      <c r="E1072">
        <v>60</v>
      </c>
      <c r="F1072">
        <v>59.960041046000001</v>
      </c>
      <c r="G1072">
        <v>1324.2292480000001</v>
      </c>
      <c r="H1072">
        <v>1321.2429199000001</v>
      </c>
      <c r="I1072">
        <v>1339.190918</v>
      </c>
      <c r="J1072">
        <v>1336.8508300999999</v>
      </c>
      <c r="K1072">
        <v>0</v>
      </c>
      <c r="L1072">
        <v>2750</v>
      </c>
      <c r="M1072">
        <v>2750</v>
      </c>
      <c r="N1072">
        <v>0</v>
      </c>
    </row>
    <row r="1073" spans="1:14" x14ac:dyDescent="0.25">
      <c r="A1073">
        <v>347.84349300000002</v>
      </c>
      <c r="B1073" s="1">
        <f>DATE(2011,4,13) + TIME(20,14,37)</f>
        <v>40646.8434837963</v>
      </c>
      <c r="C1073">
        <v>80</v>
      </c>
      <c r="D1073">
        <v>60.277339935000001</v>
      </c>
      <c r="E1073">
        <v>60</v>
      </c>
      <c r="F1073">
        <v>59.960071564000003</v>
      </c>
      <c r="G1073">
        <v>1324.2209473</v>
      </c>
      <c r="H1073">
        <v>1321.2308350000001</v>
      </c>
      <c r="I1073">
        <v>1339.1879882999999</v>
      </c>
      <c r="J1073">
        <v>1336.848999</v>
      </c>
      <c r="K1073">
        <v>0</v>
      </c>
      <c r="L1073">
        <v>2750</v>
      </c>
      <c r="M1073">
        <v>2750</v>
      </c>
      <c r="N1073">
        <v>0</v>
      </c>
    </row>
    <row r="1074" spans="1:14" x14ac:dyDescent="0.25">
      <c r="A1074">
        <v>349.58803399999999</v>
      </c>
      <c r="B1074" s="1">
        <f>DATE(2011,4,15) + TIME(14,6,46)</f>
        <v>40648.58803240741</v>
      </c>
      <c r="C1074">
        <v>80</v>
      </c>
      <c r="D1074">
        <v>60.15171814</v>
      </c>
      <c r="E1074">
        <v>60</v>
      </c>
      <c r="F1074">
        <v>59.960147857999999</v>
      </c>
      <c r="G1074">
        <v>1324.2128906</v>
      </c>
      <c r="H1074">
        <v>1321.2182617000001</v>
      </c>
      <c r="I1074">
        <v>1339.1851807</v>
      </c>
      <c r="J1074">
        <v>1336.8470459</v>
      </c>
      <c r="K1074">
        <v>0</v>
      </c>
      <c r="L1074">
        <v>2750</v>
      </c>
      <c r="M1074">
        <v>2750</v>
      </c>
      <c r="N1074">
        <v>0</v>
      </c>
    </row>
    <row r="1075" spans="1:14" x14ac:dyDescent="0.25">
      <c r="A1075">
        <v>351.33377000000002</v>
      </c>
      <c r="B1075" s="1">
        <f>DATE(2011,4,17) + TIME(8,0,37)</f>
        <v>40650.333761574075</v>
      </c>
      <c r="C1075">
        <v>80</v>
      </c>
      <c r="D1075">
        <v>59.962368011000002</v>
      </c>
      <c r="E1075">
        <v>60</v>
      </c>
      <c r="F1075">
        <v>59.960208893000001</v>
      </c>
      <c r="G1075">
        <v>1324.1988524999999</v>
      </c>
      <c r="H1075">
        <v>1321.1990966999999</v>
      </c>
      <c r="I1075">
        <v>1339.1794434000001</v>
      </c>
      <c r="J1075">
        <v>1336.8432617000001</v>
      </c>
      <c r="K1075">
        <v>0</v>
      </c>
      <c r="L1075">
        <v>2750</v>
      </c>
      <c r="M1075">
        <v>2750</v>
      </c>
      <c r="N1075">
        <v>0</v>
      </c>
    </row>
    <row r="1076" spans="1:14" x14ac:dyDescent="0.25">
      <c r="A1076">
        <v>353.13279899999998</v>
      </c>
      <c r="B1076" s="1">
        <f>DATE(2011,4,19) + TIME(3,11,13)</f>
        <v>40652.132789351854</v>
      </c>
      <c r="C1076">
        <v>80</v>
      </c>
      <c r="D1076">
        <v>59.760475159000002</v>
      </c>
      <c r="E1076">
        <v>60</v>
      </c>
      <c r="F1076">
        <v>59.960273743000002</v>
      </c>
      <c r="G1076">
        <v>1324.1837158000001</v>
      </c>
      <c r="H1076">
        <v>1321.1773682</v>
      </c>
      <c r="I1076">
        <v>1339.1737060999999</v>
      </c>
      <c r="J1076">
        <v>1336.8393555</v>
      </c>
      <c r="K1076">
        <v>0</v>
      </c>
      <c r="L1076">
        <v>2750</v>
      </c>
      <c r="M1076">
        <v>2750</v>
      </c>
      <c r="N1076">
        <v>0</v>
      </c>
    </row>
    <row r="1077" spans="1:14" x14ac:dyDescent="0.25">
      <c r="A1077">
        <v>354.99626799999999</v>
      </c>
      <c r="B1077" s="1">
        <f>DATE(2011,4,20) + TIME(23,54,37)</f>
        <v>40653.996261574073</v>
      </c>
      <c r="C1077">
        <v>80</v>
      </c>
      <c r="D1077">
        <v>59.553146362</v>
      </c>
      <c r="E1077">
        <v>60</v>
      </c>
      <c r="F1077">
        <v>59.960338593000003</v>
      </c>
      <c r="G1077">
        <v>1324.168457</v>
      </c>
      <c r="H1077">
        <v>1321.1550293</v>
      </c>
      <c r="I1077">
        <v>1339.1678466999999</v>
      </c>
      <c r="J1077">
        <v>1336.8354492000001</v>
      </c>
      <c r="K1077">
        <v>0</v>
      </c>
      <c r="L1077">
        <v>2750</v>
      </c>
      <c r="M1077">
        <v>2750</v>
      </c>
      <c r="N1077">
        <v>0</v>
      </c>
    </row>
    <row r="1078" spans="1:14" x14ac:dyDescent="0.25">
      <c r="A1078">
        <v>355.93247600000001</v>
      </c>
      <c r="B1078" s="1">
        <f>DATE(2011,4,21) + TIME(22,22,45)</f>
        <v>40654.93246527778</v>
      </c>
      <c r="C1078">
        <v>80</v>
      </c>
      <c r="D1078">
        <v>59.377048492</v>
      </c>
      <c r="E1078">
        <v>60</v>
      </c>
      <c r="F1078">
        <v>59.960361481</v>
      </c>
      <c r="G1078">
        <v>1324.152832</v>
      </c>
      <c r="H1078">
        <v>1321.1336670000001</v>
      </c>
      <c r="I1078">
        <v>1339.1618652</v>
      </c>
      <c r="J1078">
        <v>1336.8314209</v>
      </c>
      <c r="K1078">
        <v>0</v>
      </c>
      <c r="L1078">
        <v>2750</v>
      </c>
      <c r="M1078">
        <v>2750</v>
      </c>
      <c r="N1078">
        <v>0</v>
      </c>
    </row>
    <row r="1079" spans="1:14" x14ac:dyDescent="0.25">
      <c r="A1079">
        <v>356.86868299999998</v>
      </c>
      <c r="B1079" s="1">
        <f>DATE(2011,4,22) + TIME(20,50,54)</f>
        <v>40655.868680555555</v>
      </c>
      <c r="C1079">
        <v>80</v>
      </c>
      <c r="D1079">
        <v>59.249084473000003</v>
      </c>
      <c r="E1079">
        <v>60</v>
      </c>
      <c r="F1079">
        <v>59.960391997999999</v>
      </c>
      <c r="G1079">
        <v>1324.144043</v>
      </c>
      <c r="H1079">
        <v>1321.1190185999999</v>
      </c>
      <c r="I1079">
        <v>1339.1589355000001</v>
      </c>
      <c r="J1079">
        <v>1336.8293457</v>
      </c>
      <c r="K1079">
        <v>0</v>
      </c>
      <c r="L1079">
        <v>2750</v>
      </c>
      <c r="M1079">
        <v>2750</v>
      </c>
      <c r="N1079">
        <v>0</v>
      </c>
    </row>
    <row r="1080" spans="1:14" x14ac:dyDescent="0.25">
      <c r="A1080">
        <v>357.804891</v>
      </c>
      <c r="B1080" s="1">
        <f>DATE(2011,4,23) + TIME(19,19,2)</f>
        <v>40656.804884259262</v>
      </c>
      <c r="C1080">
        <v>80</v>
      </c>
      <c r="D1080">
        <v>59.137435912999997</v>
      </c>
      <c r="E1080">
        <v>60</v>
      </c>
      <c r="F1080">
        <v>59.960422516000001</v>
      </c>
      <c r="G1080">
        <v>1324.1361084</v>
      </c>
      <c r="H1080">
        <v>1321.1069336</v>
      </c>
      <c r="I1080">
        <v>1339.1560059000001</v>
      </c>
      <c r="J1080">
        <v>1336.8273925999999</v>
      </c>
      <c r="K1080">
        <v>0</v>
      </c>
      <c r="L1080">
        <v>2750</v>
      </c>
      <c r="M1080">
        <v>2750</v>
      </c>
      <c r="N1080">
        <v>0</v>
      </c>
    </row>
    <row r="1081" spans="1:14" x14ac:dyDescent="0.25">
      <c r="A1081">
        <v>358.74109900000002</v>
      </c>
      <c r="B1081" s="1">
        <f>DATE(2011,4,24) + TIME(17,47,10)</f>
        <v>40657.741087962961</v>
      </c>
      <c r="C1081">
        <v>80</v>
      </c>
      <c r="D1081">
        <v>59.031757355000003</v>
      </c>
      <c r="E1081">
        <v>60</v>
      </c>
      <c r="F1081">
        <v>59.960453033</v>
      </c>
      <c r="G1081">
        <v>1324.1287841999999</v>
      </c>
      <c r="H1081">
        <v>1321.0958252</v>
      </c>
      <c r="I1081">
        <v>1339.1530762</v>
      </c>
      <c r="J1081">
        <v>1336.8254394999999</v>
      </c>
      <c r="K1081">
        <v>0</v>
      </c>
      <c r="L1081">
        <v>2750</v>
      </c>
      <c r="M1081">
        <v>2750</v>
      </c>
      <c r="N1081">
        <v>0</v>
      </c>
    </row>
    <row r="1082" spans="1:14" x14ac:dyDescent="0.25">
      <c r="A1082">
        <v>359.67730599999999</v>
      </c>
      <c r="B1082" s="1">
        <f>DATE(2011,4,25) + TIME(16,15,19)</f>
        <v>40658.677303240744</v>
      </c>
      <c r="C1082">
        <v>80</v>
      </c>
      <c r="D1082">
        <v>58.928676605</v>
      </c>
      <c r="E1082">
        <v>60</v>
      </c>
      <c r="F1082">
        <v>59.960487366000002</v>
      </c>
      <c r="G1082">
        <v>1324.121582</v>
      </c>
      <c r="H1082">
        <v>1321.0853271000001</v>
      </c>
      <c r="I1082">
        <v>1339.1501464999999</v>
      </c>
      <c r="J1082">
        <v>1336.8234863</v>
      </c>
      <c r="K1082">
        <v>0</v>
      </c>
      <c r="L1082">
        <v>2750</v>
      </c>
      <c r="M1082">
        <v>2750</v>
      </c>
      <c r="N1082">
        <v>0</v>
      </c>
    </row>
    <row r="1083" spans="1:14" x14ac:dyDescent="0.25">
      <c r="A1083">
        <v>360.61351400000001</v>
      </c>
      <c r="B1083" s="1">
        <f>DATE(2011,4,26) + TIME(14,43,27)</f>
        <v>40659.613506944443</v>
      </c>
      <c r="C1083">
        <v>80</v>
      </c>
      <c r="D1083">
        <v>58.827106475999997</v>
      </c>
      <c r="E1083">
        <v>60</v>
      </c>
      <c r="F1083">
        <v>59.960521698000001</v>
      </c>
      <c r="G1083">
        <v>1324.1147461</v>
      </c>
      <c r="H1083">
        <v>1321.0750731999999</v>
      </c>
      <c r="I1083">
        <v>1339.1472168</v>
      </c>
      <c r="J1083">
        <v>1336.8214111</v>
      </c>
      <c r="K1083">
        <v>0</v>
      </c>
      <c r="L1083">
        <v>2750</v>
      </c>
      <c r="M1083">
        <v>2750</v>
      </c>
      <c r="N1083">
        <v>0</v>
      </c>
    </row>
    <row r="1084" spans="1:14" x14ac:dyDescent="0.25">
      <c r="A1084">
        <v>361.54972199999997</v>
      </c>
      <c r="B1084" s="1">
        <f>DATE(2011,4,27) + TIME(13,11,35)</f>
        <v>40660.549710648149</v>
      </c>
      <c r="C1084">
        <v>80</v>
      </c>
      <c r="D1084">
        <v>58.726696013999998</v>
      </c>
      <c r="E1084">
        <v>60</v>
      </c>
      <c r="F1084">
        <v>59.960552216000004</v>
      </c>
      <c r="G1084">
        <v>1324.1079102000001</v>
      </c>
      <c r="H1084">
        <v>1321.0649414</v>
      </c>
      <c r="I1084">
        <v>1339.1442870999999</v>
      </c>
      <c r="J1084">
        <v>1336.8194579999999</v>
      </c>
      <c r="K1084">
        <v>0</v>
      </c>
      <c r="L1084">
        <v>2750</v>
      </c>
      <c r="M1084">
        <v>2750</v>
      </c>
      <c r="N1084">
        <v>0</v>
      </c>
    </row>
    <row r="1085" spans="1:14" x14ac:dyDescent="0.25">
      <c r="A1085">
        <v>363.42213700000002</v>
      </c>
      <c r="B1085" s="1">
        <f>DATE(2011,4,29) + TIME(10,7,52)</f>
        <v>40662.422129629631</v>
      </c>
      <c r="C1085">
        <v>80</v>
      </c>
      <c r="D1085">
        <v>58.607849121000001</v>
      </c>
      <c r="E1085">
        <v>60</v>
      </c>
      <c r="F1085">
        <v>59.960632324000002</v>
      </c>
      <c r="G1085">
        <v>1324.1014404</v>
      </c>
      <c r="H1085">
        <v>1321.0546875</v>
      </c>
      <c r="I1085">
        <v>1339.1414795000001</v>
      </c>
      <c r="J1085">
        <v>1336.8175048999999</v>
      </c>
      <c r="K1085">
        <v>0</v>
      </c>
      <c r="L1085">
        <v>2750</v>
      </c>
      <c r="M1085">
        <v>2750</v>
      </c>
      <c r="N1085">
        <v>0</v>
      </c>
    </row>
    <row r="1086" spans="1:14" x14ac:dyDescent="0.25">
      <c r="A1086">
        <v>365</v>
      </c>
      <c r="B1086" s="1">
        <f>DATE(2011,5,1) + TIME(0,0,0)</f>
        <v>40664</v>
      </c>
      <c r="C1086">
        <v>80</v>
      </c>
      <c r="D1086">
        <v>58.434085846000002</v>
      </c>
      <c r="E1086">
        <v>60</v>
      </c>
      <c r="F1086">
        <v>59.960685730000002</v>
      </c>
      <c r="G1086">
        <v>1324.0899658000001</v>
      </c>
      <c r="H1086">
        <v>1321.0391846</v>
      </c>
      <c r="I1086">
        <v>1339.1357422000001</v>
      </c>
      <c r="J1086">
        <v>1336.8135986</v>
      </c>
      <c r="K1086">
        <v>0</v>
      </c>
      <c r="L1086">
        <v>2750</v>
      </c>
      <c r="M1086">
        <v>2750</v>
      </c>
      <c r="N1086">
        <v>0</v>
      </c>
    </row>
    <row r="1087" spans="1:14" x14ac:dyDescent="0.25">
      <c r="A1087">
        <v>365.000001</v>
      </c>
      <c r="B1087" s="1">
        <f>DATE(2011,5,1) + TIME(0,0,0)</f>
        <v>40664</v>
      </c>
      <c r="C1087">
        <v>80</v>
      </c>
      <c r="D1087">
        <v>58.434276580999999</v>
      </c>
      <c r="E1087">
        <v>60</v>
      </c>
      <c r="F1087">
        <v>59.960590363000001</v>
      </c>
      <c r="G1087">
        <v>1328.1081543</v>
      </c>
      <c r="H1087">
        <v>1325.2126464999999</v>
      </c>
      <c r="I1087">
        <v>1336.0909423999999</v>
      </c>
      <c r="J1087">
        <v>1334.6428223</v>
      </c>
      <c r="K1087">
        <v>2750</v>
      </c>
      <c r="L1087">
        <v>0</v>
      </c>
      <c r="M1087">
        <v>0</v>
      </c>
      <c r="N1087">
        <v>2750</v>
      </c>
    </row>
    <row r="1088" spans="1:14" x14ac:dyDescent="0.25">
      <c r="A1088">
        <v>365.00000399999999</v>
      </c>
      <c r="B1088" s="1">
        <f>DATE(2011,5,1) + TIME(0,0,0)</f>
        <v>40664</v>
      </c>
      <c r="C1088">
        <v>80</v>
      </c>
      <c r="D1088">
        <v>58.434616089000002</v>
      </c>
      <c r="E1088">
        <v>60</v>
      </c>
      <c r="F1088">
        <v>59.960449218999997</v>
      </c>
      <c r="G1088">
        <v>1329.5560303</v>
      </c>
      <c r="H1088">
        <v>1326.8209228999999</v>
      </c>
      <c r="I1088">
        <v>1335.0255127</v>
      </c>
      <c r="J1088">
        <v>1333.5775146000001</v>
      </c>
      <c r="K1088">
        <v>2750</v>
      </c>
      <c r="L1088">
        <v>0</v>
      </c>
      <c r="M1088">
        <v>0</v>
      </c>
      <c r="N1088">
        <v>2750</v>
      </c>
    </row>
    <row r="1089" spans="1:14" x14ac:dyDescent="0.25">
      <c r="A1089">
        <v>365.00001300000002</v>
      </c>
      <c r="B1089" s="1">
        <f>DATE(2011,5,1) + TIME(0,0,1)</f>
        <v>40664.000011574077</v>
      </c>
      <c r="C1089">
        <v>80</v>
      </c>
      <c r="D1089">
        <v>58.435230255</v>
      </c>
      <c r="E1089">
        <v>60</v>
      </c>
      <c r="F1089">
        <v>59.960296630999999</v>
      </c>
      <c r="G1089">
        <v>1331.3486327999999</v>
      </c>
      <c r="H1089">
        <v>1328.5909423999999</v>
      </c>
      <c r="I1089">
        <v>1333.8687743999999</v>
      </c>
      <c r="J1089">
        <v>1332.4207764</v>
      </c>
      <c r="K1089">
        <v>2750</v>
      </c>
      <c r="L1089">
        <v>0</v>
      </c>
      <c r="M1089">
        <v>0</v>
      </c>
      <c r="N1089">
        <v>2750</v>
      </c>
    </row>
    <row r="1090" spans="1:14" x14ac:dyDescent="0.25">
      <c r="A1090">
        <v>365.00004000000001</v>
      </c>
      <c r="B1090" s="1">
        <f>DATE(2011,5,1) + TIME(0,0,3)</f>
        <v>40664.000034722223</v>
      </c>
      <c r="C1090">
        <v>80</v>
      </c>
      <c r="D1090">
        <v>58.436645507999998</v>
      </c>
      <c r="E1090">
        <v>60</v>
      </c>
      <c r="F1090">
        <v>59.960144043</v>
      </c>
      <c r="G1090">
        <v>1333.1842041</v>
      </c>
      <c r="H1090">
        <v>1330.3505858999999</v>
      </c>
      <c r="I1090">
        <v>1332.7457274999999</v>
      </c>
      <c r="J1090">
        <v>1331.2927245999999</v>
      </c>
      <c r="K1090">
        <v>2750</v>
      </c>
      <c r="L1090">
        <v>0</v>
      </c>
      <c r="M1090">
        <v>0</v>
      </c>
      <c r="N1090">
        <v>2750</v>
      </c>
    </row>
    <row r="1091" spans="1:14" x14ac:dyDescent="0.25">
      <c r="A1091">
        <v>365.00012099999998</v>
      </c>
      <c r="B1091" s="1">
        <f>DATE(2011,5,1) + TIME(0,0,10)</f>
        <v>40664.000115740739</v>
      </c>
      <c r="C1091">
        <v>80</v>
      </c>
      <c r="D1091">
        <v>58.440517426</v>
      </c>
      <c r="E1091">
        <v>60</v>
      </c>
      <c r="F1091">
        <v>59.959980010999999</v>
      </c>
      <c r="G1091">
        <v>1334.9853516000001</v>
      </c>
      <c r="H1091">
        <v>1332.0770264</v>
      </c>
      <c r="I1091">
        <v>1331.6208495999999</v>
      </c>
      <c r="J1091">
        <v>1330.145874</v>
      </c>
      <c r="K1091">
        <v>2750</v>
      </c>
      <c r="L1091">
        <v>0</v>
      </c>
      <c r="M1091">
        <v>0</v>
      </c>
      <c r="N1091">
        <v>2750</v>
      </c>
    </row>
    <row r="1092" spans="1:14" x14ac:dyDescent="0.25">
      <c r="A1092">
        <v>365.00036399999999</v>
      </c>
      <c r="B1092" s="1">
        <f>DATE(2011,5,1) + TIME(0,0,31)</f>
        <v>40664.000358796293</v>
      </c>
      <c r="C1092">
        <v>80</v>
      </c>
      <c r="D1092">
        <v>58.451965332</v>
      </c>
      <c r="E1092">
        <v>60</v>
      </c>
      <c r="F1092">
        <v>59.959774017000001</v>
      </c>
      <c r="G1092">
        <v>1336.7557373</v>
      </c>
      <c r="H1092">
        <v>1333.7696533000001</v>
      </c>
      <c r="I1092">
        <v>1330.4276123</v>
      </c>
      <c r="J1092">
        <v>1328.9060059000001</v>
      </c>
      <c r="K1092">
        <v>2750</v>
      </c>
      <c r="L1092">
        <v>0</v>
      </c>
      <c r="M1092">
        <v>0</v>
      </c>
      <c r="N1092">
        <v>2750</v>
      </c>
    </row>
    <row r="1093" spans="1:14" x14ac:dyDescent="0.25">
      <c r="A1093">
        <v>365.00109300000003</v>
      </c>
      <c r="B1093" s="1">
        <f>DATE(2011,5,1) + TIME(0,1,34)</f>
        <v>40664.001087962963</v>
      </c>
      <c r="C1093">
        <v>80</v>
      </c>
      <c r="D1093">
        <v>58.486633300999998</v>
      </c>
      <c r="E1093">
        <v>60</v>
      </c>
      <c r="F1093">
        <v>59.959465027</v>
      </c>
      <c r="G1093">
        <v>1338.3807373</v>
      </c>
      <c r="H1093">
        <v>1335.3218993999999</v>
      </c>
      <c r="I1093">
        <v>1329.1846923999999</v>
      </c>
      <c r="J1093">
        <v>1327.6118164</v>
      </c>
      <c r="K1093">
        <v>2750</v>
      </c>
      <c r="L1093">
        <v>0</v>
      </c>
      <c r="M1093">
        <v>0</v>
      </c>
      <c r="N1093">
        <v>2750</v>
      </c>
    </row>
    <row r="1094" spans="1:14" x14ac:dyDescent="0.25">
      <c r="A1094">
        <v>365.00328000000002</v>
      </c>
      <c r="B1094" s="1">
        <f>DATE(2011,5,1) + TIME(0,4,43)</f>
        <v>40664.003275462965</v>
      </c>
      <c r="C1094">
        <v>80</v>
      </c>
      <c r="D1094">
        <v>58.591320037999999</v>
      </c>
      <c r="E1094">
        <v>60</v>
      </c>
      <c r="F1094">
        <v>59.958885193</v>
      </c>
      <c r="G1094">
        <v>1339.5908202999999</v>
      </c>
      <c r="H1094">
        <v>1336.4880370999999</v>
      </c>
      <c r="I1094">
        <v>1328.1293945</v>
      </c>
      <c r="J1094">
        <v>1326.5266113</v>
      </c>
      <c r="K1094">
        <v>2750</v>
      </c>
      <c r="L1094">
        <v>0</v>
      </c>
      <c r="M1094">
        <v>0</v>
      </c>
      <c r="N1094">
        <v>2750</v>
      </c>
    </row>
    <row r="1095" spans="1:14" x14ac:dyDescent="0.25">
      <c r="A1095">
        <v>365.00984099999999</v>
      </c>
      <c r="B1095" s="1">
        <f>DATE(2011,5,1) + TIME(0,14,10)</f>
        <v>40664.009837962964</v>
      </c>
      <c r="C1095">
        <v>80</v>
      </c>
      <c r="D1095">
        <v>58.902107239000003</v>
      </c>
      <c r="E1095">
        <v>60</v>
      </c>
      <c r="F1095">
        <v>59.957481383999998</v>
      </c>
      <c r="G1095">
        <v>1340.2149658000001</v>
      </c>
      <c r="H1095">
        <v>1337.1099853999999</v>
      </c>
      <c r="I1095">
        <v>1327.5540771000001</v>
      </c>
      <c r="J1095">
        <v>1325.9411620999999</v>
      </c>
      <c r="K1095">
        <v>2750</v>
      </c>
      <c r="L1095">
        <v>0</v>
      </c>
      <c r="M1095">
        <v>0</v>
      </c>
      <c r="N1095">
        <v>2750</v>
      </c>
    </row>
    <row r="1096" spans="1:14" x14ac:dyDescent="0.25">
      <c r="A1096">
        <v>365.02534000000003</v>
      </c>
      <c r="B1096" s="1">
        <f>DATE(2011,5,1) + TIME(0,36,29)</f>
        <v>40664.025335648148</v>
      </c>
      <c r="C1096">
        <v>80</v>
      </c>
      <c r="D1096">
        <v>59.611557007000002</v>
      </c>
      <c r="E1096">
        <v>60</v>
      </c>
      <c r="F1096">
        <v>59.954368590999998</v>
      </c>
      <c r="G1096">
        <v>1340.3577881000001</v>
      </c>
      <c r="H1096">
        <v>1337.2854004000001</v>
      </c>
      <c r="I1096">
        <v>1327.4177245999999</v>
      </c>
      <c r="J1096">
        <v>1325.8027344</v>
      </c>
      <c r="K1096">
        <v>2750</v>
      </c>
      <c r="L1096">
        <v>0</v>
      </c>
      <c r="M1096">
        <v>0</v>
      </c>
      <c r="N1096">
        <v>2750</v>
      </c>
    </row>
    <row r="1097" spans="1:14" x14ac:dyDescent="0.25">
      <c r="A1097">
        <v>365.04113699999999</v>
      </c>
      <c r="B1097" s="1">
        <f>DATE(2011,5,1) + TIME(0,59,14)</f>
        <v>40664.041134259256</v>
      </c>
      <c r="C1097">
        <v>80</v>
      </c>
      <c r="D1097">
        <v>60.312274932999998</v>
      </c>
      <c r="E1097">
        <v>60</v>
      </c>
      <c r="F1097">
        <v>59.951229095000002</v>
      </c>
      <c r="G1097">
        <v>1340.3679199000001</v>
      </c>
      <c r="H1097">
        <v>1337.3165283000001</v>
      </c>
      <c r="I1097">
        <v>1327.4071045000001</v>
      </c>
      <c r="J1097">
        <v>1325.7919922000001</v>
      </c>
      <c r="K1097">
        <v>2750</v>
      </c>
      <c r="L1097">
        <v>0</v>
      </c>
      <c r="M1097">
        <v>0</v>
      </c>
      <c r="N1097">
        <v>2750</v>
      </c>
    </row>
    <row r="1098" spans="1:14" x14ac:dyDescent="0.25">
      <c r="A1098">
        <v>365.05725000000001</v>
      </c>
      <c r="B1098" s="1">
        <f>DATE(2011,5,1) + TIME(1,22,26)</f>
        <v>40664.057245370372</v>
      </c>
      <c r="C1098">
        <v>80</v>
      </c>
      <c r="D1098">
        <v>61.004287720000001</v>
      </c>
      <c r="E1098">
        <v>60</v>
      </c>
      <c r="F1098">
        <v>59.948047637999998</v>
      </c>
      <c r="G1098">
        <v>1340.3540039</v>
      </c>
      <c r="H1098">
        <v>1337.3226318</v>
      </c>
      <c r="I1098">
        <v>1327.4079589999999</v>
      </c>
      <c r="J1098">
        <v>1325.7926024999999</v>
      </c>
      <c r="K1098">
        <v>2750</v>
      </c>
      <c r="L1098">
        <v>0</v>
      </c>
      <c r="M1098">
        <v>0</v>
      </c>
      <c r="N1098">
        <v>2750</v>
      </c>
    </row>
    <row r="1099" spans="1:14" x14ac:dyDescent="0.25">
      <c r="A1099">
        <v>365.07369399999999</v>
      </c>
      <c r="B1099" s="1">
        <f>DATE(2011,5,1) + TIME(1,46,7)</f>
        <v>40664.073692129627</v>
      </c>
      <c r="C1099">
        <v>80</v>
      </c>
      <c r="D1099">
        <v>61.687881470000001</v>
      </c>
      <c r="E1099">
        <v>60</v>
      </c>
      <c r="F1099">
        <v>59.944820403999998</v>
      </c>
      <c r="G1099">
        <v>1340.3378906</v>
      </c>
      <c r="H1099">
        <v>1337.3249512</v>
      </c>
      <c r="I1099">
        <v>1327.4086914</v>
      </c>
      <c r="J1099">
        <v>1325.7933350000001</v>
      </c>
      <c r="K1099">
        <v>2750</v>
      </c>
      <c r="L1099">
        <v>0</v>
      </c>
      <c r="M1099">
        <v>0</v>
      </c>
      <c r="N1099">
        <v>2750</v>
      </c>
    </row>
    <row r="1100" spans="1:14" x14ac:dyDescent="0.25">
      <c r="A1100">
        <v>365.09048200000001</v>
      </c>
      <c r="B1100" s="1">
        <f>DATE(2011,5,1) + TIME(2,10,17)</f>
        <v>40664.090474537035</v>
      </c>
      <c r="C1100">
        <v>80</v>
      </c>
      <c r="D1100">
        <v>62.363021850999999</v>
      </c>
      <c r="E1100">
        <v>60</v>
      </c>
      <c r="F1100">
        <v>59.941543578999998</v>
      </c>
      <c r="G1100">
        <v>1340.3236084</v>
      </c>
      <c r="H1100">
        <v>1337.3277588000001</v>
      </c>
      <c r="I1100">
        <v>1327.4090576000001</v>
      </c>
      <c r="J1100">
        <v>1325.7935791</v>
      </c>
      <c r="K1100">
        <v>2750</v>
      </c>
      <c r="L1100">
        <v>0</v>
      </c>
      <c r="M1100">
        <v>0</v>
      </c>
      <c r="N1100">
        <v>2750</v>
      </c>
    </row>
    <row r="1101" spans="1:14" x14ac:dyDescent="0.25">
      <c r="A1101">
        <v>365.10763100000003</v>
      </c>
      <c r="B1101" s="1">
        <f>DATE(2011,5,1) + TIME(2,34,59)</f>
        <v>40664.107627314814</v>
      </c>
      <c r="C1101">
        <v>80</v>
      </c>
      <c r="D1101">
        <v>63.029659271</v>
      </c>
      <c r="E1101">
        <v>60</v>
      </c>
      <c r="F1101">
        <v>59.938220977999997</v>
      </c>
      <c r="G1101">
        <v>1340.3118896000001</v>
      </c>
      <c r="H1101">
        <v>1337.3317870999999</v>
      </c>
      <c r="I1101">
        <v>1327.4091797000001</v>
      </c>
      <c r="J1101">
        <v>1325.7937012</v>
      </c>
      <c r="K1101">
        <v>2750</v>
      </c>
      <c r="L1101">
        <v>0</v>
      </c>
      <c r="M1101">
        <v>0</v>
      </c>
      <c r="N1101">
        <v>2750</v>
      </c>
    </row>
    <row r="1102" spans="1:14" x14ac:dyDescent="0.25">
      <c r="A1102">
        <v>365.12515500000001</v>
      </c>
      <c r="B1102" s="1">
        <f>DATE(2011,5,1) + TIME(3,0,13)</f>
        <v>40664.125150462962</v>
      </c>
      <c r="C1102">
        <v>80</v>
      </c>
      <c r="D1102">
        <v>63.687641143999997</v>
      </c>
      <c r="E1102">
        <v>60</v>
      </c>
      <c r="F1102">
        <v>59.934844970999997</v>
      </c>
      <c r="G1102">
        <v>1340.3029785000001</v>
      </c>
      <c r="H1102">
        <v>1337.3371582</v>
      </c>
      <c r="I1102">
        <v>1327.4093018000001</v>
      </c>
      <c r="J1102">
        <v>1325.7937012</v>
      </c>
      <c r="K1102">
        <v>2750</v>
      </c>
      <c r="L1102">
        <v>0</v>
      </c>
      <c r="M1102">
        <v>0</v>
      </c>
      <c r="N1102">
        <v>2750</v>
      </c>
    </row>
    <row r="1103" spans="1:14" x14ac:dyDescent="0.25">
      <c r="A1103">
        <v>365.14307200000002</v>
      </c>
      <c r="B1103" s="1">
        <f>DATE(2011,5,1) + TIME(3,26,1)</f>
        <v>40664.143067129633</v>
      </c>
      <c r="C1103">
        <v>80</v>
      </c>
      <c r="D1103">
        <v>64.336860657000003</v>
      </c>
      <c r="E1103">
        <v>60</v>
      </c>
      <c r="F1103">
        <v>59.931415557999998</v>
      </c>
      <c r="G1103">
        <v>1340.2967529</v>
      </c>
      <c r="H1103">
        <v>1337.3438721</v>
      </c>
      <c r="I1103">
        <v>1327.4093018000001</v>
      </c>
      <c r="J1103">
        <v>1325.7937012</v>
      </c>
      <c r="K1103">
        <v>2750</v>
      </c>
      <c r="L1103">
        <v>0</v>
      </c>
      <c r="M1103">
        <v>0</v>
      </c>
      <c r="N1103">
        <v>2750</v>
      </c>
    </row>
    <row r="1104" spans="1:14" x14ac:dyDescent="0.25">
      <c r="A1104">
        <v>365.16133400000001</v>
      </c>
      <c r="B1104" s="1">
        <f>DATE(2011,5,1) + TIME(3,52,19)</f>
        <v>40664.16133101852</v>
      </c>
      <c r="C1104">
        <v>80</v>
      </c>
      <c r="D1104">
        <v>64.974906920999999</v>
      </c>
      <c r="E1104">
        <v>60</v>
      </c>
      <c r="F1104">
        <v>59.927940368999998</v>
      </c>
      <c r="G1104">
        <v>1340.2933350000001</v>
      </c>
      <c r="H1104">
        <v>1337.3521728999999</v>
      </c>
      <c r="I1104">
        <v>1327.4093018000001</v>
      </c>
      <c r="J1104">
        <v>1325.7935791</v>
      </c>
      <c r="K1104">
        <v>2750</v>
      </c>
      <c r="L1104">
        <v>0</v>
      </c>
      <c r="M1104">
        <v>0</v>
      </c>
      <c r="N1104">
        <v>2750</v>
      </c>
    </row>
    <row r="1105" spans="1:14" x14ac:dyDescent="0.25">
      <c r="A1105">
        <v>365.17995200000001</v>
      </c>
      <c r="B1105" s="1">
        <f>DATE(2011,5,1) + TIME(4,19,7)</f>
        <v>40664.179942129631</v>
      </c>
      <c r="C1105">
        <v>80</v>
      </c>
      <c r="D1105">
        <v>65.601821899000001</v>
      </c>
      <c r="E1105">
        <v>60</v>
      </c>
      <c r="F1105">
        <v>59.924423218000001</v>
      </c>
      <c r="G1105">
        <v>1340.2923584</v>
      </c>
      <c r="H1105">
        <v>1337.3616943</v>
      </c>
      <c r="I1105">
        <v>1327.4094238</v>
      </c>
      <c r="J1105">
        <v>1325.7935791</v>
      </c>
      <c r="K1105">
        <v>2750</v>
      </c>
      <c r="L1105">
        <v>0</v>
      </c>
      <c r="M1105">
        <v>0</v>
      </c>
      <c r="N1105">
        <v>2750</v>
      </c>
    </row>
    <row r="1106" spans="1:14" x14ac:dyDescent="0.25">
      <c r="A1106">
        <v>365.19894299999999</v>
      </c>
      <c r="B1106" s="1">
        <f>DATE(2011,5,1) + TIME(4,46,28)</f>
        <v>40664.198935185188</v>
      </c>
      <c r="C1106">
        <v>80</v>
      </c>
      <c r="D1106">
        <v>66.217399596999996</v>
      </c>
      <c r="E1106">
        <v>60</v>
      </c>
      <c r="F1106">
        <v>59.920856475999997</v>
      </c>
      <c r="G1106">
        <v>1340.2939452999999</v>
      </c>
      <c r="H1106">
        <v>1337.3724365</v>
      </c>
      <c r="I1106">
        <v>1327.4094238</v>
      </c>
      <c r="J1106">
        <v>1325.793457</v>
      </c>
      <c r="K1106">
        <v>2750</v>
      </c>
      <c r="L1106">
        <v>0</v>
      </c>
      <c r="M1106">
        <v>0</v>
      </c>
      <c r="N1106">
        <v>2750</v>
      </c>
    </row>
    <row r="1107" spans="1:14" x14ac:dyDescent="0.25">
      <c r="A1107">
        <v>365.218324</v>
      </c>
      <c r="B1107" s="1">
        <f>DATE(2011,5,1) + TIME(5,14,23)</f>
        <v>40664.218321759261</v>
      </c>
      <c r="C1107">
        <v>80</v>
      </c>
      <c r="D1107">
        <v>66.821540833</v>
      </c>
      <c r="E1107">
        <v>60</v>
      </c>
      <c r="F1107">
        <v>59.917240143000001</v>
      </c>
      <c r="G1107">
        <v>1340.2977295000001</v>
      </c>
      <c r="H1107">
        <v>1337.3842772999999</v>
      </c>
      <c r="I1107">
        <v>1327.4094238</v>
      </c>
      <c r="J1107">
        <v>1325.7933350000001</v>
      </c>
      <c r="K1107">
        <v>2750</v>
      </c>
      <c r="L1107">
        <v>0</v>
      </c>
      <c r="M1107">
        <v>0</v>
      </c>
      <c r="N1107">
        <v>2750</v>
      </c>
    </row>
    <row r="1108" spans="1:14" x14ac:dyDescent="0.25">
      <c r="A1108">
        <v>365.238113</v>
      </c>
      <c r="B1108" s="1">
        <f>DATE(2011,5,1) + TIME(5,42,52)</f>
        <v>40664.23810185185</v>
      </c>
      <c r="C1108">
        <v>80</v>
      </c>
      <c r="D1108">
        <v>67.414131165000001</v>
      </c>
      <c r="E1108">
        <v>60</v>
      </c>
      <c r="F1108">
        <v>59.913570403999998</v>
      </c>
      <c r="G1108">
        <v>1340.3037108999999</v>
      </c>
      <c r="H1108">
        <v>1337.3973389</v>
      </c>
      <c r="I1108">
        <v>1327.4094238</v>
      </c>
      <c r="J1108">
        <v>1325.7933350000001</v>
      </c>
      <c r="K1108">
        <v>2750</v>
      </c>
      <c r="L1108">
        <v>0</v>
      </c>
      <c r="M1108">
        <v>0</v>
      </c>
      <c r="N1108">
        <v>2750</v>
      </c>
    </row>
    <row r="1109" spans="1:14" x14ac:dyDescent="0.25">
      <c r="A1109">
        <v>365.258329</v>
      </c>
      <c r="B1109" s="1">
        <f>DATE(2011,5,1) + TIME(6,11,59)</f>
        <v>40664.258321759262</v>
      </c>
      <c r="C1109">
        <v>80</v>
      </c>
      <c r="D1109">
        <v>67.995040893999999</v>
      </c>
      <c r="E1109">
        <v>60</v>
      </c>
      <c r="F1109">
        <v>59.909847259999999</v>
      </c>
      <c r="G1109">
        <v>1340.3118896000001</v>
      </c>
      <c r="H1109">
        <v>1337.4113769999999</v>
      </c>
      <c r="I1109">
        <v>1327.4093018000001</v>
      </c>
      <c r="J1109">
        <v>1325.7932129000001</v>
      </c>
      <c r="K1109">
        <v>2750</v>
      </c>
      <c r="L1109">
        <v>0</v>
      </c>
      <c r="M1109">
        <v>0</v>
      </c>
      <c r="N1109">
        <v>2750</v>
      </c>
    </row>
    <row r="1110" spans="1:14" x14ac:dyDescent="0.25">
      <c r="A1110">
        <v>365.27899200000002</v>
      </c>
      <c r="B1110" s="1">
        <f>DATE(2011,5,1) + TIME(6,41,44)</f>
        <v>40664.278981481482</v>
      </c>
      <c r="C1110">
        <v>80</v>
      </c>
      <c r="D1110">
        <v>68.564125060999999</v>
      </c>
      <c r="E1110">
        <v>60</v>
      </c>
      <c r="F1110">
        <v>59.906066895000002</v>
      </c>
      <c r="G1110">
        <v>1340.3220214999999</v>
      </c>
      <c r="H1110">
        <v>1337.4263916</v>
      </c>
      <c r="I1110">
        <v>1327.4093018000001</v>
      </c>
      <c r="J1110">
        <v>1325.7930908000001</v>
      </c>
      <c r="K1110">
        <v>2750</v>
      </c>
      <c r="L1110">
        <v>0</v>
      </c>
      <c r="M1110">
        <v>0</v>
      </c>
      <c r="N1110">
        <v>2750</v>
      </c>
    </row>
    <row r="1111" spans="1:14" x14ac:dyDescent="0.25">
      <c r="A1111">
        <v>365.30012399999998</v>
      </c>
      <c r="B1111" s="1">
        <f>DATE(2011,5,1) + TIME(7,12,10)</f>
        <v>40664.300115740742</v>
      </c>
      <c r="C1111">
        <v>80</v>
      </c>
      <c r="D1111">
        <v>69.121223450000002</v>
      </c>
      <c r="E1111">
        <v>60</v>
      </c>
      <c r="F1111">
        <v>59.902229308999999</v>
      </c>
      <c r="G1111">
        <v>1340.3339844</v>
      </c>
      <c r="H1111">
        <v>1337.4425048999999</v>
      </c>
      <c r="I1111">
        <v>1327.4093018000001</v>
      </c>
      <c r="J1111">
        <v>1325.7928466999999</v>
      </c>
      <c r="K1111">
        <v>2750</v>
      </c>
      <c r="L1111">
        <v>0</v>
      </c>
      <c r="M1111">
        <v>0</v>
      </c>
      <c r="N1111">
        <v>2750</v>
      </c>
    </row>
    <row r="1112" spans="1:14" x14ac:dyDescent="0.25">
      <c r="A1112">
        <v>365.32174400000002</v>
      </c>
      <c r="B1112" s="1">
        <f>DATE(2011,5,1) + TIME(7,43,18)</f>
        <v>40664.321736111109</v>
      </c>
      <c r="C1112">
        <v>80</v>
      </c>
      <c r="D1112">
        <v>69.666038513000004</v>
      </c>
      <c r="E1112">
        <v>60</v>
      </c>
      <c r="F1112">
        <v>59.898326873999999</v>
      </c>
      <c r="G1112">
        <v>1340.3477783000001</v>
      </c>
      <c r="H1112">
        <v>1337.4594727000001</v>
      </c>
      <c r="I1112">
        <v>1327.4091797000001</v>
      </c>
      <c r="J1112">
        <v>1325.7927245999999</v>
      </c>
      <c r="K1112">
        <v>2750</v>
      </c>
      <c r="L1112">
        <v>0</v>
      </c>
      <c r="M1112">
        <v>0</v>
      </c>
      <c r="N1112">
        <v>2750</v>
      </c>
    </row>
    <row r="1113" spans="1:14" x14ac:dyDescent="0.25">
      <c r="A1113">
        <v>365.34388000000001</v>
      </c>
      <c r="B1113" s="1">
        <f>DATE(2011,5,1) + TIME(8,15,11)</f>
        <v>40664.343877314815</v>
      </c>
      <c r="C1113">
        <v>80</v>
      </c>
      <c r="D1113">
        <v>70.198356627999999</v>
      </c>
      <c r="E1113">
        <v>60</v>
      </c>
      <c r="F1113">
        <v>59.894355773999997</v>
      </c>
      <c r="G1113">
        <v>1340.3632812000001</v>
      </c>
      <c r="H1113">
        <v>1337.4771728999999</v>
      </c>
      <c r="I1113">
        <v>1327.4091797000001</v>
      </c>
      <c r="J1113">
        <v>1325.7924805</v>
      </c>
      <c r="K1113">
        <v>2750</v>
      </c>
      <c r="L1113">
        <v>0</v>
      </c>
      <c r="M1113">
        <v>0</v>
      </c>
      <c r="N1113">
        <v>2750</v>
      </c>
    </row>
    <row r="1114" spans="1:14" x14ac:dyDescent="0.25">
      <c r="A1114">
        <v>365.366558</v>
      </c>
      <c r="B1114" s="1">
        <f>DATE(2011,5,1) + TIME(8,47,50)</f>
        <v>40664.366550925923</v>
      </c>
      <c r="C1114">
        <v>80</v>
      </c>
      <c r="D1114">
        <v>70.717872619999994</v>
      </c>
      <c r="E1114">
        <v>60</v>
      </c>
      <c r="F1114">
        <v>59.890319824000002</v>
      </c>
      <c r="G1114">
        <v>1340.3803711</v>
      </c>
      <c r="H1114">
        <v>1337.4957274999999</v>
      </c>
      <c r="I1114">
        <v>1327.4090576000001</v>
      </c>
      <c r="J1114">
        <v>1325.7923584</v>
      </c>
      <c r="K1114">
        <v>2750</v>
      </c>
      <c r="L1114">
        <v>0</v>
      </c>
      <c r="M1114">
        <v>0</v>
      </c>
      <c r="N1114">
        <v>2750</v>
      </c>
    </row>
    <row r="1115" spans="1:14" x14ac:dyDescent="0.25">
      <c r="A1115">
        <v>365.38980900000001</v>
      </c>
      <c r="B1115" s="1">
        <f>DATE(2011,5,1) + TIME(9,21,19)</f>
        <v>40664.389803240738</v>
      </c>
      <c r="C1115">
        <v>80</v>
      </c>
      <c r="D1115">
        <v>71.224617003999995</v>
      </c>
      <c r="E1115">
        <v>60</v>
      </c>
      <c r="F1115">
        <v>59.886207581000001</v>
      </c>
      <c r="G1115">
        <v>1340.3990478999999</v>
      </c>
      <c r="H1115">
        <v>1337.5151367000001</v>
      </c>
      <c r="I1115">
        <v>1327.4089355000001</v>
      </c>
      <c r="J1115">
        <v>1325.7921143000001</v>
      </c>
      <c r="K1115">
        <v>2750</v>
      </c>
      <c r="L1115">
        <v>0</v>
      </c>
      <c r="M1115">
        <v>0</v>
      </c>
      <c r="N1115">
        <v>2750</v>
      </c>
    </row>
    <row r="1116" spans="1:14" x14ac:dyDescent="0.25">
      <c r="A1116">
        <v>365.41366099999999</v>
      </c>
      <c r="B1116" s="1">
        <f>DATE(2011,5,1) + TIME(9,55,40)</f>
        <v>40664.413657407407</v>
      </c>
      <c r="C1116">
        <v>80</v>
      </c>
      <c r="D1116">
        <v>71.718368530000006</v>
      </c>
      <c r="E1116">
        <v>60</v>
      </c>
      <c r="F1116">
        <v>59.882019043</v>
      </c>
      <c r="G1116">
        <v>1340.4190673999999</v>
      </c>
      <c r="H1116">
        <v>1337.5351562000001</v>
      </c>
      <c r="I1116">
        <v>1327.4088135</v>
      </c>
      <c r="J1116">
        <v>1325.7918701000001</v>
      </c>
      <c r="K1116">
        <v>2750</v>
      </c>
      <c r="L1116">
        <v>0</v>
      </c>
      <c r="M1116">
        <v>0</v>
      </c>
      <c r="N1116">
        <v>2750</v>
      </c>
    </row>
    <row r="1117" spans="1:14" x14ac:dyDescent="0.25">
      <c r="A1117">
        <v>365.43814700000001</v>
      </c>
      <c r="B1117" s="1">
        <f>DATE(2011,5,1) + TIME(10,30,55)</f>
        <v>40664.438136574077</v>
      </c>
      <c r="C1117">
        <v>80</v>
      </c>
      <c r="D1117">
        <v>72.198913574000002</v>
      </c>
      <c r="E1117">
        <v>60</v>
      </c>
      <c r="F1117">
        <v>59.877750397</v>
      </c>
      <c r="G1117">
        <v>1340.4405518000001</v>
      </c>
      <c r="H1117">
        <v>1337.5557861</v>
      </c>
      <c r="I1117">
        <v>1327.4086914</v>
      </c>
      <c r="J1117">
        <v>1325.791626</v>
      </c>
      <c r="K1117">
        <v>2750</v>
      </c>
      <c r="L1117">
        <v>0</v>
      </c>
      <c r="M1117">
        <v>0</v>
      </c>
      <c r="N1117">
        <v>2750</v>
      </c>
    </row>
    <row r="1118" spans="1:14" x14ac:dyDescent="0.25">
      <c r="A1118">
        <v>365.46330499999999</v>
      </c>
      <c r="B1118" s="1">
        <f>DATE(2011,5,1) + TIME(11,7,9)</f>
        <v>40664.46329861111</v>
      </c>
      <c r="C1118">
        <v>80</v>
      </c>
      <c r="D1118">
        <v>72.666023253999995</v>
      </c>
      <c r="E1118">
        <v>60</v>
      </c>
      <c r="F1118">
        <v>59.873397826999998</v>
      </c>
      <c r="G1118">
        <v>1340.4632568</v>
      </c>
      <c r="H1118">
        <v>1337.5771483999999</v>
      </c>
      <c r="I1118">
        <v>1327.4085693</v>
      </c>
      <c r="J1118">
        <v>1325.7913818</v>
      </c>
      <c r="K1118">
        <v>2750</v>
      </c>
      <c r="L1118">
        <v>0</v>
      </c>
      <c r="M1118">
        <v>0</v>
      </c>
      <c r="N1118">
        <v>2750</v>
      </c>
    </row>
    <row r="1119" spans="1:14" x14ac:dyDescent="0.25">
      <c r="A1119">
        <v>365.489171</v>
      </c>
      <c r="B1119" s="1">
        <f>DATE(2011,5,1) + TIME(11,44,24)</f>
        <v>40664.489166666666</v>
      </c>
      <c r="C1119">
        <v>80</v>
      </c>
      <c r="D1119">
        <v>73.119476317999997</v>
      </c>
      <c r="E1119">
        <v>60</v>
      </c>
      <c r="F1119">
        <v>59.868949890000003</v>
      </c>
      <c r="G1119">
        <v>1340.4871826000001</v>
      </c>
      <c r="H1119">
        <v>1337.5988769999999</v>
      </c>
      <c r="I1119">
        <v>1327.4084473</v>
      </c>
      <c r="J1119">
        <v>1325.7911377</v>
      </c>
      <c r="K1119">
        <v>2750</v>
      </c>
      <c r="L1119">
        <v>0</v>
      </c>
      <c r="M1119">
        <v>0</v>
      </c>
      <c r="N1119">
        <v>2750</v>
      </c>
    </row>
    <row r="1120" spans="1:14" x14ac:dyDescent="0.25">
      <c r="A1120">
        <v>365.51578799999999</v>
      </c>
      <c r="B1120" s="1">
        <f>DATE(2011,5,1) + TIME(12,22,44)</f>
        <v>40664.515787037039</v>
      </c>
      <c r="C1120">
        <v>80</v>
      </c>
      <c r="D1120">
        <v>73.559059142999999</v>
      </c>
      <c r="E1120">
        <v>60</v>
      </c>
      <c r="F1120">
        <v>59.864410399999997</v>
      </c>
      <c r="G1120">
        <v>1340.512207</v>
      </c>
      <c r="H1120">
        <v>1337.6212158000001</v>
      </c>
      <c r="I1120">
        <v>1327.4083252</v>
      </c>
      <c r="J1120">
        <v>1325.7907714999999</v>
      </c>
      <c r="K1120">
        <v>2750</v>
      </c>
      <c r="L1120">
        <v>0</v>
      </c>
      <c r="M1120">
        <v>0</v>
      </c>
      <c r="N1120">
        <v>2750</v>
      </c>
    </row>
    <row r="1121" spans="1:14" x14ac:dyDescent="0.25">
      <c r="A1121">
        <v>365.54320200000001</v>
      </c>
      <c r="B1121" s="1">
        <f>DATE(2011,5,1) + TIME(13,2,12)</f>
        <v>40664.543194444443</v>
      </c>
      <c r="C1121">
        <v>80</v>
      </c>
      <c r="D1121">
        <v>73.984542847</v>
      </c>
      <c r="E1121">
        <v>60</v>
      </c>
      <c r="F1121">
        <v>59.859767914000003</v>
      </c>
      <c r="G1121">
        <v>1340.5382079999999</v>
      </c>
      <c r="H1121">
        <v>1337.644043</v>
      </c>
      <c r="I1121">
        <v>1327.4080810999999</v>
      </c>
      <c r="J1121">
        <v>1325.7905272999999</v>
      </c>
      <c r="K1121">
        <v>2750</v>
      </c>
      <c r="L1121">
        <v>0</v>
      </c>
      <c r="M1121">
        <v>0</v>
      </c>
      <c r="N1121">
        <v>2750</v>
      </c>
    </row>
    <row r="1122" spans="1:14" x14ac:dyDescent="0.25">
      <c r="A1122">
        <v>365.57147300000003</v>
      </c>
      <c r="B1122" s="1">
        <f>DATE(2011,5,1) + TIME(13,42,55)</f>
        <v>40664.571469907409</v>
      </c>
      <c r="C1122">
        <v>80</v>
      </c>
      <c r="D1122">
        <v>74.395874023000005</v>
      </c>
      <c r="E1122">
        <v>60</v>
      </c>
      <c r="F1122">
        <v>59.855018616000002</v>
      </c>
      <c r="G1122">
        <v>1340.5653076000001</v>
      </c>
      <c r="H1122">
        <v>1337.6672363</v>
      </c>
      <c r="I1122">
        <v>1327.4079589999999</v>
      </c>
      <c r="J1122">
        <v>1325.7901611</v>
      </c>
      <c r="K1122">
        <v>2750</v>
      </c>
      <c r="L1122">
        <v>0</v>
      </c>
      <c r="M1122">
        <v>0</v>
      </c>
      <c r="N1122">
        <v>2750</v>
      </c>
    </row>
    <row r="1123" spans="1:14" x14ac:dyDescent="0.25">
      <c r="A1123">
        <v>365.60064999999997</v>
      </c>
      <c r="B1123" s="1">
        <f>DATE(2011,5,1) + TIME(14,24,56)</f>
        <v>40664.600648148145</v>
      </c>
      <c r="C1123">
        <v>80</v>
      </c>
      <c r="D1123">
        <v>74.792732239000003</v>
      </c>
      <c r="E1123">
        <v>60</v>
      </c>
      <c r="F1123">
        <v>59.850151062000002</v>
      </c>
      <c r="G1123">
        <v>1340.5931396000001</v>
      </c>
      <c r="H1123">
        <v>1337.6907959</v>
      </c>
      <c r="I1123">
        <v>1327.4077147999999</v>
      </c>
      <c r="J1123">
        <v>1325.7897949000001</v>
      </c>
      <c r="K1123">
        <v>2750</v>
      </c>
      <c r="L1123">
        <v>0</v>
      </c>
      <c r="M1123">
        <v>0</v>
      </c>
      <c r="N1123">
        <v>2750</v>
      </c>
    </row>
    <row r="1124" spans="1:14" x14ac:dyDescent="0.25">
      <c r="A1124">
        <v>365.63078999999999</v>
      </c>
      <c r="B1124" s="1">
        <f>DATE(2011,5,1) + TIME(15,8,20)</f>
        <v>40664.630787037036</v>
      </c>
      <c r="C1124">
        <v>80</v>
      </c>
      <c r="D1124">
        <v>75.174766540999997</v>
      </c>
      <c r="E1124">
        <v>60</v>
      </c>
      <c r="F1124">
        <v>59.845165252999998</v>
      </c>
      <c r="G1124">
        <v>1340.6218262</v>
      </c>
      <c r="H1124">
        <v>1337.7145995999999</v>
      </c>
      <c r="I1124">
        <v>1327.4074707</v>
      </c>
      <c r="J1124">
        <v>1325.7895507999999</v>
      </c>
      <c r="K1124">
        <v>2750</v>
      </c>
      <c r="L1124">
        <v>0</v>
      </c>
      <c r="M1124">
        <v>0</v>
      </c>
      <c r="N1124">
        <v>2750</v>
      </c>
    </row>
    <row r="1125" spans="1:14" x14ac:dyDescent="0.25">
      <c r="A1125">
        <v>365.66196000000002</v>
      </c>
      <c r="B1125" s="1">
        <f>DATE(2011,5,1) + TIME(15,53,13)</f>
        <v>40664.661956018521</v>
      </c>
      <c r="C1125">
        <v>80</v>
      </c>
      <c r="D1125">
        <v>75.541770935000002</v>
      </c>
      <c r="E1125">
        <v>60</v>
      </c>
      <c r="F1125">
        <v>59.840045928999999</v>
      </c>
      <c r="G1125">
        <v>1340.6512451000001</v>
      </c>
      <c r="H1125">
        <v>1337.7387695</v>
      </c>
      <c r="I1125">
        <v>1327.4072266000001</v>
      </c>
      <c r="J1125">
        <v>1325.7890625</v>
      </c>
      <c r="K1125">
        <v>2750</v>
      </c>
      <c r="L1125">
        <v>0</v>
      </c>
      <c r="M1125">
        <v>0</v>
      </c>
      <c r="N1125">
        <v>2750</v>
      </c>
    </row>
    <row r="1126" spans="1:14" x14ac:dyDescent="0.25">
      <c r="A1126">
        <v>365.69415600000002</v>
      </c>
      <c r="B1126" s="1">
        <f>DATE(2011,5,1) + TIME(16,39,35)</f>
        <v>40664.694155092591</v>
      </c>
      <c r="C1126">
        <v>80</v>
      </c>
      <c r="D1126">
        <v>75.892959594999994</v>
      </c>
      <c r="E1126">
        <v>60</v>
      </c>
      <c r="F1126">
        <v>59.834800719999997</v>
      </c>
      <c r="G1126">
        <v>1340.6813964999999</v>
      </c>
      <c r="H1126">
        <v>1337.7630615</v>
      </c>
      <c r="I1126">
        <v>1327.4069824000001</v>
      </c>
      <c r="J1126">
        <v>1325.7886963000001</v>
      </c>
      <c r="K1126">
        <v>2750</v>
      </c>
      <c r="L1126">
        <v>0</v>
      </c>
      <c r="M1126">
        <v>0</v>
      </c>
      <c r="N1126">
        <v>2750</v>
      </c>
    </row>
    <row r="1127" spans="1:14" x14ac:dyDescent="0.25">
      <c r="A1127">
        <v>365.72743200000002</v>
      </c>
      <c r="B1127" s="1">
        <f>DATE(2011,5,1) + TIME(17,27,30)</f>
        <v>40664.727430555555</v>
      </c>
      <c r="C1127">
        <v>80</v>
      </c>
      <c r="D1127">
        <v>76.228111267000003</v>
      </c>
      <c r="E1127">
        <v>60</v>
      </c>
      <c r="F1127">
        <v>59.829421996999997</v>
      </c>
      <c r="G1127">
        <v>1340.7120361</v>
      </c>
      <c r="H1127">
        <v>1337.7875977000001</v>
      </c>
      <c r="I1127">
        <v>1327.4067382999999</v>
      </c>
      <c r="J1127">
        <v>1325.7883300999999</v>
      </c>
      <c r="K1127">
        <v>2750</v>
      </c>
      <c r="L1127">
        <v>0</v>
      </c>
      <c r="M1127">
        <v>0</v>
      </c>
      <c r="N1127">
        <v>2750</v>
      </c>
    </row>
    <row r="1128" spans="1:14" x14ac:dyDescent="0.25">
      <c r="A1128">
        <v>365.761866</v>
      </c>
      <c r="B1128" s="1">
        <f>DATE(2011,5,1) + TIME(18,17,5)</f>
        <v>40664.761863425927</v>
      </c>
      <c r="C1128">
        <v>80</v>
      </c>
      <c r="D1128">
        <v>76.547241210999999</v>
      </c>
      <c r="E1128">
        <v>60</v>
      </c>
      <c r="F1128">
        <v>59.82390213</v>
      </c>
      <c r="G1128">
        <v>1340.7430420000001</v>
      </c>
      <c r="H1128">
        <v>1337.8121338000001</v>
      </c>
      <c r="I1128">
        <v>1327.4064940999999</v>
      </c>
      <c r="J1128">
        <v>1325.7878418</v>
      </c>
      <c r="K1128">
        <v>2750</v>
      </c>
      <c r="L1128">
        <v>0</v>
      </c>
      <c r="M1128">
        <v>0</v>
      </c>
      <c r="N1128">
        <v>2750</v>
      </c>
    </row>
    <row r="1129" spans="1:14" x14ac:dyDescent="0.25">
      <c r="A1129">
        <v>365.79753299999999</v>
      </c>
      <c r="B1129" s="1">
        <f>DATE(2011,5,1) + TIME(19,8,26)</f>
        <v>40664.797523148147</v>
      </c>
      <c r="C1129">
        <v>80</v>
      </c>
      <c r="D1129">
        <v>76.850280761999997</v>
      </c>
      <c r="E1129">
        <v>60</v>
      </c>
      <c r="F1129">
        <v>59.818233489999997</v>
      </c>
      <c r="G1129">
        <v>1340.7744141000001</v>
      </c>
      <c r="H1129">
        <v>1337.8366699000001</v>
      </c>
      <c r="I1129">
        <v>1327.4061279</v>
      </c>
      <c r="J1129">
        <v>1325.7873535000001</v>
      </c>
      <c r="K1129">
        <v>2750</v>
      </c>
      <c r="L1129">
        <v>0</v>
      </c>
      <c r="M1129">
        <v>0</v>
      </c>
      <c r="N1129">
        <v>2750</v>
      </c>
    </row>
    <row r="1130" spans="1:14" x14ac:dyDescent="0.25">
      <c r="A1130">
        <v>365.83451100000002</v>
      </c>
      <c r="B1130" s="1">
        <f>DATE(2011,5,1) + TIME(20,1,41)</f>
        <v>40664.834502314814</v>
      </c>
      <c r="C1130">
        <v>80</v>
      </c>
      <c r="D1130">
        <v>77.137176514000004</v>
      </c>
      <c r="E1130">
        <v>60</v>
      </c>
      <c r="F1130">
        <v>59.812400818</v>
      </c>
      <c r="G1130">
        <v>1340.8060303</v>
      </c>
      <c r="H1130">
        <v>1337.8612060999999</v>
      </c>
      <c r="I1130">
        <v>1327.4058838000001</v>
      </c>
      <c r="J1130">
        <v>1325.7868652</v>
      </c>
      <c r="K1130">
        <v>2750</v>
      </c>
      <c r="L1130">
        <v>0</v>
      </c>
      <c r="M1130">
        <v>0</v>
      </c>
      <c r="N1130">
        <v>2750</v>
      </c>
    </row>
    <row r="1131" spans="1:14" x14ac:dyDescent="0.25">
      <c r="A1131">
        <v>365.87289299999998</v>
      </c>
      <c r="B1131" s="1">
        <f>DATE(2011,5,1) + TIME(20,56,57)</f>
        <v>40664.872881944444</v>
      </c>
      <c r="C1131">
        <v>80</v>
      </c>
      <c r="D1131">
        <v>77.407966614000003</v>
      </c>
      <c r="E1131">
        <v>60</v>
      </c>
      <c r="F1131">
        <v>59.806400299000003</v>
      </c>
      <c r="G1131">
        <v>1340.8378906</v>
      </c>
      <c r="H1131">
        <v>1337.8854980000001</v>
      </c>
      <c r="I1131">
        <v>1327.4055175999999</v>
      </c>
      <c r="J1131">
        <v>1325.7863769999999</v>
      </c>
      <c r="K1131">
        <v>2750</v>
      </c>
      <c r="L1131">
        <v>0</v>
      </c>
      <c r="M1131">
        <v>0</v>
      </c>
      <c r="N1131">
        <v>2750</v>
      </c>
    </row>
    <row r="1132" spans="1:14" x14ac:dyDescent="0.25">
      <c r="A1132">
        <v>365.912779</v>
      </c>
      <c r="B1132" s="1">
        <f>DATE(2011,5,1) + TIME(21,54,24)</f>
        <v>40664.912777777776</v>
      </c>
      <c r="C1132">
        <v>80</v>
      </c>
      <c r="D1132">
        <v>77.662727356000005</v>
      </c>
      <c r="E1132">
        <v>60</v>
      </c>
      <c r="F1132">
        <v>59.800216675000001</v>
      </c>
      <c r="G1132">
        <v>1340.869751</v>
      </c>
      <c r="H1132">
        <v>1337.9097899999999</v>
      </c>
      <c r="I1132">
        <v>1327.4051514</v>
      </c>
      <c r="J1132">
        <v>1325.7858887</v>
      </c>
      <c r="K1132">
        <v>2750</v>
      </c>
      <c r="L1132">
        <v>0</v>
      </c>
      <c r="M1132">
        <v>0</v>
      </c>
      <c r="N1132">
        <v>2750</v>
      </c>
    </row>
    <row r="1133" spans="1:14" x14ac:dyDescent="0.25">
      <c r="A1133">
        <v>365.95428199999998</v>
      </c>
      <c r="B1133" s="1">
        <f>DATE(2011,5,1) + TIME(22,54,9)</f>
        <v>40664.954270833332</v>
      </c>
      <c r="C1133">
        <v>80</v>
      </c>
      <c r="D1133">
        <v>77.901580811000002</v>
      </c>
      <c r="E1133">
        <v>60</v>
      </c>
      <c r="F1133">
        <v>59.793838501000003</v>
      </c>
      <c r="G1133">
        <v>1340.9016113</v>
      </c>
      <c r="H1133">
        <v>1337.9338379000001</v>
      </c>
      <c r="I1133">
        <v>1327.4047852000001</v>
      </c>
      <c r="J1133">
        <v>1325.7852783000001</v>
      </c>
      <c r="K1133">
        <v>2750</v>
      </c>
      <c r="L1133">
        <v>0</v>
      </c>
      <c r="M1133">
        <v>0</v>
      </c>
      <c r="N1133">
        <v>2750</v>
      </c>
    </row>
    <row r="1134" spans="1:14" x14ac:dyDescent="0.25">
      <c r="A1134">
        <v>365.99752799999999</v>
      </c>
      <c r="B1134" s="1">
        <f>DATE(2011,5,1) + TIME(23,56,26)</f>
        <v>40664.997523148151</v>
      </c>
      <c r="C1134">
        <v>80</v>
      </c>
      <c r="D1134">
        <v>78.124702454000001</v>
      </c>
      <c r="E1134">
        <v>60</v>
      </c>
      <c r="F1134">
        <v>59.787246703999998</v>
      </c>
      <c r="G1134">
        <v>1340.9333495999999</v>
      </c>
      <c r="H1134">
        <v>1337.9576416</v>
      </c>
      <c r="I1134">
        <v>1327.4044189000001</v>
      </c>
      <c r="J1134">
        <v>1325.784668</v>
      </c>
      <c r="K1134">
        <v>2750</v>
      </c>
      <c r="L1134">
        <v>0</v>
      </c>
      <c r="M1134">
        <v>0</v>
      </c>
      <c r="N1134">
        <v>2750</v>
      </c>
    </row>
    <row r="1135" spans="1:14" x14ac:dyDescent="0.25">
      <c r="A1135">
        <v>366.04265700000002</v>
      </c>
      <c r="B1135" s="1">
        <f>DATE(2011,5,2) + TIME(1,1,25)</f>
        <v>40665.042650462965</v>
      </c>
      <c r="C1135">
        <v>80</v>
      </c>
      <c r="D1135">
        <v>78.332298279</v>
      </c>
      <c r="E1135">
        <v>60</v>
      </c>
      <c r="F1135">
        <v>59.780433655000003</v>
      </c>
      <c r="G1135">
        <v>1340.9649658000001</v>
      </c>
      <c r="H1135">
        <v>1337.9812012</v>
      </c>
      <c r="I1135">
        <v>1327.4039307</v>
      </c>
      <c r="J1135">
        <v>1325.7840576000001</v>
      </c>
      <c r="K1135">
        <v>2750</v>
      </c>
      <c r="L1135">
        <v>0</v>
      </c>
      <c r="M1135">
        <v>0</v>
      </c>
      <c r="N1135">
        <v>2750</v>
      </c>
    </row>
    <row r="1136" spans="1:14" x14ac:dyDescent="0.25">
      <c r="A1136">
        <v>366.08982700000001</v>
      </c>
      <c r="B1136" s="1">
        <f>DATE(2011,5,2) + TIME(2,9,21)</f>
        <v>40665.089826388888</v>
      </c>
      <c r="C1136">
        <v>80</v>
      </c>
      <c r="D1136">
        <v>78.524642943999993</v>
      </c>
      <c r="E1136">
        <v>60</v>
      </c>
      <c r="F1136">
        <v>59.773376464999998</v>
      </c>
      <c r="G1136">
        <v>1340.9963379000001</v>
      </c>
      <c r="H1136">
        <v>1338.0043945</v>
      </c>
      <c r="I1136">
        <v>1327.4034423999999</v>
      </c>
      <c r="J1136">
        <v>1325.7833252</v>
      </c>
      <c r="K1136">
        <v>2750</v>
      </c>
      <c r="L1136">
        <v>0</v>
      </c>
      <c r="M1136">
        <v>0</v>
      </c>
      <c r="N1136">
        <v>2750</v>
      </c>
    </row>
    <row r="1137" spans="1:14" x14ac:dyDescent="0.25">
      <c r="A1137">
        <v>366.13921399999998</v>
      </c>
      <c r="B1137" s="1">
        <f>DATE(2011,5,2) + TIME(3,20,28)</f>
        <v>40665.13921296296</v>
      </c>
      <c r="C1137">
        <v>80</v>
      </c>
      <c r="D1137">
        <v>78.702033997000001</v>
      </c>
      <c r="E1137">
        <v>60</v>
      </c>
      <c r="F1137">
        <v>59.766052246000001</v>
      </c>
      <c r="G1137">
        <v>1341.0273437999999</v>
      </c>
      <c r="H1137">
        <v>1338.0272216999999</v>
      </c>
      <c r="I1137">
        <v>1327.4029541</v>
      </c>
      <c r="J1137">
        <v>1325.7827147999999</v>
      </c>
      <c r="K1137">
        <v>2750</v>
      </c>
      <c r="L1137">
        <v>0</v>
      </c>
      <c r="M1137">
        <v>0</v>
      </c>
      <c r="N1137">
        <v>2750</v>
      </c>
    </row>
    <row r="1138" spans="1:14" x14ac:dyDescent="0.25">
      <c r="A1138">
        <v>366.19102600000002</v>
      </c>
      <c r="B1138" s="1">
        <f>DATE(2011,5,2) + TIME(4,35,4)</f>
        <v>40665.191018518519</v>
      </c>
      <c r="C1138">
        <v>80</v>
      </c>
      <c r="D1138">
        <v>78.864868164000001</v>
      </c>
      <c r="E1138">
        <v>60</v>
      </c>
      <c r="F1138">
        <v>59.758441925</v>
      </c>
      <c r="G1138">
        <v>1341.0579834</v>
      </c>
      <c r="H1138">
        <v>1338.0495605000001</v>
      </c>
      <c r="I1138">
        <v>1327.4024658000001</v>
      </c>
      <c r="J1138">
        <v>1325.7818603999999</v>
      </c>
      <c r="K1138">
        <v>2750</v>
      </c>
      <c r="L1138">
        <v>0</v>
      </c>
      <c r="M1138">
        <v>0</v>
      </c>
      <c r="N1138">
        <v>2750</v>
      </c>
    </row>
    <row r="1139" spans="1:14" x14ac:dyDescent="0.25">
      <c r="A1139">
        <v>366.24552199999999</v>
      </c>
      <c r="B1139" s="1">
        <f>DATE(2011,5,2) + TIME(5,53,33)</f>
        <v>40665.245520833334</v>
      </c>
      <c r="C1139">
        <v>80</v>
      </c>
      <c r="D1139">
        <v>79.013603209999999</v>
      </c>
      <c r="E1139">
        <v>60</v>
      </c>
      <c r="F1139">
        <v>59.750518798999998</v>
      </c>
      <c r="G1139">
        <v>1341.0881348</v>
      </c>
      <c r="H1139">
        <v>1338.0714111</v>
      </c>
      <c r="I1139">
        <v>1327.4018555</v>
      </c>
      <c r="J1139">
        <v>1325.7811279</v>
      </c>
      <c r="K1139">
        <v>2750</v>
      </c>
      <c r="L1139">
        <v>0</v>
      </c>
      <c r="M1139">
        <v>0</v>
      </c>
      <c r="N1139">
        <v>2750</v>
      </c>
    </row>
    <row r="1140" spans="1:14" x14ac:dyDescent="0.25">
      <c r="A1140">
        <v>366.30293799999998</v>
      </c>
      <c r="B1140" s="1">
        <f>DATE(2011,5,2) + TIME(7,16,13)</f>
        <v>40665.302928240744</v>
      </c>
      <c r="C1140">
        <v>80</v>
      </c>
      <c r="D1140">
        <v>79.148620605000005</v>
      </c>
      <c r="E1140">
        <v>60</v>
      </c>
      <c r="F1140">
        <v>59.742248535000002</v>
      </c>
      <c r="G1140">
        <v>1341.1176757999999</v>
      </c>
      <c r="H1140">
        <v>1338.0927733999999</v>
      </c>
      <c r="I1140">
        <v>1327.4013672000001</v>
      </c>
      <c r="J1140">
        <v>1325.7802733999999</v>
      </c>
      <c r="K1140">
        <v>2750</v>
      </c>
      <c r="L1140">
        <v>0</v>
      </c>
      <c r="M1140">
        <v>0</v>
      </c>
      <c r="N1140">
        <v>2750</v>
      </c>
    </row>
    <row r="1141" spans="1:14" x14ac:dyDescent="0.25">
      <c r="A1141">
        <v>366.36358100000001</v>
      </c>
      <c r="B1141" s="1">
        <f>DATE(2011,5,2) + TIME(8,43,33)</f>
        <v>40665.363576388889</v>
      </c>
      <c r="C1141">
        <v>80</v>
      </c>
      <c r="D1141">
        <v>79.270431518999999</v>
      </c>
      <c r="E1141">
        <v>60</v>
      </c>
      <c r="F1141">
        <v>59.733604431000003</v>
      </c>
      <c r="G1141">
        <v>1341.1466064000001</v>
      </c>
      <c r="H1141">
        <v>1338.1136475000001</v>
      </c>
      <c r="I1141">
        <v>1327.4006348</v>
      </c>
      <c r="J1141">
        <v>1325.7794189000001</v>
      </c>
      <c r="K1141">
        <v>2750</v>
      </c>
      <c r="L1141">
        <v>0</v>
      </c>
      <c r="M1141">
        <v>0</v>
      </c>
      <c r="N1141">
        <v>2750</v>
      </c>
    </row>
    <row r="1142" spans="1:14" x14ac:dyDescent="0.25">
      <c r="A1142">
        <v>366.42490099999998</v>
      </c>
      <c r="B1142" s="1">
        <f>DATE(2011,5,2) + TIME(10,11,51)</f>
        <v>40665.424895833334</v>
      </c>
      <c r="C1142">
        <v>80</v>
      </c>
      <c r="D1142">
        <v>79.375396729000002</v>
      </c>
      <c r="E1142">
        <v>60</v>
      </c>
      <c r="F1142">
        <v>59.724925995</v>
      </c>
      <c r="G1142">
        <v>1341.175293</v>
      </c>
      <c r="H1142">
        <v>1338.1341553</v>
      </c>
      <c r="I1142">
        <v>1327.4000243999999</v>
      </c>
      <c r="J1142">
        <v>1325.7784423999999</v>
      </c>
      <c r="K1142">
        <v>2750</v>
      </c>
      <c r="L1142">
        <v>0</v>
      </c>
      <c r="M1142">
        <v>0</v>
      </c>
      <c r="N1142">
        <v>2750</v>
      </c>
    </row>
    <row r="1143" spans="1:14" x14ac:dyDescent="0.25">
      <c r="A1143">
        <v>366.48684700000001</v>
      </c>
      <c r="B1143" s="1">
        <f>DATE(2011,5,2) + TIME(11,41,3)</f>
        <v>40665.486840277779</v>
      </c>
      <c r="C1143">
        <v>80</v>
      </c>
      <c r="D1143">
        <v>79.465545653999996</v>
      </c>
      <c r="E1143">
        <v>60</v>
      </c>
      <c r="F1143">
        <v>59.716217041</v>
      </c>
      <c r="G1143">
        <v>1341.2021483999999</v>
      </c>
      <c r="H1143">
        <v>1338.1530762</v>
      </c>
      <c r="I1143">
        <v>1327.3992920000001</v>
      </c>
      <c r="J1143">
        <v>1325.7774658000001</v>
      </c>
      <c r="K1143">
        <v>2750</v>
      </c>
      <c r="L1143">
        <v>0</v>
      </c>
      <c r="M1143">
        <v>0</v>
      </c>
      <c r="N1143">
        <v>2750</v>
      </c>
    </row>
    <row r="1144" spans="1:14" x14ac:dyDescent="0.25">
      <c r="A1144">
        <v>366.54955699999999</v>
      </c>
      <c r="B1144" s="1">
        <f>DATE(2011,5,2) + TIME(13,11,21)</f>
        <v>40665.54954861111</v>
      </c>
      <c r="C1144">
        <v>80</v>
      </c>
      <c r="D1144">
        <v>79.542938231999997</v>
      </c>
      <c r="E1144">
        <v>60</v>
      </c>
      <c r="F1144">
        <v>59.707466125000003</v>
      </c>
      <c r="G1144">
        <v>1341.2269286999999</v>
      </c>
      <c r="H1144">
        <v>1338.1706543</v>
      </c>
      <c r="I1144">
        <v>1327.3985596</v>
      </c>
      <c r="J1144">
        <v>1325.7763672000001</v>
      </c>
      <c r="K1144">
        <v>2750</v>
      </c>
      <c r="L1144">
        <v>0</v>
      </c>
      <c r="M1144">
        <v>0</v>
      </c>
      <c r="N1144">
        <v>2750</v>
      </c>
    </row>
    <row r="1145" spans="1:14" x14ac:dyDescent="0.25">
      <c r="A1145">
        <v>366.61322000000001</v>
      </c>
      <c r="B1145" s="1">
        <f>DATE(2011,5,2) + TIME(14,43,2)</f>
        <v>40665.613217592596</v>
      </c>
      <c r="C1145">
        <v>80</v>
      </c>
      <c r="D1145">
        <v>79.609359741000006</v>
      </c>
      <c r="E1145">
        <v>60</v>
      </c>
      <c r="F1145">
        <v>59.698638916</v>
      </c>
      <c r="G1145">
        <v>1341.2497559000001</v>
      </c>
      <c r="H1145">
        <v>1338.1870117000001</v>
      </c>
      <c r="I1145">
        <v>1327.3977050999999</v>
      </c>
      <c r="J1145">
        <v>1325.7753906</v>
      </c>
      <c r="K1145">
        <v>2750</v>
      </c>
      <c r="L1145">
        <v>0</v>
      </c>
      <c r="M1145">
        <v>0</v>
      </c>
      <c r="N1145">
        <v>2750</v>
      </c>
    </row>
    <row r="1146" spans="1:14" x14ac:dyDescent="0.25">
      <c r="A1146">
        <v>366.67802</v>
      </c>
      <c r="B1146" s="1">
        <f>DATE(2011,5,2) + TIME(16,16,20)</f>
        <v>40665.67800925926</v>
      </c>
      <c r="C1146">
        <v>80</v>
      </c>
      <c r="D1146">
        <v>79.666336060000006</v>
      </c>
      <c r="E1146">
        <v>60</v>
      </c>
      <c r="F1146">
        <v>59.689720154</v>
      </c>
      <c r="G1146">
        <v>1341.2709961</v>
      </c>
      <c r="H1146">
        <v>1338.2020264</v>
      </c>
      <c r="I1146">
        <v>1327.3969727000001</v>
      </c>
      <c r="J1146">
        <v>1325.7742920000001</v>
      </c>
      <c r="K1146">
        <v>2750</v>
      </c>
      <c r="L1146">
        <v>0</v>
      </c>
      <c r="M1146">
        <v>0</v>
      </c>
      <c r="N1146">
        <v>2750</v>
      </c>
    </row>
    <row r="1147" spans="1:14" x14ac:dyDescent="0.25">
      <c r="A1147">
        <v>366.74413900000002</v>
      </c>
      <c r="B1147" s="1">
        <f>DATE(2011,5,2) + TIME(17,51,33)</f>
        <v>40665.744131944448</v>
      </c>
      <c r="C1147">
        <v>80</v>
      </c>
      <c r="D1147">
        <v>79.715141295999999</v>
      </c>
      <c r="E1147">
        <v>60</v>
      </c>
      <c r="F1147">
        <v>59.680679321</v>
      </c>
      <c r="G1147">
        <v>1341.2905272999999</v>
      </c>
      <c r="H1147">
        <v>1338.2158202999999</v>
      </c>
      <c r="I1147">
        <v>1327.3961182</v>
      </c>
      <c r="J1147">
        <v>1325.7731934000001</v>
      </c>
      <c r="K1147">
        <v>2750</v>
      </c>
      <c r="L1147">
        <v>0</v>
      </c>
      <c r="M1147">
        <v>0</v>
      </c>
      <c r="N1147">
        <v>2750</v>
      </c>
    </row>
    <row r="1148" spans="1:14" x14ac:dyDescent="0.25">
      <c r="A1148">
        <v>366.81144</v>
      </c>
      <c r="B1148" s="1">
        <f>DATE(2011,5,2) + TIME(19,28,28)</f>
        <v>40665.811435185184</v>
      </c>
      <c r="C1148">
        <v>80</v>
      </c>
      <c r="D1148">
        <v>79.756706238000007</v>
      </c>
      <c r="E1148">
        <v>60</v>
      </c>
      <c r="F1148">
        <v>59.671539307000003</v>
      </c>
      <c r="G1148">
        <v>1341.3085937999999</v>
      </c>
      <c r="H1148">
        <v>1338.2287598</v>
      </c>
      <c r="I1148">
        <v>1327.3952637</v>
      </c>
      <c r="J1148">
        <v>1325.7719727000001</v>
      </c>
      <c r="K1148">
        <v>2750</v>
      </c>
      <c r="L1148">
        <v>0</v>
      </c>
      <c r="M1148">
        <v>0</v>
      </c>
      <c r="N1148">
        <v>2750</v>
      </c>
    </row>
    <row r="1149" spans="1:14" x14ac:dyDescent="0.25">
      <c r="A1149">
        <v>366.87927000000002</v>
      </c>
      <c r="B1149" s="1">
        <f>DATE(2011,5,2) + TIME(21,6,8)</f>
        <v>40665.879259259258</v>
      </c>
      <c r="C1149">
        <v>80</v>
      </c>
      <c r="D1149">
        <v>79.791709900000001</v>
      </c>
      <c r="E1149">
        <v>60</v>
      </c>
      <c r="F1149">
        <v>59.662384033000002</v>
      </c>
      <c r="G1149">
        <v>1341.3251952999999</v>
      </c>
      <c r="H1149">
        <v>1338.2406006000001</v>
      </c>
      <c r="I1149">
        <v>1327.3944091999999</v>
      </c>
      <c r="J1149">
        <v>1325.7707519999999</v>
      </c>
      <c r="K1149">
        <v>2750</v>
      </c>
      <c r="L1149">
        <v>0</v>
      </c>
      <c r="M1149">
        <v>0</v>
      </c>
      <c r="N1149">
        <v>2750</v>
      </c>
    </row>
    <row r="1150" spans="1:14" x14ac:dyDescent="0.25">
      <c r="A1150">
        <v>366.94777099999999</v>
      </c>
      <c r="B1150" s="1">
        <f>DATE(2011,5,2) + TIME(22,44,47)</f>
        <v>40665.947766203702</v>
      </c>
      <c r="C1150">
        <v>80</v>
      </c>
      <c r="D1150">
        <v>79.821189880000006</v>
      </c>
      <c r="E1150">
        <v>60</v>
      </c>
      <c r="F1150">
        <v>59.653190613</v>
      </c>
      <c r="G1150">
        <v>1341.340332</v>
      </c>
      <c r="H1150">
        <v>1338.2514647999999</v>
      </c>
      <c r="I1150">
        <v>1327.3934326000001</v>
      </c>
      <c r="J1150">
        <v>1325.7695312000001</v>
      </c>
      <c r="K1150">
        <v>2750</v>
      </c>
      <c r="L1150">
        <v>0</v>
      </c>
      <c r="M1150">
        <v>0</v>
      </c>
      <c r="N1150">
        <v>2750</v>
      </c>
    </row>
    <row r="1151" spans="1:14" x14ac:dyDescent="0.25">
      <c r="A1151">
        <v>367.01706200000001</v>
      </c>
      <c r="B1151" s="1">
        <f>DATE(2011,5,3) + TIME(0,24,34)</f>
        <v>40666.017060185186</v>
      </c>
      <c r="C1151">
        <v>80</v>
      </c>
      <c r="D1151">
        <v>79.846000670999999</v>
      </c>
      <c r="E1151">
        <v>60</v>
      </c>
      <c r="F1151">
        <v>59.643939971999998</v>
      </c>
      <c r="G1151">
        <v>1341.3540039</v>
      </c>
      <c r="H1151">
        <v>1338.2612305</v>
      </c>
      <c r="I1151">
        <v>1327.3925781</v>
      </c>
      <c r="J1151">
        <v>1325.7683105000001</v>
      </c>
      <c r="K1151">
        <v>2750</v>
      </c>
      <c r="L1151">
        <v>0</v>
      </c>
      <c r="M1151">
        <v>0</v>
      </c>
      <c r="N1151">
        <v>2750</v>
      </c>
    </row>
    <row r="1152" spans="1:14" x14ac:dyDescent="0.25">
      <c r="A1152">
        <v>367.087267</v>
      </c>
      <c r="B1152" s="1">
        <f>DATE(2011,5,3) + TIME(2,5,39)</f>
        <v>40666.087256944447</v>
      </c>
      <c r="C1152">
        <v>80</v>
      </c>
      <c r="D1152">
        <v>79.866867064999994</v>
      </c>
      <c r="E1152">
        <v>60</v>
      </c>
      <c r="F1152">
        <v>59.634628296000002</v>
      </c>
      <c r="G1152">
        <v>1341.3662108999999</v>
      </c>
      <c r="H1152">
        <v>1338.2701416</v>
      </c>
      <c r="I1152">
        <v>1327.3916016000001</v>
      </c>
      <c r="J1152">
        <v>1325.7670897999999</v>
      </c>
      <c r="K1152">
        <v>2750</v>
      </c>
      <c r="L1152">
        <v>0</v>
      </c>
      <c r="M1152">
        <v>0</v>
      </c>
      <c r="N1152">
        <v>2750</v>
      </c>
    </row>
    <row r="1153" spans="1:14" x14ac:dyDescent="0.25">
      <c r="A1153">
        <v>367.15851099999998</v>
      </c>
      <c r="B1153" s="1">
        <f>DATE(2011,5,3) + TIME(3,48,15)</f>
        <v>40666.158506944441</v>
      </c>
      <c r="C1153">
        <v>80</v>
      </c>
      <c r="D1153">
        <v>79.884407042999996</v>
      </c>
      <c r="E1153">
        <v>60</v>
      </c>
      <c r="F1153">
        <v>59.625228882000002</v>
      </c>
      <c r="G1153">
        <v>1341.3771973</v>
      </c>
      <c r="H1153">
        <v>1338.2781981999999</v>
      </c>
      <c r="I1153">
        <v>1327.390625</v>
      </c>
      <c r="J1153">
        <v>1325.7657471</v>
      </c>
      <c r="K1153">
        <v>2750</v>
      </c>
      <c r="L1153">
        <v>0</v>
      </c>
      <c r="M1153">
        <v>0</v>
      </c>
      <c r="N1153">
        <v>2750</v>
      </c>
    </row>
    <row r="1154" spans="1:14" x14ac:dyDescent="0.25">
      <c r="A1154">
        <v>367.23093499999999</v>
      </c>
      <c r="B1154" s="1">
        <f>DATE(2011,5,3) + TIME(5,32,32)</f>
        <v>40666.230925925927</v>
      </c>
      <c r="C1154">
        <v>80</v>
      </c>
      <c r="D1154">
        <v>79.899124146000005</v>
      </c>
      <c r="E1154">
        <v>60</v>
      </c>
      <c r="F1154">
        <v>59.615730286000002</v>
      </c>
      <c r="G1154">
        <v>1341.3869629000001</v>
      </c>
      <c r="H1154">
        <v>1338.2855225000001</v>
      </c>
      <c r="I1154">
        <v>1327.3896483999999</v>
      </c>
      <c r="J1154">
        <v>1325.7644043</v>
      </c>
      <c r="K1154">
        <v>2750</v>
      </c>
      <c r="L1154">
        <v>0</v>
      </c>
      <c r="M1154">
        <v>0</v>
      </c>
      <c r="N1154">
        <v>2750</v>
      </c>
    </row>
    <row r="1155" spans="1:14" x14ac:dyDescent="0.25">
      <c r="A1155">
        <v>367.30469900000003</v>
      </c>
      <c r="B1155" s="1">
        <f>DATE(2011,5,3) + TIME(7,18,45)</f>
        <v>40666.3046875</v>
      </c>
      <c r="C1155">
        <v>80</v>
      </c>
      <c r="D1155">
        <v>79.911468506000006</v>
      </c>
      <c r="E1155">
        <v>60</v>
      </c>
      <c r="F1155">
        <v>59.606113434000001</v>
      </c>
      <c r="G1155">
        <v>1341.3956298999999</v>
      </c>
      <c r="H1155">
        <v>1338.2919922000001</v>
      </c>
      <c r="I1155">
        <v>1327.3885498</v>
      </c>
      <c r="J1155">
        <v>1325.7629394999999</v>
      </c>
      <c r="K1155">
        <v>2750</v>
      </c>
      <c r="L1155">
        <v>0</v>
      </c>
      <c r="M1155">
        <v>0</v>
      </c>
      <c r="N1155">
        <v>2750</v>
      </c>
    </row>
    <row r="1156" spans="1:14" x14ac:dyDescent="0.25">
      <c r="A1156">
        <v>367.37992800000001</v>
      </c>
      <c r="B1156" s="1">
        <f>DATE(2011,5,3) + TIME(9,7,5)</f>
        <v>40666.379918981482</v>
      </c>
      <c r="C1156">
        <v>80</v>
      </c>
      <c r="D1156">
        <v>79.921798706000004</v>
      </c>
      <c r="E1156">
        <v>60</v>
      </c>
      <c r="F1156">
        <v>59.596359253000003</v>
      </c>
      <c r="G1156">
        <v>1341.4033202999999</v>
      </c>
      <c r="H1156">
        <v>1338.2978516000001</v>
      </c>
      <c r="I1156">
        <v>1327.3874512</v>
      </c>
      <c r="J1156">
        <v>1325.7615966999999</v>
      </c>
      <c r="K1156">
        <v>2750</v>
      </c>
      <c r="L1156">
        <v>0</v>
      </c>
      <c r="M1156">
        <v>0</v>
      </c>
      <c r="N1156">
        <v>2750</v>
      </c>
    </row>
    <row r="1157" spans="1:14" x14ac:dyDescent="0.25">
      <c r="A1157">
        <v>367.45678199999998</v>
      </c>
      <c r="B1157" s="1">
        <f>DATE(2011,5,3) + TIME(10,57,45)</f>
        <v>40666.456770833334</v>
      </c>
      <c r="C1157">
        <v>80</v>
      </c>
      <c r="D1157">
        <v>79.930427550999994</v>
      </c>
      <c r="E1157">
        <v>60</v>
      </c>
      <c r="F1157">
        <v>59.586456298999998</v>
      </c>
      <c r="G1157">
        <v>1341.4099120999999</v>
      </c>
      <c r="H1157">
        <v>1338.3029785000001</v>
      </c>
      <c r="I1157">
        <v>1327.3863524999999</v>
      </c>
      <c r="J1157">
        <v>1325.7600098</v>
      </c>
      <c r="K1157">
        <v>2750</v>
      </c>
      <c r="L1157">
        <v>0</v>
      </c>
      <c r="M1157">
        <v>0</v>
      </c>
      <c r="N1157">
        <v>2750</v>
      </c>
    </row>
    <row r="1158" spans="1:14" x14ac:dyDescent="0.25">
      <c r="A1158">
        <v>367.53543400000001</v>
      </c>
      <c r="B1158" s="1">
        <f>DATE(2011,5,3) + TIME(12,51,1)</f>
        <v>40666.535428240742</v>
      </c>
      <c r="C1158">
        <v>80</v>
      </c>
      <c r="D1158">
        <v>79.937622070000003</v>
      </c>
      <c r="E1158">
        <v>60</v>
      </c>
      <c r="F1158">
        <v>59.576377868999998</v>
      </c>
      <c r="G1158">
        <v>1341.4156493999999</v>
      </c>
      <c r="H1158">
        <v>1338.3076172000001</v>
      </c>
      <c r="I1158">
        <v>1327.3851318</v>
      </c>
      <c r="J1158">
        <v>1325.7585449000001</v>
      </c>
      <c r="K1158">
        <v>2750</v>
      </c>
      <c r="L1158">
        <v>0</v>
      </c>
      <c r="M1158">
        <v>0</v>
      </c>
      <c r="N1158">
        <v>2750</v>
      </c>
    </row>
    <row r="1159" spans="1:14" x14ac:dyDescent="0.25">
      <c r="A1159">
        <v>367.61606999999998</v>
      </c>
      <c r="B1159" s="1">
        <f>DATE(2011,5,3) + TIME(14,47,8)</f>
        <v>40666.616064814814</v>
      </c>
      <c r="C1159">
        <v>80</v>
      </c>
      <c r="D1159">
        <v>79.943611145000006</v>
      </c>
      <c r="E1159">
        <v>60</v>
      </c>
      <c r="F1159">
        <v>59.566112517999997</v>
      </c>
      <c r="G1159">
        <v>1341.4205322</v>
      </c>
      <c r="H1159">
        <v>1338.3117675999999</v>
      </c>
      <c r="I1159">
        <v>1327.3839111</v>
      </c>
      <c r="J1159">
        <v>1325.7568358999999</v>
      </c>
      <c r="K1159">
        <v>2750</v>
      </c>
      <c r="L1159">
        <v>0</v>
      </c>
      <c r="M1159">
        <v>0</v>
      </c>
      <c r="N1159">
        <v>2750</v>
      </c>
    </row>
    <row r="1160" spans="1:14" x14ac:dyDescent="0.25">
      <c r="A1160">
        <v>367.698894</v>
      </c>
      <c r="B1160" s="1">
        <f>DATE(2011,5,3) + TIME(16,46,24)</f>
        <v>40666.698888888888</v>
      </c>
      <c r="C1160">
        <v>80</v>
      </c>
      <c r="D1160">
        <v>79.948577881000006</v>
      </c>
      <c r="E1160">
        <v>60</v>
      </c>
      <c r="F1160">
        <v>59.55562973</v>
      </c>
      <c r="G1160">
        <v>1341.4246826000001</v>
      </c>
      <c r="H1160">
        <v>1338.3153076000001</v>
      </c>
      <c r="I1160">
        <v>1327.3826904</v>
      </c>
      <c r="J1160">
        <v>1325.755249</v>
      </c>
      <c r="K1160">
        <v>2750</v>
      </c>
      <c r="L1160">
        <v>0</v>
      </c>
      <c r="M1160">
        <v>0</v>
      </c>
      <c r="N1160">
        <v>2750</v>
      </c>
    </row>
    <row r="1161" spans="1:14" x14ac:dyDescent="0.25">
      <c r="A1161">
        <v>367.78422999999998</v>
      </c>
      <c r="B1161" s="1">
        <f>DATE(2011,5,3) + TIME(18,49,17)</f>
        <v>40666.784224537034</v>
      </c>
      <c r="C1161">
        <v>80</v>
      </c>
      <c r="D1161">
        <v>79.952690125000004</v>
      </c>
      <c r="E1161">
        <v>60</v>
      </c>
      <c r="F1161">
        <v>59.544895171999997</v>
      </c>
      <c r="G1161">
        <v>1341.4278564000001</v>
      </c>
      <c r="H1161">
        <v>1338.3183594</v>
      </c>
      <c r="I1161">
        <v>1327.3813477000001</v>
      </c>
      <c r="J1161">
        <v>1325.7535399999999</v>
      </c>
      <c r="K1161">
        <v>2750</v>
      </c>
      <c r="L1161">
        <v>0</v>
      </c>
      <c r="M1161">
        <v>0</v>
      </c>
      <c r="N1161">
        <v>2750</v>
      </c>
    </row>
    <row r="1162" spans="1:14" x14ac:dyDescent="0.25">
      <c r="A1162">
        <v>367.87236300000001</v>
      </c>
      <c r="B1162" s="1">
        <f>DATE(2011,5,3) + TIME(20,56,12)</f>
        <v>40666.872361111113</v>
      </c>
      <c r="C1162">
        <v>80</v>
      </c>
      <c r="D1162">
        <v>79.956085204999994</v>
      </c>
      <c r="E1162">
        <v>60</v>
      </c>
      <c r="F1162">
        <v>59.533882140999999</v>
      </c>
      <c r="G1162">
        <v>1341.4302978999999</v>
      </c>
      <c r="H1162">
        <v>1338.3208007999999</v>
      </c>
      <c r="I1162">
        <v>1327.3800048999999</v>
      </c>
      <c r="J1162">
        <v>1325.7517089999999</v>
      </c>
      <c r="K1162">
        <v>2750</v>
      </c>
      <c r="L1162">
        <v>0</v>
      </c>
      <c r="M1162">
        <v>0</v>
      </c>
      <c r="N1162">
        <v>2750</v>
      </c>
    </row>
    <row r="1163" spans="1:14" x14ac:dyDescent="0.25">
      <c r="A1163">
        <v>367.96360099999998</v>
      </c>
      <c r="B1163" s="1">
        <f>DATE(2011,5,3) + TIME(23,7,35)</f>
        <v>40666.963599537034</v>
      </c>
      <c r="C1163">
        <v>80</v>
      </c>
      <c r="D1163">
        <v>79.958877563000001</v>
      </c>
      <c r="E1163">
        <v>60</v>
      </c>
      <c r="F1163">
        <v>59.522552490000002</v>
      </c>
      <c r="G1163">
        <v>1341.4320068</v>
      </c>
      <c r="H1163">
        <v>1338.3229980000001</v>
      </c>
      <c r="I1163">
        <v>1327.3785399999999</v>
      </c>
      <c r="J1163">
        <v>1325.7497559000001</v>
      </c>
      <c r="K1163">
        <v>2750</v>
      </c>
      <c r="L1163">
        <v>0</v>
      </c>
      <c r="M1163">
        <v>0</v>
      </c>
      <c r="N1163">
        <v>2750</v>
      </c>
    </row>
    <row r="1164" spans="1:14" x14ac:dyDescent="0.25">
      <c r="A1164">
        <v>368.05809699999998</v>
      </c>
      <c r="B1164" s="1">
        <f>DATE(2011,5,4) + TIME(1,23,39)</f>
        <v>40667.05809027778</v>
      </c>
      <c r="C1164">
        <v>80</v>
      </c>
      <c r="D1164">
        <v>79.961166382000002</v>
      </c>
      <c r="E1164">
        <v>60</v>
      </c>
      <c r="F1164">
        <v>59.510898589999996</v>
      </c>
      <c r="G1164">
        <v>1341.4324951000001</v>
      </c>
      <c r="H1164">
        <v>1338.3243408000001</v>
      </c>
      <c r="I1164">
        <v>1327.3770752</v>
      </c>
      <c r="J1164">
        <v>1325.7478027</v>
      </c>
      <c r="K1164">
        <v>2750</v>
      </c>
      <c r="L1164">
        <v>0</v>
      </c>
      <c r="M1164">
        <v>0</v>
      </c>
      <c r="N1164">
        <v>2750</v>
      </c>
    </row>
    <row r="1165" spans="1:14" x14ac:dyDescent="0.25">
      <c r="A1165">
        <v>368.15449100000001</v>
      </c>
      <c r="B1165" s="1">
        <f>DATE(2011,5,4) + TIME(3,42,28)</f>
        <v>40667.154490740744</v>
      </c>
      <c r="C1165">
        <v>80</v>
      </c>
      <c r="D1165">
        <v>79.963012695000003</v>
      </c>
      <c r="E1165">
        <v>60</v>
      </c>
      <c r="F1165">
        <v>59.499065399000003</v>
      </c>
      <c r="G1165">
        <v>1341.4310303</v>
      </c>
      <c r="H1165">
        <v>1338.3243408000001</v>
      </c>
      <c r="I1165">
        <v>1327.3754882999999</v>
      </c>
      <c r="J1165">
        <v>1325.7457274999999</v>
      </c>
      <c r="K1165">
        <v>2750</v>
      </c>
      <c r="L1165">
        <v>0</v>
      </c>
      <c r="M1165">
        <v>0</v>
      </c>
      <c r="N1165">
        <v>2750</v>
      </c>
    </row>
    <row r="1166" spans="1:14" x14ac:dyDescent="0.25">
      <c r="A1166">
        <v>368.25305400000002</v>
      </c>
      <c r="B1166" s="1">
        <f>DATE(2011,5,4) + TIME(6,4,23)</f>
        <v>40667.25304398148</v>
      </c>
      <c r="C1166">
        <v>80</v>
      </c>
      <c r="D1166">
        <v>79.964485167999996</v>
      </c>
      <c r="E1166">
        <v>60</v>
      </c>
      <c r="F1166">
        <v>59.487030029000003</v>
      </c>
      <c r="G1166">
        <v>1341.4290771000001</v>
      </c>
      <c r="H1166">
        <v>1338.3240966999999</v>
      </c>
      <c r="I1166">
        <v>1327.3739014</v>
      </c>
      <c r="J1166">
        <v>1325.7435303</v>
      </c>
      <c r="K1166">
        <v>2750</v>
      </c>
      <c r="L1166">
        <v>0</v>
      </c>
      <c r="M1166">
        <v>0</v>
      </c>
      <c r="N1166">
        <v>2750</v>
      </c>
    </row>
    <row r="1167" spans="1:14" x14ac:dyDescent="0.25">
      <c r="A1167">
        <v>368.353948</v>
      </c>
      <c r="B1167" s="1">
        <f>DATE(2011,5,4) + TIME(8,29,41)</f>
        <v>40667.353946759256</v>
      </c>
      <c r="C1167">
        <v>80</v>
      </c>
      <c r="D1167">
        <v>79.965675353999998</v>
      </c>
      <c r="E1167">
        <v>60</v>
      </c>
      <c r="F1167">
        <v>59.474773407000001</v>
      </c>
      <c r="G1167">
        <v>1341.4265137</v>
      </c>
      <c r="H1167">
        <v>1338.3234863</v>
      </c>
      <c r="I1167">
        <v>1327.3721923999999</v>
      </c>
      <c r="J1167">
        <v>1325.7413329999999</v>
      </c>
      <c r="K1167">
        <v>2750</v>
      </c>
      <c r="L1167">
        <v>0</v>
      </c>
      <c r="M1167">
        <v>0</v>
      </c>
      <c r="N1167">
        <v>2750</v>
      </c>
    </row>
    <row r="1168" spans="1:14" x14ac:dyDescent="0.25">
      <c r="A1168">
        <v>368.457379</v>
      </c>
      <c r="B1168" s="1">
        <f>DATE(2011,5,4) + TIME(10,58,37)</f>
        <v>40667.457372685189</v>
      </c>
      <c r="C1168">
        <v>80</v>
      </c>
      <c r="D1168">
        <v>79.966621399000005</v>
      </c>
      <c r="E1168">
        <v>60</v>
      </c>
      <c r="F1168">
        <v>59.462272644000002</v>
      </c>
      <c r="G1168">
        <v>1341.4234618999999</v>
      </c>
      <c r="H1168">
        <v>1338.3226318</v>
      </c>
      <c r="I1168">
        <v>1327.3704834</v>
      </c>
      <c r="J1168">
        <v>1325.7390137</v>
      </c>
      <c r="K1168">
        <v>2750</v>
      </c>
      <c r="L1168">
        <v>0</v>
      </c>
      <c r="M1168">
        <v>0</v>
      </c>
      <c r="N1168">
        <v>2750</v>
      </c>
    </row>
    <row r="1169" spans="1:14" x14ac:dyDescent="0.25">
      <c r="A1169">
        <v>368.56356899999997</v>
      </c>
      <c r="B1169" s="1">
        <f>DATE(2011,5,4) + TIME(13,31,32)</f>
        <v>40667.563564814816</v>
      </c>
      <c r="C1169">
        <v>80</v>
      </c>
      <c r="D1169">
        <v>79.967384338000002</v>
      </c>
      <c r="E1169">
        <v>60</v>
      </c>
      <c r="F1169">
        <v>59.449512482000003</v>
      </c>
      <c r="G1169">
        <v>1341.4199219</v>
      </c>
      <c r="H1169">
        <v>1338.3214111</v>
      </c>
      <c r="I1169">
        <v>1327.3686522999999</v>
      </c>
      <c r="J1169">
        <v>1325.7366943</v>
      </c>
      <c r="K1169">
        <v>2750</v>
      </c>
      <c r="L1169">
        <v>0</v>
      </c>
      <c r="M1169">
        <v>0</v>
      </c>
      <c r="N1169">
        <v>2750</v>
      </c>
    </row>
    <row r="1170" spans="1:14" x14ac:dyDescent="0.25">
      <c r="A1170">
        <v>368.67276299999997</v>
      </c>
      <c r="B1170" s="1">
        <f>DATE(2011,5,4) + TIME(16,8,46)</f>
        <v>40667.672754629632</v>
      </c>
      <c r="C1170">
        <v>80</v>
      </c>
      <c r="D1170">
        <v>79.967987061000002</v>
      </c>
      <c r="E1170">
        <v>60</v>
      </c>
      <c r="F1170">
        <v>59.436462401999997</v>
      </c>
      <c r="G1170">
        <v>1341.4158935999999</v>
      </c>
      <c r="H1170">
        <v>1338.3200684000001</v>
      </c>
      <c r="I1170">
        <v>1327.3668213000001</v>
      </c>
      <c r="J1170">
        <v>1325.7341309000001</v>
      </c>
      <c r="K1170">
        <v>2750</v>
      </c>
      <c r="L1170">
        <v>0</v>
      </c>
      <c r="M1170">
        <v>0</v>
      </c>
      <c r="N1170">
        <v>2750</v>
      </c>
    </row>
    <row r="1171" spans="1:14" x14ac:dyDescent="0.25">
      <c r="A1171">
        <v>368.78523799999999</v>
      </c>
      <c r="B1171" s="1">
        <f>DATE(2011,5,4) + TIME(18,50,44)</f>
        <v>40667.785231481481</v>
      </c>
      <c r="C1171">
        <v>80</v>
      </c>
      <c r="D1171">
        <v>79.968467712000006</v>
      </c>
      <c r="E1171">
        <v>60</v>
      </c>
      <c r="F1171">
        <v>59.423095703000001</v>
      </c>
      <c r="G1171">
        <v>1341.411499</v>
      </c>
      <c r="H1171">
        <v>1338.3183594</v>
      </c>
      <c r="I1171">
        <v>1327.3648682</v>
      </c>
      <c r="J1171">
        <v>1325.7315673999999</v>
      </c>
      <c r="K1171">
        <v>2750</v>
      </c>
      <c r="L1171">
        <v>0</v>
      </c>
      <c r="M1171">
        <v>0</v>
      </c>
      <c r="N1171">
        <v>2750</v>
      </c>
    </row>
    <row r="1172" spans="1:14" x14ac:dyDescent="0.25">
      <c r="A1172">
        <v>368.901297</v>
      </c>
      <c r="B1172" s="1">
        <f>DATE(2011,5,4) + TIME(21,37,52)</f>
        <v>40667.901296296295</v>
      </c>
      <c r="C1172">
        <v>80</v>
      </c>
      <c r="D1172">
        <v>79.968849182</v>
      </c>
      <c r="E1172">
        <v>60</v>
      </c>
      <c r="F1172">
        <v>59.409385681000003</v>
      </c>
      <c r="G1172">
        <v>1341.4066161999999</v>
      </c>
      <c r="H1172">
        <v>1338.3164062000001</v>
      </c>
      <c r="I1172">
        <v>1327.362793</v>
      </c>
      <c r="J1172">
        <v>1325.7288818</v>
      </c>
      <c r="K1172">
        <v>2750</v>
      </c>
      <c r="L1172">
        <v>0</v>
      </c>
      <c r="M1172">
        <v>0</v>
      </c>
      <c r="N1172">
        <v>2750</v>
      </c>
    </row>
    <row r="1173" spans="1:14" x14ac:dyDescent="0.25">
      <c r="A1173">
        <v>369.02127999999999</v>
      </c>
      <c r="B1173" s="1">
        <f>DATE(2011,5,5) + TIME(0,30,38)</f>
        <v>40668.021273148152</v>
      </c>
      <c r="C1173">
        <v>80</v>
      </c>
      <c r="D1173">
        <v>79.969154357999997</v>
      </c>
      <c r="E1173">
        <v>60</v>
      </c>
      <c r="F1173">
        <v>59.395298003999997</v>
      </c>
      <c r="G1173">
        <v>1341.4013672000001</v>
      </c>
      <c r="H1173">
        <v>1338.3143310999999</v>
      </c>
      <c r="I1173">
        <v>1327.3607178</v>
      </c>
      <c r="J1173">
        <v>1325.7260742000001</v>
      </c>
      <c r="K1173">
        <v>2750</v>
      </c>
      <c r="L1173">
        <v>0</v>
      </c>
      <c r="M1173">
        <v>0</v>
      </c>
      <c r="N1173">
        <v>2750</v>
      </c>
    </row>
    <row r="1174" spans="1:14" x14ac:dyDescent="0.25">
      <c r="A1174">
        <v>369.14556700000003</v>
      </c>
      <c r="B1174" s="1">
        <f>DATE(2011,5,5) + TIME(3,29,36)</f>
        <v>40668.145555555559</v>
      </c>
      <c r="C1174">
        <v>80</v>
      </c>
      <c r="D1174">
        <v>79.969390868999994</v>
      </c>
      <c r="E1174">
        <v>60</v>
      </c>
      <c r="F1174">
        <v>59.380798339999998</v>
      </c>
      <c r="G1174">
        <v>1341.3955077999999</v>
      </c>
      <c r="H1174">
        <v>1338.3118896000001</v>
      </c>
      <c r="I1174">
        <v>1327.3585204999999</v>
      </c>
      <c r="J1174">
        <v>1325.7231445</v>
      </c>
      <c r="K1174">
        <v>2750</v>
      </c>
      <c r="L1174">
        <v>0</v>
      </c>
      <c r="M1174">
        <v>0</v>
      </c>
      <c r="N1174">
        <v>2750</v>
      </c>
    </row>
    <row r="1175" spans="1:14" x14ac:dyDescent="0.25">
      <c r="A1175">
        <v>369.27117700000002</v>
      </c>
      <c r="B1175" s="1">
        <f>DATE(2011,5,5) + TIME(6,30,29)</f>
        <v>40668.271168981482</v>
      </c>
      <c r="C1175">
        <v>80</v>
      </c>
      <c r="D1175">
        <v>79.969573975000003</v>
      </c>
      <c r="E1175">
        <v>60</v>
      </c>
      <c r="F1175">
        <v>59.366184234999999</v>
      </c>
      <c r="G1175">
        <v>1341.3892822</v>
      </c>
      <c r="H1175">
        <v>1338.3092041</v>
      </c>
      <c r="I1175">
        <v>1327.3562012</v>
      </c>
      <c r="J1175">
        <v>1325.7199707</v>
      </c>
      <c r="K1175">
        <v>2750</v>
      </c>
      <c r="L1175">
        <v>0</v>
      </c>
      <c r="M1175">
        <v>0</v>
      </c>
      <c r="N1175">
        <v>2750</v>
      </c>
    </row>
    <row r="1176" spans="1:14" x14ac:dyDescent="0.25">
      <c r="A1176">
        <v>369.39731999999998</v>
      </c>
      <c r="B1176" s="1">
        <f>DATE(2011,5,5) + TIME(9,32,8)</f>
        <v>40668.397314814814</v>
      </c>
      <c r="C1176">
        <v>80</v>
      </c>
      <c r="D1176">
        <v>79.969711304</v>
      </c>
      <c r="E1176">
        <v>60</v>
      </c>
      <c r="F1176">
        <v>59.351547240999999</v>
      </c>
      <c r="G1176">
        <v>1341.3828125</v>
      </c>
      <c r="H1176">
        <v>1338.3063964999999</v>
      </c>
      <c r="I1176">
        <v>1327.3538818</v>
      </c>
      <c r="J1176">
        <v>1325.7169189000001</v>
      </c>
      <c r="K1176">
        <v>2750</v>
      </c>
      <c r="L1176">
        <v>0</v>
      </c>
      <c r="M1176">
        <v>0</v>
      </c>
      <c r="N1176">
        <v>2750</v>
      </c>
    </row>
    <row r="1177" spans="1:14" x14ac:dyDescent="0.25">
      <c r="A1177">
        <v>369.52426300000002</v>
      </c>
      <c r="B1177" s="1">
        <f>DATE(2011,5,5) + TIME(12,34,56)</f>
        <v>40668.524259259262</v>
      </c>
      <c r="C1177">
        <v>80</v>
      </c>
      <c r="D1177">
        <v>79.969818114999995</v>
      </c>
      <c r="E1177">
        <v>60</v>
      </c>
      <c r="F1177">
        <v>59.336856842000003</v>
      </c>
      <c r="G1177">
        <v>1341.3762207</v>
      </c>
      <c r="H1177">
        <v>1338.3035889</v>
      </c>
      <c r="I1177">
        <v>1327.3514404</v>
      </c>
      <c r="J1177">
        <v>1325.7136230000001</v>
      </c>
      <c r="K1177">
        <v>2750</v>
      </c>
      <c r="L1177">
        <v>0</v>
      </c>
      <c r="M1177">
        <v>0</v>
      </c>
      <c r="N1177">
        <v>2750</v>
      </c>
    </row>
    <row r="1178" spans="1:14" x14ac:dyDescent="0.25">
      <c r="A1178">
        <v>369.65226899999999</v>
      </c>
      <c r="B1178" s="1">
        <f>DATE(2011,5,5) + TIME(15,39,16)</f>
        <v>40668.652268518519</v>
      </c>
      <c r="C1178">
        <v>80</v>
      </c>
      <c r="D1178">
        <v>79.969894409000005</v>
      </c>
      <c r="E1178">
        <v>60</v>
      </c>
      <c r="F1178">
        <v>59.322093963999997</v>
      </c>
      <c r="G1178">
        <v>1341.3695068</v>
      </c>
      <c r="H1178">
        <v>1338.3005370999999</v>
      </c>
      <c r="I1178">
        <v>1327.348999</v>
      </c>
      <c r="J1178">
        <v>1325.7103271000001</v>
      </c>
      <c r="K1178">
        <v>2750</v>
      </c>
      <c r="L1178">
        <v>0</v>
      </c>
      <c r="M1178">
        <v>0</v>
      </c>
      <c r="N1178">
        <v>2750</v>
      </c>
    </row>
    <row r="1179" spans="1:14" x14ac:dyDescent="0.25">
      <c r="A1179">
        <v>369.78159699999998</v>
      </c>
      <c r="B1179" s="1">
        <f>DATE(2011,5,5) + TIME(18,45,29)</f>
        <v>40668.781585648147</v>
      </c>
      <c r="C1179">
        <v>80</v>
      </c>
      <c r="D1179">
        <v>79.969947814999998</v>
      </c>
      <c r="E1179">
        <v>60</v>
      </c>
      <c r="F1179">
        <v>59.307235718000001</v>
      </c>
      <c r="G1179">
        <v>1341.3625488</v>
      </c>
      <c r="H1179">
        <v>1338.2974853999999</v>
      </c>
      <c r="I1179">
        <v>1327.3464355000001</v>
      </c>
      <c r="J1179">
        <v>1325.7070312000001</v>
      </c>
      <c r="K1179">
        <v>2750</v>
      </c>
      <c r="L1179">
        <v>0</v>
      </c>
      <c r="M1179">
        <v>0</v>
      </c>
      <c r="N1179">
        <v>2750</v>
      </c>
    </row>
    <row r="1180" spans="1:14" x14ac:dyDescent="0.25">
      <c r="A1180">
        <v>369.912553</v>
      </c>
      <c r="B1180" s="1">
        <f>DATE(2011,5,5) + TIME(21,54,4)</f>
        <v>40668.912546296298</v>
      </c>
      <c r="C1180">
        <v>80</v>
      </c>
      <c r="D1180">
        <v>79.969993591000005</v>
      </c>
      <c r="E1180">
        <v>60</v>
      </c>
      <c r="F1180">
        <v>59.292251587000003</v>
      </c>
      <c r="G1180">
        <v>1341.3554687999999</v>
      </c>
      <c r="H1180">
        <v>1338.2944336</v>
      </c>
      <c r="I1180">
        <v>1327.3439940999999</v>
      </c>
      <c r="J1180">
        <v>1325.7036132999999</v>
      </c>
      <c r="K1180">
        <v>2750</v>
      </c>
      <c r="L1180">
        <v>0</v>
      </c>
      <c r="M1180">
        <v>0</v>
      </c>
      <c r="N1180">
        <v>2750</v>
      </c>
    </row>
    <row r="1181" spans="1:14" x14ac:dyDescent="0.25">
      <c r="A1181">
        <v>370.04538100000002</v>
      </c>
      <c r="B1181" s="1">
        <f>DATE(2011,5,6) + TIME(1,5,20)</f>
        <v>40669.045370370368</v>
      </c>
      <c r="C1181">
        <v>80</v>
      </c>
      <c r="D1181">
        <v>79.970016478999995</v>
      </c>
      <c r="E1181">
        <v>60</v>
      </c>
      <c r="F1181">
        <v>59.277122497999997</v>
      </c>
      <c r="G1181">
        <v>1341.3482666</v>
      </c>
      <c r="H1181">
        <v>1338.2911377</v>
      </c>
      <c r="I1181">
        <v>1327.3413086</v>
      </c>
      <c r="J1181">
        <v>1325.7001952999999</v>
      </c>
      <c r="K1181">
        <v>2750</v>
      </c>
      <c r="L1181">
        <v>0</v>
      </c>
      <c r="M1181">
        <v>0</v>
      </c>
      <c r="N1181">
        <v>2750</v>
      </c>
    </row>
    <row r="1182" spans="1:14" x14ac:dyDescent="0.25">
      <c r="A1182">
        <v>370.18034799999998</v>
      </c>
      <c r="B1182" s="1">
        <f>DATE(2011,5,6) + TIME(4,19,42)</f>
        <v>40669.180347222224</v>
      </c>
      <c r="C1182">
        <v>80</v>
      </c>
      <c r="D1182">
        <v>79.970031738000003</v>
      </c>
      <c r="E1182">
        <v>60</v>
      </c>
      <c r="F1182">
        <v>59.261821746999999</v>
      </c>
      <c r="G1182">
        <v>1341.3408202999999</v>
      </c>
      <c r="H1182">
        <v>1338.2878418</v>
      </c>
      <c r="I1182">
        <v>1327.3386230000001</v>
      </c>
      <c r="J1182">
        <v>1325.6965332</v>
      </c>
      <c r="K1182">
        <v>2750</v>
      </c>
      <c r="L1182">
        <v>0</v>
      </c>
      <c r="M1182">
        <v>0</v>
      </c>
      <c r="N1182">
        <v>2750</v>
      </c>
    </row>
    <row r="1183" spans="1:14" x14ac:dyDescent="0.25">
      <c r="A1183">
        <v>370.31774999999999</v>
      </c>
      <c r="B1183" s="1">
        <f>DATE(2011,5,6) + TIME(7,37,33)</f>
        <v>40669.317743055559</v>
      </c>
      <c r="C1183">
        <v>80</v>
      </c>
      <c r="D1183">
        <v>79.970039368000002</v>
      </c>
      <c r="E1183">
        <v>60</v>
      </c>
      <c r="F1183">
        <v>59.246326447000001</v>
      </c>
      <c r="G1183">
        <v>1341.333374</v>
      </c>
      <c r="H1183">
        <v>1338.2845459</v>
      </c>
      <c r="I1183">
        <v>1327.3359375</v>
      </c>
      <c r="J1183">
        <v>1325.6928711</v>
      </c>
      <c r="K1183">
        <v>2750</v>
      </c>
      <c r="L1183">
        <v>0</v>
      </c>
      <c r="M1183">
        <v>0</v>
      </c>
      <c r="N1183">
        <v>2750</v>
      </c>
    </row>
    <row r="1184" spans="1:14" x14ac:dyDescent="0.25">
      <c r="A1184">
        <v>370.4579</v>
      </c>
      <c r="B1184" s="1">
        <f>DATE(2011,5,6) + TIME(10,59,22)</f>
        <v>40669.45789351852</v>
      </c>
      <c r="C1184">
        <v>80</v>
      </c>
      <c r="D1184">
        <v>79.970039368000002</v>
      </c>
      <c r="E1184">
        <v>60</v>
      </c>
      <c r="F1184">
        <v>59.230602263999998</v>
      </c>
      <c r="G1184">
        <v>1341.3258057</v>
      </c>
      <c r="H1184">
        <v>1338.2811279</v>
      </c>
      <c r="I1184">
        <v>1327.3331298999999</v>
      </c>
      <c r="J1184">
        <v>1325.6890868999999</v>
      </c>
      <c r="K1184">
        <v>2750</v>
      </c>
      <c r="L1184">
        <v>0</v>
      </c>
      <c r="M1184">
        <v>0</v>
      </c>
      <c r="N1184">
        <v>2750</v>
      </c>
    </row>
    <row r="1185" spans="1:14" x14ac:dyDescent="0.25">
      <c r="A1185">
        <v>370.601136</v>
      </c>
      <c r="B1185" s="1">
        <f>DATE(2011,5,6) + TIME(14,25,38)</f>
        <v>40669.601134259261</v>
      </c>
      <c r="C1185">
        <v>80</v>
      </c>
      <c r="D1185">
        <v>79.970031738000003</v>
      </c>
      <c r="E1185">
        <v>60</v>
      </c>
      <c r="F1185">
        <v>59.214618682999998</v>
      </c>
      <c r="G1185">
        <v>1341.3179932</v>
      </c>
      <c r="H1185">
        <v>1338.2775879000001</v>
      </c>
      <c r="I1185">
        <v>1327.3303223</v>
      </c>
      <c r="J1185">
        <v>1325.6851807</v>
      </c>
      <c r="K1185">
        <v>2750</v>
      </c>
      <c r="L1185">
        <v>0</v>
      </c>
      <c r="M1185">
        <v>0</v>
      </c>
      <c r="N1185">
        <v>2750</v>
      </c>
    </row>
    <row r="1186" spans="1:14" x14ac:dyDescent="0.25">
      <c r="A1186">
        <v>370.74805300000003</v>
      </c>
      <c r="B1186" s="1">
        <f>DATE(2011,5,6) + TIME(17,57,11)</f>
        <v>40669.748043981483</v>
      </c>
      <c r="C1186">
        <v>80</v>
      </c>
      <c r="D1186">
        <v>79.970024108999993</v>
      </c>
      <c r="E1186">
        <v>60</v>
      </c>
      <c r="F1186">
        <v>59.198322296000001</v>
      </c>
      <c r="G1186">
        <v>1341.3100586</v>
      </c>
      <c r="H1186">
        <v>1338.2740478999999</v>
      </c>
      <c r="I1186">
        <v>1327.3272704999999</v>
      </c>
      <c r="J1186">
        <v>1325.6812743999999</v>
      </c>
      <c r="K1186">
        <v>2750</v>
      </c>
      <c r="L1186">
        <v>0</v>
      </c>
      <c r="M1186">
        <v>0</v>
      </c>
      <c r="N1186">
        <v>2750</v>
      </c>
    </row>
    <row r="1187" spans="1:14" x14ac:dyDescent="0.25">
      <c r="A1187">
        <v>370.89931100000001</v>
      </c>
      <c r="B1187" s="1">
        <f>DATE(2011,5,6) + TIME(21,35,0)</f>
        <v>40669.899305555555</v>
      </c>
      <c r="C1187">
        <v>80</v>
      </c>
      <c r="D1187">
        <v>79.970001221000004</v>
      </c>
      <c r="E1187">
        <v>60</v>
      </c>
      <c r="F1187">
        <v>59.181655884000001</v>
      </c>
      <c r="G1187">
        <v>1341.3020019999999</v>
      </c>
      <c r="H1187">
        <v>1338.2705077999999</v>
      </c>
      <c r="I1187">
        <v>1327.3242187999999</v>
      </c>
      <c r="J1187">
        <v>1325.677124</v>
      </c>
      <c r="K1187">
        <v>2750</v>
      </c>
      <c r="L1187">
        <v>0</v>
      </c>
      <c r="M1187">
        <v>0</v>
      </c>
      <c r="N1187">
        <v>2750</v>
      </c>
    </row>
    <row r="1188" spans="1:14" x14ac:dyDescent="0.25">
      <c r="A1188">
        <v>371.054979</v>
      </c>
      <c r="B1188" s="1">
        <f>DATE(2011,5,7) + TIME(1,19,10)</f>
        <v>40670.054976851854</v>
      </c>
      <c r="C1188">
        <v>80</v>
      </c>
      <c r="D1188">
        <v>79.969985961999996</v>
      </c>
      <c r="E1188">
        <v>60</v>
      </c>
      <c r="F1188">
        <v>59.164611815999997</v>
      </c>
      <c r="G1188">
        <v>1341.2937012</v>
      </c>
      <c r="H1188">
        <v>1338.2667236</v>
      </c>
      <c r="I1188">
        <v>1327.3210449000001</v>
      </c>
      <c r="J1188">
        <v>1325.6727295000001</v>
      </c>
      <c r="K1188">
        <v>2750</v>
      </c>
      <c r="L1188">
        <v>0</v>
      </c>
      <c r="M1188">
        <v>0</v>
      </c>
      <c r="N1188">
        <v>2750</v>
      </c>
    </row>
    <row r="1189" spans="1:14" x14ac:dyDescent="0.25">
      <c r="A1189">
        <v>371.21355299999999</v>
      </c>
      <c r="B1189" s="1">
        <f>DATE(2011,5,7) + TIME(5,7,30)</f>
        <v>40670.213541666664</v>
      </c>
      <c r="C1189">
        <v>80</v>
      </c>
      <c r="D1189">
        <v>79.969955443999993</v>
      </c>
      <c r="E1189">
        <v>60</v>
      </c>
      <c r="F1189">
        <v>59.147323608000001</v>
      </c>
      <c r="G1189">
        <v>1341.2852783000001</v>
      </c>
      <c r="H1189">
        <v>1338.2629394999999</v>
      </c>
      <c r="I1189">
        <v>1327.317749</v>
      </c>
      <c r="J1189">
        <v>1325.6683350000001</v>
      </c>
      <c r="K1189">
        <v>2750</v>
      </c>
      <c r="L1189">
        <v>0</v>
      </c>
      <c r="M1189">
        <v>0</v>
      </c>
      <c r="N1189">
        <v>2750</v>
      </c>
    </row>
    <row r="1190" spans="1:14" x14ac:dyDescent="0.25">
      <c r="A1190">
        <v>371.375407</v>
      </c>
      <c r="B1190" s="1">
        <f>DATE(2011,5,7) + TIME(9,0,35)</f>
        <v>40670.375405092593</v>
      </c>
      <c r="C1190">
        <v>80</v>
      </c>
      <c r="D1190">
        <v>79.969932556000003</v>
      </c>
      <c r="E1190">
        <v>60</v>
      </c>
      <c r="F1190">
        <v>59.129768372000001</v>
      </c>
      <c r="G1190">
        <v>1341.2767334</v>
      </c>
      <c r="H1190">
        <v>1338.2591553</v>
      </c>
      <c r="I1190">
        <v>1327.3143310999999</v>
      </c>
      <c r="J1190">
        <v>1325.6636963000001</v>
      </c>
      <c r="K1190">
        <v>2750</v>
      </c>
      <c r="L1190">
        <v>0</v>
      </c>
      <c r="M1190">
        <v>0</v>
      </c>
      <c r="N1190">
        <v>2750</v>
      </c>
    </row>
    <row r="1191" spans="1:14" x14ac:dyDescent="0.25">
      <c r="A1191">
        <v>371.53896099999997</v>
      </c>
      <c r="B1191" s="1">
        <f>DATE(2011,5,7) + TIME(12,56,6)</f>
        <v>40670.538958333331</v>
      </c>
      <c r="C1191">
        <v>80</v>
      </c>
      <c r="D1191">
        <v>79.969902039000004</v>
      </c>
      <c r="E1191">
        <v>60</v>
      </c>
      <c r="F1191">
        <v>59.112087250000002</v>
      </c>
      <c r="G1191">
        <v>1341.2680664</v>
      </c>
      <c r="H1191">
        <v>1338.255249</v>
      </c>
      <c r="I1191">
        <v>1327.3109131000001</v>
      </c>
      <c r="J1191">
        <v>1325.6590576000001</v>
      </c>
      <c r="K1191">
        <v>2750</v>
      </c>
      <c r="L1191">
        <v>0</v>
      </c>
      <c r="M1191">
        <v>0</v>
      </c>
      <c r="N1191">
        <v>2750</v>
      </c>
    </row>
    <row r="1192" spans="1:14" x14ac:dyDescent="0.25">
      <c r="A1192">
        <v>371.704431</v>
      </c>
      <c r="B1192" s="1">
        <f>DATE(2011,5,7) + TIME(16,54,22)</f>
        <v>40670.704421296294</v>
      </c>
      <c r="C1192">
        <v>80</v>
      </c>
      <c r="D1192">
        <v>79.969863892000006</v>
      </c>
      <c r="E1192">
        <v>60</v>
      </c>
      <c r="F1192">
        <v>59.094268798999998</v>
      </c>
      <c r="G1192">
        <v>1341.2593993999999</v>
      </c>
      <c r="H1192">
        <v>1338.2514647999999</v>
      </c>
      <c r="I1192">
        <v>1327.3073730000001</v>
      </c>
      <c r="J1192">
        <v>1325.6541748</v>
      </c>
      <c r="K1192">
        <v>2750</v>
      </c>
      <c r="L1192">
        <v>0</v>
      </c>
      <c r="M1192">
        <v>0</v>
      </c>
      <c r="N1192">
        <v>2750</v>
      </c>
    </row>
    <row r="1193" spans="1:14" x14ac:dyDescent="0.25">
      <c r="A1193">
        <v>371.87210199999998</v>
      </c>
      <c r="B1193" s="1">
        <f>DATE(2011,5,7) + TIME(20,55,49)</f>
        <v>40670.872094907405</v>
      </c>
      <c r="C1193">
        <v>80</v>
      </c>
      <c r="D1193">
        <v>79.969833374000004</v>
      </c>
      <c r="E1193">
        <v>60</v>
      </c>
      <c r="F1193">
        <v>59.076290131</v>
      </c>
      <c r="G1193">
        <v>1341.2508545000001</v>
      </c>
      <c r="H1193">
        <v>1338.2475586</v>
      </c>
      <c r="I1193">
        <v>1327.3037108999999</v>
      </c>
      <c r="J1193">
        <v>1325.6492920000001</v>
      </c>
      <c r="K1193">
        <v>2750</v>
      </c>
      <c r="L1193">
        <v>0</v>
      </c>
      <c r="M1193">
        <v>0</v>
      </c>
      <c r="N1193">
        <v>2750</v>
      </c>
    </row>
    <row r="1194" spans="1:14" x14ac:dyDescent="0.25">
      <c r="A1194">
        <v>372.04232500000001</v>
      </c>
      <c r="B1194" s="1">
        <f>DATE(2011,5,8) + TIME(1,0,56)</f>
        <v>40671.042314814818</v>
      </c>
      <c r="C1194">
        <v>80</v>
      </c>
      <c r="D1194">
        <v>79.969795227000006</v>
      </c>
      <c r="E1194">
        <v>60</v>
      </c>
      <c r="F1194">
        <v>59.058124542000002</v>
      </c>
      <c r="G1194">
        <v>1341.2421875</v>
      </c>
      <c r="H1194">
        <v>1338.2437743999999</v>
      </c>
      <c r="I1194">
        <v>1327.3000488</v>
      </c>
      <c r="J1194">
        <v>1325.6442870999999</v>
      </c>
      <c r="K1194">
        <v>2750</v>
      </c>
      <c r="L1194">
        <v>0</v>
      </c>
      <c r="M1194">
        <v>0</v>
      </c>
      <c r="N1194">
        <v>2750</v>
      </c>
    </row>
    <row r="1195" spans="1:14" x14ac:dyDescent="0.25">
      <c r="A1195">
        <v>372.21538700000002</v>
      </c>
      <c r="B1195" s="1">
        <f>DATE(2011,5,8) + TIME(5,10,9)</f>
        <v>40671.215381944443</v>
      </c>
      <c r="C1195">
        <v>80</v>
      </c>
      <c r="D1195">
        <v>79.969757079999994</v>
      </c>
      <c r="E1195">
        <v>60</v>
      </c>
      <c r="F1195">
        <v>59.039745330999999</v>
      </c>
      <c r="G1195">
        <v>1341.2335204999999</v>
      </c>
      <c r="H1195">
        <v>1338.2398682</v>
      </c>
      <c r="I1195">
        <v>1327.2962646000001</v>
      </c>
      <c r="J1195">
        <v>1325.6391602000001</v>
      </c>
      <c r="K1195">
        <v>2750</v>
      </c>
      <c r="L1195">
        <v>0</v>
      </c>
      <c r="M1195">
        <v>0</v>
      </c>
      <c r="N1195">
        <v>2750</v>
      </c>
    </row>
    <row r="1196" spans="1:14" x14ac:dyDescent="0.25">
      <c r="A1196">
        <v>372.39161000000001</v>
      </c>
      <c r="B1196" s="1">
        <f>DATE(2011,5,8) + TIME(9,23,55)</f>
        <v>40671.391608796293</v>
      </c>
      <c r="C1196">
        <v>80</v>
      </c>
      <c r="D1196">
        <v>79.969718932999996</v>
      </c>
      <c r="E1196">
        <v>60</v>
      </c>
      <c r="F1196">
        <v>59.021133423000002</v>
      </c>
      <c r="G1196">
        <v>1341.2247314000001</v>
      </c>
      <c r="H1196">
        <v>1338.2360839999999</v>
      </c>
      <c r="I1196">
        <v>1327.2924805</v>
      </c>
      <c r="J1196">
        <v>1325.6337891000001</v>
      </c>
      <c r="K1196">
        <v>2750</v>
      </c>
      <c r="L1196">
        <v>0</v>
      </c>
      <c r="M1196">
        <v>0</v>
      </c>
      <c r="N1196">
        <v>2750</v>
      </c>
    </row>
    <row r="1197" spans="1:14" x14ac:dyDescent="0.25">
      <c r="A1197">
        <v>372.57135299999999</v>
      </c>
      <c r="B1197" s="1">
        <f>DATE(2011,5,8) + TIME(13,42,44)</f>
        <v>40671.571342592593</v>
      </c>
      <c r="C1197">
        <v>80</v>
      </c>
      <c r="D1197">
        <v>79.969680785999998</v>
      </c>
      <c r="E1197">
        <v>60</v>
      </c>
      <c r="F1197">
        <v>59.002254485999998</v>
      </c>
      <c r="G1197">
        <v>1341.2159423999999</v>
      </c>
      <c r="H1197">
        <v>1338.2321777</v>
      </c>
      <c r="I1197">
        <v>1327.2884521000001</v>
      </c>
      <c r="J1197">
        <v>1325.628418</v>
      </c>
      <c r="K1197">
        <v>2750</v>
      </c>
      <c r="L1197">
        <v>0</v>
      </c>
      <c r="M1197">
        <v>0</v>
      </c>
      <c r="N1197">
        <v>2750</v>
      </c>
    </row>
    <row r="1198" spans="1:14" x14ac:dyDescent="0.25">
      <c r="A1198">
        <v>372.75500799999998</v>
      </c>
      <c r="B1198" s="1">
        <f>DATE(2011,5,8) + TIME(18,7,12)</f>
        <v>40671.754999999997</v>
      </c>
      <c r="C1198">
        <v>80</v>
      </c>
      <c r="D1198">
        <v>79.969635010000005</v>
      </c>
      <c r="E1198">
        <v>60</v>
      </c>
      <c r="F1198">
        <v>58.983078003000003</v>
      </c>
      <c r="G1198">
        <v>1341.2071533000001</v>
      </c>
      <c r="H1198">
        <v>1338.2283935999999</v>
      </c>
      <c r="I1198">
        <v>1327.2844238</v>
      </c>
      <c r="J1198">
        <v>1325.6229248</v>
      </c>
      <c r="K1198">
        <v>2750</v>
      </c>
      <c r="L1198">
        <v>0</v>
      </c>
      <c r="M1198">
        <v>0</v>
      </c>
      <c r="N1198">
        <v>2750</v>
      </c>
    </row>
    <row r="1199" spans="1:14" x14ac:dyDescent="0.25">
      <c r="A1199">
        <v>372.94300199999998</v>
      </c>
      <c r="B1199" s="1">
        <f>DATE(2011,5,8) + TIME(22,37,55)</f>
        <v>40671.942997685182</v>
      </c>
      <c r="C1199">
        <v>80</v>
      </c>
      <c r="D1199">
        <v>79.969589232999994</v>
      </c>
      <c r="E1199">
        <v>60</v>
      </c>
      <c r="F1199">
        <v>58.963573455999999</v>
      </c>
      <c r="G1199">
        <v>1341.1983643000001</v>
      </c>
      <c r="H1199">
        <v>1338.2244873</v>
      </c>
      <c r="I1199">
        <v>1327.2802733999999</v>
      </c>
      <c r="J1199">
        <v>1325.6171875</v>
      </c>
      <c r="K1199">
        <v>2750</v>
      </c>
      <c r="L1199">
        <v>0</v>
      </c>
      <c r="M1199">
        <v>0</v>
      </c>
      <c r="N1199">
        <v>2750</v>
      </c>
    </row>
    <row r="1200" spans="1:14" x14ac:dyDescent="0.25">
      <c r="A1200">
        <v>373.13580400000001</v>
      </c>
      <c r="B1200" s="1">
        <f>DATE(2011,5,9) + TIME(3,15,33)</f>
        <v>40672.135798611111</v>
      </c>
      <c r="C1200">
        <v>80</v>
      </c>
      <c r="D1200">
        <v>79.969551085999996</v>
      </c>
      <c r="E1200">
        <v>60</v>
      </c>
      <c r="F1200">
        <v>58.943695067999997</v>
      </c>
      <c r="G1200">
        <v>1341.1893310999999</v>
      </c>
      <c r="H1200">
        <v>1338.2205810999999</v>
      </c>
      <c r="I1200">
        <v>1327.2758789</v>
      </c>
      <c r="J1200">
        <v>1325.6112060999999</v>
      </c>
      <c r="K1200">
        <v>2750</v>
      </c>
      <c r="L1200">
        <v>0</v>
      </c>
      <c r="M1200">
        <v>0</v>
      </c>
      <c r="N1200">
        <v>2750</v>
      </c>
    </row>
    <row r="1201" spans="1:14" x14ac:dyDescent="0.25">
      <c r="A1201">
        <v>373.333932</v>
      </c>
      <c r="B1201" s="1">
        <f>DATE(2011,5,9) + TIME(8,0,51)</f>
        <v>40672.333923611113</v>
      </c>
      <c r="C1201">
        <v>80</v>
      </c>
      <c r="D1201">
        <v>79.969505310000002</v>
      </c>
      <c r="E1201">
        <v>60</v>
      </c>
      <c r="F1201">
        <v>58.923404693999998</v>
      </c>
      <c r="G1201">
        <v>1341.1802978999999</v>
      </c>
      <c r="H1201">
        <v>1338.2166748</v>
      </c>
      <c r="I1201">
        <v>1327.2714844</v>
      </c>
      <c r="J1201">
        <v>1325.6052245999999</v>
      </c>
      <c r="K1201">
        <v>2750</v>
      </c>
      <c r="L1201">
        <v>0</v>
      </c>
      <c r="M1201">
        <v>0</v>
      </c>
      <c r="N1201">
        <v>2750</v>
      </c>
    </row>
    <row r="1202" spans="1:14" x14ac:dyDescent="0.25">
      <c r="A1202">
        <v>373.53562799999997</v>
      </c>
      <c r="B1202" s="1">
        <f>DATE(2011,5,9) + TIME(12,51,18)</f>
        <v>40672.535624999997</v>
      </c>
      <c r="C1202">
        <v>80</v>
      </c>
      <c r="D1202">
        <v>79.969459533999995</v>
      </c>
      <c r="E1202">
        <v>60</v>
      </c>
      <c r="F1202">
        <v>58.902847289999997</v>
      </c>
      <c r="G1202">
        <v>1341.1711425999999</v>
      </c>
      <c r="H1202">
        <v>1338.2126464999999</v>
      </c>
      <c r="I1202">
        <v>1327.2669678</v>
      </c>
      <c r="J1202">
        <v>1325.5988769999999</v>
      </c>
      <c r="K1202">
        <v>2750</v>
      </c>
      <c r="L1202">
        <v>0</v>
      </c>
      <c r="M1202">
        <v>0</v>
      </c>
      <c r="N1202">
        <v>2750</v>
      </c>
    </row>
    <row r="1203" spans="1:14" x14ac:dyDescent="0.25">
      <c r="A1203">
        <v>373.73981199999997</v>
      </c>
      <c r="B1203" s="1">
        <f>DATE(2011,5,9) + TIME(17,45,19)</f>
        <v>40672.739803240744</v>
      </c>
      <c r="C1203">
        <v>80</v>
      </c>
      <c r="D1203">
        <v>79.969413756999998</v>
      </c>
      <c r="E1203">
        <v>60</v>
      </c>
      <c r="F1203">
        <v>58.88211441</v>
      </c>
      <c r="G1203">
        <v>1341.1621094</v>
      </c>
      <c r="H1203">
        <v>1338.2087402</v>
      </c>
      <c r="I1203">
        <v>1327.262207</v>
      </c>
      <c r="J1203">
        <v>1325.5925293</v>
      </c>
      <c r="K1203">
        <v>2750</v>
      </c>
      <c r="L1203">
        <v>0</v>
      </c>
      <c r="M1203">
        <v>0</v>
      </c>
      <c r="N1203">
        <v>2750</v>
      </c>
    </row>
    <row r="1204" spans="1:14" x14ac:dyDescent="0.25">
      <c r="A1204">
        <v>373.94696900000002</v>
      </c>
      <c r="B1204" s="1">
        <f>DATE(2011,5,9) + TIME(22,43,38)</f>
        <v>40672.946967592594</v>
      </c>
      <c r="C1204">
        <v>80</v>
      </c>
      <c r="D1204">
        <v>79.969360351999995</v>
      </c>
      <c r="E1204">
        <v>60</v>
      </c>
      <c r="F1204">
        <v>58.861175537000001</v>
      </c>
      <c r="G1204">
        <v>1341.1529541</v>
      </c>
      <c r="H1204">
        <v>1338.2048339999999</v>
      </c>
      <c r="I1204">
        <v>1327.2574463000001</v>
      </c>
      <c r="J1204">
        <v>1325.5859375</v>
      </c>
      <c r="K1204">
        <v>2750</v>
      </c>
      <c r="L1204">
        <v>0</v>
      </c>
      <c r="M1204">
        <v>0</v>
      </c>
      <c r="N1204">
        <v>2750</v>
      </c>
    </row>
    <row r="1205" spans="1:14" x14ac:dyDescent="0.25">
      <c r="A1205">
        <v>374.15758799999998</v>
      </c>
      <c r="B1205" s="1">
        <f>DATE(2011,5,10) + TIME(3,46,55)</f>
        <v>40673.157581018517</v>
      </c>
      <c r="C1205">
        <v>80</v>
      </c>
      <c r="D1205">
        <v>79.969314574999999</v>
      </c>
      <c r="E1205">
        <v>60</v>
      </c>
      <c r="F1205">
        <v>58.839996337999999</v>
      </c>
      <c r="G1205">
        <v>1341.1439209</v>
      </c>
      <c r="H1205">
        <v>1338.2009277</v>
      </c>
      <c r="I1205">
        <v>1327.2525635</v>
      </c>
      <c r="J1205">
        <v>1325.5792236</v>
      </c>
      <c r="K1205">
        <v>2750</v>
      </c>
      <c r="L1205">
        <v>0</v>
      </c>
      <c r="M1205">
        <v>0</v>
      </c>
      <c r="N1205">
        <v>2750</v>
      </c>
    </row>
    <row r="1206" spans="1:14" x14ac:dyDescent="0.25">
      <c r="A1206">
        <v>374.37289900000002</v>
      </c>
      <c r="B1206" s="1">
        <f>DATE(2011,5,10) + TIME(8,56,58)</f>
        <v>40673.372893518521</v>
      </c>
      <c r="C1206">
        <v>80</v>
      </c>
      <c r="D1206">
        <v>79.969268799000005</v>
      </c>
      <c r="E1206">
        <v>60</v>
      </c>
      <c r="F1206">
        <v>58.818481445000003</v>
      </c>
      <c r="G1206">
        <v>1341.1347656</v>
      </c>
      <c r="H1206">
        <v>1338.1970214999999</v>
      </c>
      <c r="I1206">
        <v>1327.2475586</v>
      </c>
      <c r="J1206">
        <v>1325.5723877</v>
      </c>
      <c r="K1206">
        <v>2750</v>
      </c>
      <c r="L1206">
        <v>0</v>
      </c>
      <c r="M1206">
        <v>0</v>
      </c>
      <c r="N1206">
        <v>2750</v>
      </c>
    </row>
    <row r="1207" spans="1:14" x14ac:dyDescent="0.25">
      <c r="A1207">
        <v>374.592311</v>
      </c>
      <c r="B1207" s="1">
        <f>DATE(2011,5,10) + TIME(14,12,55)</f>
        <v>40673.592303240737</v>
      </c>
      <c r="C1207">
        <v>80</v>
      </c>
      <c r="D1207">
        <v>79.969215392999999</v>
      </c>
      <c r="E1207">
        <v>60</v>
      </c>
      <c r="F1207">
        <v>58.796684265000003</v>
      </c>
      <c r="G1207">
        <v>1341.1257324000001</v>
      </c>
      <c r="H1207">
        <v>1338.1931152</v>
      </c>
      <c r="I1207">
        <v>1327.2424315999999</v>
      </c>
      <c r="J1207">
        <v>1325.5653076000001</v>
      </c>
      <c r="K1207">
        <v>2750</v>
      </c>
      <c r="L1207">
        <v>0</v>
      </c>
      <c r="M1207">
        <v>0</v>
      </c>
      <c r="N1207">
        <v>2750</v>
      </c>
    </row>
    <row r="1208" spans="1:14" x14ac:dyDescent="0.25">
      <c r="A1208">
        <v>374.817138</v>
      </c>
      <c r="B1208" s="1">
        <f>DATE(2011,5,10) + TIME(19,36,40)</f>
        <v>40673.817129629628</v>
      </c>
      <c r="C1208">
        <v>80</v>
      </c>
      <c r="D1208">
        <v>79.969169617000006</v>
      </c>
      <c r="E1208">
        <v>60</v>
      </c>
      <c r="F1208">
        <v>58.774501801</v>
      </c>
      <c r="G1208">
        <v>1341.1165771000001</v>
      </c>
      <c r="H1208">
        <v>1338.1892089999999</v>
      </c>
      <c r="I1208">
        <v>1327.2371826000001</v>
      </c>
      <c r="J1208">
        <v>1325.5579834</v>
      </c>
      <c r="K1208">
        <v>2750</v>
      </c>
      <c r="L1208">
        <v>0</v>
      </c>
      <c r="M1208">
        <v>0</v>
      </c>
      <c r="N1208">
        <v>2750</v>
      </c>
    </row>
    <row r="1209" spans="1:14" x14ac:dyDescent="0.25">
      <c r="A1209">
        <v>375.04810700000002</v>
      </c>
      <c r="B1209" s="1">
        <f>DATE(2011,5,11) + TIME(1,9,16)</f>
        <v>40674.048101851855</v>
      </c>
      <c r="C1209">
        <v>80</v>
      </c>
      <c r="D1209">
        <v>79.969123839999995</v>
      </c>
      <c r="E1209">
        <v>60</v>
      </c>
      <c r="F1209">
        <v>58.751876830999997</v>
      </c>
      <c r="G1209">
        <v>1341.1074219</v>
      </c>
      <c r="H1209">
        <v>1338.1853027</v>
      </c>
      <c r="I1209">
        <v>1327.2318115</v>
      </c>
      <c r="J1209">
        <v>1325.5505370999999</v>
      </c>
      <c r="K1209">
        <v>2750</v>
      </c>
      <c r="L1209">
        <v>0</v>
      </c>
      <c r="M1209">
        <v>0</v>
      </c>
      <c r="N1209">
        <v>2750</v>
      </c>
    </row>
    <row r="1210" spans="1:14" x14ac:dyDescent="0.25">
      <c r="A1210">
        <v>375.28601900000001</v>
      </c>
      <c r="B1210" s="1">
        <f>DATE(2011,5,11) + TIME(6,51,52)</f>
        <v>40674.28601851852</v>
      </c>
      <c r="C1210">
        <v>80</v>
      </c>
      <c r="D1210">
        <v>79.969070435000006</v>
      </c>
      <c r="E1210">
        <v>60</v>
      </c>
      <c r="F1210">
        <v>58.728748322000001</v>
      </c>
      <c r="G1210">
        <v>1341.0981445</v>
      </c>
      <c r="H1210">
        <v>1338.1813964999999</v>
      </c>
      <c r="I1210">
        <v>1327.2261963000001</v>
      </c>
      <c r="J1210">
        <v>1325.5428466999999</v>
      </c>
      <c r="K1210">
        <v>2750</v>
      </c>
      <c r="L1210">
        <v>0</v>
      </c>
      <c r="M1210">
        <v>0</v>
      </c>
      <c r="N1210">
        <v>2750</v>
      </c>
    </row>
    <row r="1211" spans="1:14" x14ac:dyDescent="0.25">
      <c r="A1211">
        <v>375.52921199999997</v>
      </c>
      <c r="B1211" s="1">
        <f>DATE(2011,5,11) + TIME(12,42,3)</f>
        <v>40674.52920138889</v>
      </c>
      <c r="C1211">
        <v>80</v>
      </c>
      <c r="D1211">
        <v>79.969017029</v>
      </c>
      <c r="E1211">
        <v>60</v>
      </c>
      <c r="F1211">
        <v>58.705242157000001</v>
      </c>
      <c r="G1211">
        <v>1341.0887451000001</v>
      </c>
      <c r="H1211">
        <v>1338.1774902</v>
      </c>
      <c r="I1211">
        <v>1327.2204589999999</v>
      </c>
      <c r="J1211">
        <v>1325.5349120999999</v>
      </c>
      <c r="K1211">
        <v>2750</v>
      </c>
      <c r="L1211">
        <v>0</v>
      </c>
      <c r="M1211">
        <v>0</v>
      </c>
      <c r="N1211">
        <v>2750</v>
      </c>
    </row>
    <row r="1212" spans="1:14" x14ac:dyDescent="0.25">
      <c r="A1212">
        <v>375.77335299999999</v>
      </c>
      <c r="B1212" s="1">
        <f>DATE(2011,5,11) + TIME(18,33,37)</f>
        <v>40674.773344907408</v>
      </c>
      <c r="C1212">
        <v>80</v>
      </c>
      <c r="D1212">
        <v>79.968971252000003</v>
      </c>
      <c r="E1212">
        <v>60</v>
      </c>
      <c r="F1212">
        <v>58.681682586999997</v>
      </c>
      <c r="G1212">
        <v>1341.0793457</v>
      </c>
      <c r="H1212">
        <v>1338.1735839999999</v>
      </c>
      <c r="I1212">
        <v>1327.2144774999999</v>
      </c>
      <c r="J1212">
        <v>1325.5267334</v>
      </c>
      <c r="K1212">
        <v>2750</v>
      </c>
      <c r="L1212">
        <v>0</v>
      </c>
      <c r="M1212">
        <v>0</v>
      </c>
      <c r="N1212">
        <v>2750</v>
      </c>
    </row>
    <row r="1213" spans="1:14" x14ac:dyDescent="0.25">
      <c r="A1213">
        <v>376.01856500000002</v>
      </c>
      <c r="B1213" s="1">
        <f>DATE(2011,5,12) + TIME(0,26,44)</f>
        <v>40675.018564814818</v>
      </c>
      <c r="C1213">
        <v>80</v>
      </c>
      <c r="D1213">
        <v>79.968917847</v>
      </c>
      <c r="E1213">
        <v>60</v>
      </c>
      <c r="F1213">
        <v>58.658081054999997</v>
      </c>
      <c r="G1213">
        <v>1341.0700684000001</v>
      </c>
      <c r="H1213">
        <v>1338.1696777</v>
      </c>
      <c r="I1213">
        <v>1327.2084961</v>
      </c>
      <c r="J1213">
        <v>1325.5184326000001</v>
      </c>
      <c r="K1213">
        <v>2750</v>
      </c>
      <c r="L1213">
        <v>0</v>
      </c>
      <c r="M1213">
        <v>0</v>
      </c>
      <c r="N1213">
        <v>2750</v>
      </c>
    </row>
    <row r="1214" spans="1:14" x14ac:dyDescent="0.25">
      <c r="A1214">
        <v>376.26533699999999</v>
      </c>
      <c r="B1214" s="1">
        <f>DATE(2011,5,12) + TIME(6,22,5)</f>
        <v>40675.265335648146</v>
      </c>
      <c r="C1214">
        <v>80</v>
      </c>
      <c r="D1214">
        <v>79.968864440999994</v>
      </c>
      <c r="E1214">
        <v>60</v>
      </c>
      <c r="F1214">
        <v>58.634422301999997</v>
      </c>
      <c r="G1214">
        <v>1341.0610352000001</v>
      </c>
      <c r="H1214">
        <v>1338.1658935999999</v>
      </c>
      <c r="I1214">
        <v>1327.2025146000001</v>
      </c>
      <c r="J1214">
        <v>1325.5101318</v>
      </c>
      <c r="K1214">
        <v>2750</v>
      </c>
      <c r="L1214">
        <v>0</v>
      </c>
      <c r="M1214">
        <v>0</v>
      </c>
      <c r="N1214">
        <v>2750</v>
      </c>
    </row>
    <row r="1215" spans="1:14" x14ac:dyDescent="0.25">
      <c r="A1215">
        <v>376.51415400000002</v>
      </c>
      <c r="B1215" s="1">
        <f>DATE(2011,5,12) + TIME(12,20,22)</f>
        <v>40675.514143518521</v>
      </c>
      <c r="C1215">
        <v>80</v>
      </c>
      <c r="D1215">
        <v>79.968818665000001</v>
      </c>
      <c r="E1215">
        <v>60</v>
      </c>
      <c r="F1215">
        <v>58.610683440999999</v>
      </c>
      <c r="G1215">
        <v>1341.0520019999999</v>
      </c>
      <c r="H1215">
        <v>1338.1621094</v>
      </c>
      <c r="I1215">
        <v>1327.1962891000001</v>
      </c>
      <c r="J1215">
        <v>1325.5017089999999</v>
      </c>
      <c r="K1215">
        <v>2750</v>
      </c>
      <c r="L1215">
        <v>0</v>
      </c>
      <c r="M1215">
        <v>0</v>
      </c>
      <c r="N1215">
        <v>2750</v>
      </c>
    </row>
    <row r="1216" spans="1:14" x14ac:dyDescent="0.25">
      <c r="A1216">
        <v>376.765511</v>
      </c>
      <c r="B1216" s="1">
        <f>DATE(2011,5,12) + TIME(18,22,20)</f>
        <v>40675.765509259261</v>
      </c>
      <c r="C1216">
        <v>80</v>
      </c>
      <c r="D1216">
        <v>79.968765258999994</v>
      </c>
      <c r="E1216">
        <v>60</v>
      </c>
      <c r="F1216">
        <v>58.586833953999999</v>
      </c>
      <c r="G1216">
        <v>1341.0430908000001</v>
      </c>
      <c r="H1216">
        <v>1338.1584473</v>
      </c>
      <c r="I1216">
        <v>1327.1901855000001</v>
      </c>
      <c r="J1216">
        <v>1325.4930420000001</v>
      </c>
      <c r="K1216">
        <v>2750</v>
      </c>
      <c r="L1216">
        <v>0</v>
      </c>
      <c r="M1216">
        <v>0</v>
      </c>
      <c r="N1216">
        <v>2750</v>
      </c>
    </row>
    <row r="1217" spans="1:14" x14ac:dyDescent="0.25">
      <c r="A1217">
        <v>377.019902</v>
      </c>
      <c r="B1217" s="1">
        <f>DATE(2011,5,13) + TIME(0,28,39)</f>
        <v>40676.019895833335</v>
      </c>
      <c r="C1217">
        <v>80</v>
      </c>
      <c r="D1217">
        <v>79.968719481999997</v>
      </c>
      <c r="E1217">
        <v>60</v>
      </c>
      <c r="F1217">
        <v>58.562843323000003</v>
      </c>
      <c r="G1217">
        <v>1341.0343018000001</v>
      </c>
      <c r="H1217">
        <v>1338.1549072</v>
      </c>
      <c r="I1217">
        <v>1327.1838379000001</v>
      </c>
      <c r="J1217">
        <v>1325.484375</v>
      </c>
      <c r="K1217">
        <v>2750</v>
      </c>
      <c r="L1217">
        <v>0</v>
      </c>
      <c r="M1217">
        <v>0</v>
      </c>
      <c r="N1217">
        <v>2750</v>
      </c>
    </row>
    <row r="1218" spans="1:14" x14ac:dyDescent="0.25">
      <c r="A1218">
        <v>377.27795300000002</v>
      </c>
      <c r="B1218" s="1">
        <f>DATE(2011,5,13) + TIME(6,40,15)</f>
        <v>40676.277951388889</v>
      </c>
      <c r="C1218">
        <v>80</v>
      </c>
      <c r="D1218">
        <v>79.968666076999995</v>
      </c>
      <c r="E1218">
        <v>60</v>
      </c>
      <c r="F1218">
        <v>58.538665770999998</v>
      </c>
      <c r="G1218">
        <v>1341.0255127</v>
      </c>
      <c r="H1218">
        <v>1338.1513672000001</v>
      </c>
      <c r="I1218">
        <v>1327.1774902</v>
      </c>
      <c r="J1218">
        <v>1325.4754639</v>
      </c>
      <c r="K1218">
        <v>2750</v>
      </c>
      <c r="L1218">
        <v>0</v>
      </c>
      <c r="M1218">
        <v>0</v>
      </c>
      <c r="N1218">
        <v>2750</v>
      </c>
    </row>
    <row r="1219" spans="1:14" x14ac:dyDescent="0.25">
      <c r="A1219">
        <v>377.540098</v>
      </c>
      <c r="B1219" s="1">
        <f>DATE(2011,5,13) + TIME(12,57,44)</f>
        <v>40676.540092592593</v>
      </c>
      <c r="C1219">
        <v>80</v>
      </c>
      <c r="D1219">
        <v>79.968620299999998</v>
      </c>
      <c r="E1219">
        <v>60</v>
      </c>
      <c r="F1219">
        <v>58.514270781999997</v>
      </c>
      <c r="G1219">
        <v>1341.0168457</v>
      </c>
      <c r="H1219">
        <v>1338.1477050999999</v>
      </c>
      <c r="I1219">
        <v>1327.1710204999999</v>
      </c>
      <c r="J1219">
        <v>1325.4664307</v>
      </c>
      <c r="K1219">
        <v>2750</v>
      </c>
      <c r="L1219">
        <v>0</v>
      </c>
      <c r="M1219">
        <v>0</v>
      </c>
      <c r="N1219">
        <v>2750</v>
      </c>
    </row>
    <row r="1220" spans="1:14" x14ac:dyDescent="0.25">
      <c r="A1220">
        <v>377.80691200000001</v>
      </c>
      <c r="B1220" s="1">
        <f>DATE(2011,5,13) + TIME(19,21,57)</f>
        <v>40676.806909722225</v>
      </c>
      <c r="C1220">
        <v>80</v>
      </c>
      <c r="D1220">
        <v>79.968566894999995</v>
      </c>
      <c r="E1220">
        <v>60</v>
      </c>
      <c r="F1220">
        <v>58.489624022999998</v>
      </c>
      <c r="G1220">
        <v>1341.0081786999999</v>
      </c>
      <c r="H1220">
        <v>1338.1441649999999</v>
      </c>
      <c r="I1220">
        <v>1327.1643065999999</v>
      </c>
      <c r="J1220">
        <v>1325.4572754000001</v>
      </c>
      <c r="K1220">
        <v>2750</v>
      </c>
      <c r="L1220">
        <v>0</v>
      </c>
      <c r="M1220">
        <v>0</v>
      </c>
      <c r="N1220">
        <v>2750</v>
      </c>
    </row>
    <row r="1221" spans="1:14" x14ac:dyDescent="0.25">
      <c r="A1221">
        <v>378.07900999999998</v>
      </c>
      <c r="B1221" s="1">
        <f>DATE(2011,5,14) + TIME(1,53,46)</f>
        <v>40677.079004629632</v>
      </c>
      <c r="C1221">
        <v>80</v>
      </c>
      <c r="D1221">
        <v>79.968521117999998</v>
      </c>
      <c r="E1221">
        <v>60</v>
      </c>
      <c r="F1221">
        <v>58.464672088999997</v>
      </c>
      <c r="G1221">
        <v>1340.9995117000001</v>
      </c>
      <c r="H1221">
        <v>1338.1407471</v>
      </c>
      <c r="I1221">
        <v>1327.1575928</v>
      </c>
      <c r="J1221">
        <v>1325.447876</v>
      </c>
      <c r="K1221">
        <v>2750</v>
      </c>
      <c r="L1221">
        <v>0</v>
      </c>
      <c r="M1221">
        <v>0</v>
      </c>
      <c r="N1221">
        <v>2750</v>
      </c>
    </row>
    <row r="1222" spans="1:14" x14ac:dyDescent="0.25">
      <c r="A1222">
        <v>378.357055</v>
      </c>
      <c r="B1222" s="1">
        <f>DATE(2011,5,14) + TIME(8,34,9)</f>
        <v>40677.357048611113</v>
      </c>
      <c r="C1222">
        <v>80</v>
      </c>
      <c r="D1222">
        <v>79.968475342000005</v>
      </c>
      <c r="E1222">
        <v>60</v>
      </c>
      <c r="F1222">
        <v>58.439373015999998</v>
      </c>
      <c r="G1222">
        <v>1340.9908447</v>
      </c>
      <c r="H1222">
        <v>1338.137207</v>
      </c>
      <c r="I1222">
        <v>1327.1506348</v>
      </c>
      <c r="J1222">
        <v>1325.4382324000001</v>
      </c>
      <c r="K1222">
        <v>2750</v>
      </c>
      <c r="L1222">
        <v>0</v>
      </c>
      <c r="M1222">
        <v>0</v>
      </c>
      <c r="N1222">
        <v>2750</v>
      </c>
    </row>
    <row r="1223" spans="1:14" x14ac:dyDescent="0.25">
      <c r="A1223">
        <v>378.64181600000001</v>
      </c>
      <c r="B1223" s="1">
        <f>DATE(2011,5,14) + TIME(15,24,12)</f>
        <v>40677.641805555555</v>
      </c>
      <c r="C1223">
        <v>80</v>
      </c>
      <c r="D1223">
        <v>79.968421935999999</v>
      </c>
      <c r="E1223">
        <v>60</v>
      </c>
      <c r="F1223">
        <v>58.413669585999997</v>
      </c>
      <c r="G1223">
        <v>1340.9821777</v>
      </c>
      <c r="H1223">
        <v>1338.1336670000001</v>
      </c>
      <c r="I1223">
        <v>1327.1435547000001</v>
      </c>
      <c r="J1223">
        <v>1325.4283447</v>
      </c>
      <c r="K1223">
        <v>2750</v>
      </c>
      <c r="L1223">
        <v>0</v>
      </c>
      <c r="M1223">
        <v>0</v>
      </c>
      <c r="N1223">
        <v>2750</v>
      </c>
    </row>
    <row r="1224" spans="1:14" x14ac:dyDescent="0.25">
      <c r="A1224">
        <v>378.93060000000003</v>
      </c>
      <c r="B1224" s="1">
        <f>DATE(2011,5,14) + TIME(22,20,3)</f>
        <v>40677.930590277778</v>
      </c>
      <c r="C1224">
        <v>80</v>
      </c>
      <c r="D1224">
        <v>79.968376160000005</v>
      </c>
      <c r="E1224">
        <v>60</v>
      </c>
      <c r="F1224">
        <v>58.387737274000003</v>
      </c>
      <c r="G1224">
        <v>1340.9735106999999</v>
      </c>
      <c r="H1224">
        <v>1338.130249</v>
      </c>
      <c r="I1224">
        <v>1327.1362305</v>
      </c>
      <c r="J1224">
        <v>1325.4182129000001</v>
      </c>
      <c r="K1224">
        <v>2750</v>
      </c>
      <c r="L1224">
        <v>0</v>
      </c>
      <c r="M1224">
        <v>0</v>
      </c>
      <c r="N1224">
        <v>2750</v>
      </c>
    </row>
    <row r="1225" spans="1:14" x14ac:dyDescent="0.25">
      <c r="A1225">
        <v>379.22491600000001</v>
      </c>
      <c r="B1225" s="1">
        <f>DATE(2011,5,15) + TIME(5,23,52)</f>
        <v>40678.224907407406</v>
      </c>
      <c r="C1225">
        <v>80</v>
      </c>
      <c r="D1225">
        <v>79.968322753999999</v>
      </c>
      <c r="E1225">
        <v>60</v>
      </c>
      <c r="F1225">
        <v>58.361488342000001</v>
      </c>
      <c r="G1225">
        <v>1340.9648437999999</v>
      </c>
      <c r="H1225">
        <v>1338.1267089999999</v>
      </c>
      <c r="I1225">
        <v>1327.1287841999999</v>
      </c>
      <c r="J1225">
        <v>1325.4079589999999</v>
      </c>
      <c r="K1225">
        <v>2750</v>
      </c>
      <c r="L1225">
        <v>0</v>
      </c>
      <c r="M1225">
        <v>0</v>
      </c>
      <c r="N1225">
        <v>2750</v>
      </c>
    </row>
    <row r="1226" spans="1:14" x14ac:dyDescent="0.25">
      <c r="A1226">
        <v>379.526679</v>
      </c>
      <c r="B1226" s="1">
        <f>DATE(2011,5,15) + TIME(12,38,25)</f>
        <v>40678.526678240742</v>
      </c>
      <c r="C1226">
        <v>80</v>
      </c>
      <c r="D1226">
        <v>79.968276978000006</v>
      </c>
      <c r="E1226">
        <v>60</v>
      </c>
      <c r="F1226">
        <v>58.334796906000001</v>
      </c>
      <c r="G1226">
        <v>1340.9561768000001</v>
      </c>
      <c r="H1226">
        <v>1338.1232910000001</v>
      </c>
      <c r="I1226">
        <v>1327.1212158000001</v>
      </c>
      <c r="J1226">
        <v>1325.3973389</v>
      </c>
      <c r="K1226">
        <v>2750</v>
      </c>
      <c r="L1226">
        <v>0</v>
      </c>
      <c r="M1226">
        <v>0</v>
      </c>
      <c r="N1226">
        <v>2750</v>
      </c>
    </row>
    <row r="1227" spans="1:14" x14ac:dyDescent="0.25">
      <c r="A1227">
        <v>379.83701600000001</v>
      </c>
      <c r="B1227" s="1">
        <f>DATE(2011,5,15) + TIME(20,5,18)</f>
        <v>40678.837013888886</v>
      </c>
      <c r="C1227">
        <v>80</v>
      </c>
      <c r="D1227">
        <v>79.968223571999999</v>
      </c>
      <c r="E1227">
        <v>60</v>
      </c>
      <c r="F1227">
        <v>58.307590484999999</v>
      </c>
      <c r="G1227">
        <v>1340.9475098</v>
      </c>
      <c r="H1227">
        <v>1338.1198730000001</v>
      </c>
      <c r="I1227">
        <v>1327.1134033000001</v>
      </c>
      <c r="J1227">
        <v>1325.3864745999999</v>
      </c>
      <c r="K1227">
        <v>2750</v>
      </c>
      <c r="L1227">
        <v>0</v>
      </c>
      <c r="M1227">
        <v>0</v>
      </c>
      <c r="N1227">
        <v>2750</v>
      </c>
    </row>
    <row r="1228" spans="1:14" x14ac:dyDescent="0.25">
      <c r="A1228">
        <v>380.15718500000003</v>
      </c>
      <c r="B1228" s="1">
        <f>DATE(2011,5,16) + TIME(3,46,20)</f>
        <v>40679.157175925924</v>
      </c>
      <c r="C1228">
        <v>80</v>
      </c>
      <c r="D1228">
        <v>79.968177795000003</v>
      </c>
      <c r="E1228">
        <v>60</v>
      </c>
      <c r="F1228">
        <v>58.279781342</v>
      </c>
      <c r="G1228">
        <v>1340.9387207</v>
      </c>
      <c r="H1228">
        <v>1338.1163329999999</v>
      </c>
      <c r="I1228">
        <v>1327.1053466999999</v>
      </c>
      <c r="J1228">
        <v>1325.3753661999999</v>
      </c>
      <c r="K1228">
        <v>2750</v>
      </c>
      <c r="L1228">
        <v>0</v>
      </c>
      <c r="M1228">
        <v>0</v>
      </c>
      <c r="N1228">
        <v>2750</v>
      </c>
    </row>
    <row r="1229" spans="1:14" x14ac:dyDescent="0.25">
      <c r="A1229">
        <v>380.48860100000002</v>
      </c>
      <c r="B1229" s="1">
        <f>DATE(2011,5,16) + TIME(11,43,35)</f>
        <v>40679.488599537035</v>
      </c>
      <c r="C1229">
        <v>80</v>
      </c>
      <c r="D1229">
        <v>79.96812439</v>
      </c>
      <c r="E1229">
        <v>60</v>
      </c>
      <c r="F1229">
        <v>58.251274109000001</v>
      </c>
      <c r="G1229">
        <v>1340.9299315999999</v>
      </c>
      <c r="H1229">
        <v>1338.1129149999999</v>
      </c>
      <c r="I1229">
        <v>1327.0970459</v>
      </c>
      <c r="J1229">
        <v>1325.3637695</v>
      </c>
      <c r="K1229">
        <v>2750</v>
      </c>
      <c r="L1229">
        <v>0</v>
      </c>
      <c r="M1229">
        <v>0</v>
      </c>
      <c r="N1229">
        <v>2750</v>
      </c>
    </row>
    <row r="1230" spans="1:14" x14ac:dyDescent="0.25">
      <c r="A1230">
        <v>380.831885</v>
      </c>
      <c r="B1230" s="1">
        <f>DATE(2011,5,16) + TIME(19,57,54)</f>
        <v>40679.831875000003</v>
      </c>
      <c r="C1230">
        <v>80</v>
      </c>
      <c r="D1230">
        <v>79.968070983999993</v>
      </c>
      <c r="E1230">
        <v>60</v>
      </c>
      <c r="F1230">
        <v>58.222023010000001</v>
      </c>
      <c r="G1230">
        <v>1340.9208983999999</v>
      </c>
      <c r="H1230">
        <v>1338.109375</v>
      </c>
      <c r="I1230">
        <v>1327.088501</v>
      </c>
      <c r="J1230">
        <v>1325.3516846</v>
      </c>
      <c r="K1230">
        <v>2750</v>
      </c>
      <c r="L1230">
        <v>0</v>
      </c>
      <c r="M1230">
        <v>0</v>
      </c>
      <c r="N1230">
        <v>2750</v>
      </c>
    </row>
    <row r="1231" spans="1:14" x14ac:dyDescent="0.25">
      <c r="A1231">
        <v>381.17655000000002</v>
      </c>
      <c r="B1231" s="1">
        <f>DATE(2011,5,17) + TIME(4,14,13)</f>
        <v>40680.176539351851</v>
      </c>
      <c r="C1231">
        <v>80</v>
      </c>
      <c r="D1231">
        <v>79.968025208</v>
      </c>
      <c r="E1231">
        <v>60</v>
      </c>
      <c r="F1231">
        <v>58.192634583</v>
      </c>
      <c r="G1231">
        <v>1340.9118652</v>
      </c>
      <c r="H1231">
        <v>1338.1058350000001</v>
      </c>
      <c r="I1231">
        <v>1327.0795897999999</v>
      </c>
      <c r="J1231">
        <v>1325.3393555</v>
      </c>
      <c r="K1231">
        <v>2750</v>
      </c>
      <c r="L1231">
        <v>0</v>
      </c>
      <c r="M1231">
        <v>0</v>
      </c>
      <c r="N1231">
        <v>2750</v>
      </c>
    </row>
    <row r="1232" spans="1:14" x14ac:dyDescent="0.25">
      <c r="A1232">
        <v>381.52342900000002</v>
      </c>
      <c r="B1232" s="1">
        <f>DATE(2011,5,17) + TIME(12,33,44)</f>
        <v>40680.523425925923</v>
      </c>
      <c r="C1232">
        <v>80</v>
      </c>
      <c r="D1232">
        <v>79.967971801999994</v>
      </c>
      <c r="E1232">
        <v>60</v>
      </c>
      <c r="F1232">
        <v>58.163131714000002</v>
      </c>
      <c r="G1232">
        <v>1340.9029541</v>
      </c>
      <c r="H1232">
        <v>1338.1022949000001</v>
      </c>
      <c r="I1232">
        <v>1327.0705565999999</v>
      </c>
      <c r="J1232">
        <v>1325.3267822</v>
      </c>
      <c r="K1232">
        <v>2750</v>
      </c>
      <c r="L1232">
        <v>0</v>
      </c>
      <c r="M1232">
        <v>0</v>
      </c>
      <c r="N1232">
        <v>2750</v>
      </c>
    </row>
    <row r="1233" spans="1:14" x14ac:dyDescent="0.25">
      <c r="A1233">
        <v>381.873019</v>
      </c>
      <c r="B1233" s="1">
        <f>DATE(2011,5,17) + TIME(20,57,8)</f>
        <v>40680.87300925926</v>
      </c>
      <c r="C1233">
        <v>80</v>
      </c>
      <c r="D1233">
        <v>79.967918396000002</v>
      </c>
      <c r="E1233">
        <v>60</v>
      </c>
      <c r="F1233">
        <v>58.133525847999998</v>
      </c>
      <c r="G1233">
        <v>1340.894043</v>
      </c>
      <c r="H1233">
        <v>1338.0988769999999</v>
      </c>
      <c r="I1233">
        <v>1327.0614014</v>
      </c>
      <c r="J1233">
        <v>1325.3140868999999</v>
      </c>
      <c r="K1233">
        <v>2750</v>
      </c>
      <c r="L1233">
        <v>0</v>
      </c>
      <c r="M1233">
        <v>0</v>
      </c>
      <c r="N1233">
        <v>2750</v>
      </c>
    </row>
    <row r="1234" spans="1:14" x14ac:dyDescent="0.25">
      <c r="A1234">
        <v>382.22282899999999</v>
      </c>
      <c r="B1234" s="1">
        <f>DATE(2011,5,18) + TIME(5,20,52)</f>
        <v>40681.222824074073</v>
      </c>
      <c r="C1234">
        <v>80</v>
      </c>
      <c r="D1234">
        <v>79.967872619999994</v>
      </c>
      <c r="E1234">
        <v>60</v>
      </c>
      <c r="F1234">
        <v>58.103988647000001</v>
      </c>
      <c r="G1234">
        <v>1340.885376</v>
      </c>
      <c r="H1234">
        <v>1338.0954589999999</v>
      </c>
      <c r="I1234">
        <v>1327.0522461</v>
      </c>
      <c r="J1234">
        <v>1325.3012695</v>
      </c>
      <c r="K1234">
        <v>2750</v>
      </c>
      <c r="L1234">
        <v>0</v>
      </c>
      <c r="M1234">
        <v>0</v>
      </c>
      <c r="N1234">
        <v>2750</v>
      </c>
    </row>
    <row r="1235" spans="1:14" x14ac:dyDescent="0.25">
      <c r="A1235">
        <v>382.57367399999998</v>
      </c>
      <c r="B1235" s="1">
        <f>DATE(2011,5,18) + TIME(13,46,5)</f>
        <v>40681.57366898148</v>
      </c>
      <c r="C1235">
        <v>80</v>
      </c>
      <c r="D1235">
        <v>79.967819214000002</v>
      </c>
      <c r="E1235">
        <v>60</v>
      </c>
      <c r="F1235">
        <v>58.074512482000003</v>
      </c>
      <c r="G1235">
        <v>1340.8768310999999</v>
      </c>
      <c r="H1235">
        <v>1338.0921631000001</v>
      </c>
      <c r="I1235">
        <v>1327.0429687999999</v>
      </c>
      <c r="J1235">
        <v>1325.2883300999999</v>
      </c>
      <c r="K1235">
        <v>2750</v>
      </c>
      <c r="L1235">
        <v>0</v>
      </c>
      <c r="M1235">
        <v>0</v>
      </c>
      <c r="N1235">
        <v>2750</v>
      </c>
    </row>
    <row r="1236" spans="1:14" x14ac:dyDescent="0.25">
      <c r="A1236">
        <v>382.92635999999999</v>
      </c>
      <c r="B1236" s="1">
        <f>DATE(2011,5,18) + TIME(22,13,57)</f>
        <v>40681.926354166666</v>
      </c>
      <c r="C1236">
        <v>80</v>
      </c>
      <c r="D1236">
        <v>79.967773437999995</v>
      </c>
      <c r="E1236">
        <v>60</v>
      </c>
      <c r="F1236">
        <v>58.045066833</v>
      </c>
      <c r="G1236">
        <v>1340.8684082</v>
      </c>
      <c r="H1236">
        <v>1338.0889893000001</v>
      </c>
      <c r="I1236">
        <v>1327.0336914</v>
      </c>
      <c r="J1236">
        <v>1325.2753906</v>
      </c>
      <c r="K1236">
        <v>2750</v>
      </c>
      <c r="L1236">
        <v>0</v>
      </c>
      <c r="M1236">
        <v>0</v>
      </c>
      <c r="N1236">
        <v>2750</v>
      </c>
    </row>
    <row r="1237" spans="1:14" x14ac:dyDescent="0.25">
      <c r="A1237">
        <v>383.28168799999997</v>
      </c>
      <c r="B1237" s="1">
        <f>DATE(2011,5,19) + TIME(6,45,37)</f>
        <v>40682.281678240739</v>
      </c>
      <c r="C1237">
        <v>80</v>
      </c>
      <c r="D1237">
        <v>79.967727660999998</v>
      </c>
      <c r="E1237">
        <v>60</v>
      </c>
      <c r="F1237">
        <v>58.015613555999998</v>
      </c>
      <c r="G1237">
        <v>1340.8601074000001</v>
      </c>
      <c r="H1237">
        <v>1338.0856934000001</v>
      </c>
      <c r="I1237">
        <v>1327.0242920000001</v>
      </c>
      <c r="J1237">
        <v>1325.2623291</v>
      </c>
      <c r="K1237">
        <v>2750</v>
      </c>
      <c r="L1237">
        <v>0</v>
      </c>
      <c r="M1237">
        <v>0</v>
      </c>
      <c r="N1237">
        <v>2750</v>
      </c>
    </row>
    <row r="1238" spans="1:14" x14ac:dyDescent="0.25">
      <c r="A1238">
        <v>383.64048000000003</v>
      </c>
      <c r="B1238" s="1">
        <f>DATE(2011,5,19) + TIME(15,22,17)</f>
        <v>40682.640474537038</v>
      </c>
      <c r="C1238">
        <v>80</v>
      </c>
      <c r="D1238">
        <v>79.967674255000006</v>
      </c>
      <c r="E1238">
        <v>60</v>
      </c>
      <c r="F1238">
        <v>57.986110687</v>
      </c>
      <c r="G1238">
        <v>1340.8519286999999</v>
      </c>
      <c r="H1238">
        <v>1338.0826416</v>
      </c>
      <c r="I1238">
        <v>1327.0148925999999</v>
      </c>
      <c r="J1238">
        <v>1325.2491454999999</v>
      </c>
      <c r="K1238">
        <v>2750</v>
      </c>
      <c r="L1238">
        <v>0</v>
      </c>
      <c r="M1238">
        <v>0</v>
      </c>
      <c r="N1238">
        <v>2750</v>
      </c>
    </row>
    <row r="1239" spans="1:14" x14ac:dyDescent="0.25">
      <c r="A1239">
        <v>384.00356399999998</v>
      </c>
      <c r="B1239" s="1">
        <f>DATE(2011,5,20) + TIME(0,5,7)</f>
        <v>40683.003553240742</v>
      </c>
      <c r="C1239">
        <v>80</v>
      </c>
      <c r="D1239">
        <v>79.967628478999998</v>
      </c>
      <c r="E1239">
        <v>60</v>
      </c>
      <c r="F1239">
        <v>57.956504821999999</v>
      </c>
      <c r="G1239">
        <v>1340.8438721</v>
      </c>
      <c r="H1239">
        <v>1338.0794678</v>
      </c>
      <c r="I1239">
        <v>1327.0053711</v>
      </c>
      <c r="J1239">
        <v>1325.2357178</v>
      </c>
      <c r="K1239">
        <v>2750</v>
      </c>
      <c r="L1239">
        <v>0</v>
      </c>
      <c r="M1239">
        <v>0</v>
      </c>
      <c r="N1239">
        <v>2750</v>
      </c>
    </row>
    <row r="1240" spans="1:14" x14ac:dyDescent="0.25">
      <c r="A1240">
        <v>384.37192800000003</v>
      </c>
      <c r="B1240" s="1">
        <f>DATE(2011,5,20) + TIME(8,55,34)</f>
        <v>40683.371921296297</v>
      </c>
      <c r="C1240">
        <v>80</v>
      </c>
      <c r="D1240">
        <v>79.967582703000005</v>
      </c>
      <c r="E1240">
        <v>60</v>
      </c>
      <c r="F1240">
        <v>57.926731109999999</v>
      </c>
      <c r="G1240">
        <v>1340.8358154</v>
      </c>
      <c r="H1240">
        <v>1338.0764160000001</v>
      </c>
      <c r="I1240">
        <v>1326.9956055</v>
      </c>
      <c r="J1240">
        <v>1325.222168</v>
      </c>
      <c r="K1240">
        <v>2750</v>
      </c>
      <c r="L1240">
        <v>0</v>
      </c>
      <c r="M1240">
        <v>0</v>
      </c>
      <c r="N1240">
        <v>2750</v>
      </c>
    </row>
    <row r="1241" spans="1:14" x14ac:dyDescent="0.25">
      <c r="A1241">
        <v>384.74639200000001</v>
      </c>
      <c r="B1241" s="1">
        <f>DATE(2011,5,20) + TIME(17,54,48)</f>
        <v>40683.746388888889</v>
      </c>
      <c r="C1241">
        <v>80</v>
      </c>
      <c r="D1241">
        <v>79.967536925999994</v>
      </c>
      <c r="E1241">
        <v>60</v>
      </c>
      <c r="F1241">
        <v>57.896736144999998</v>
      </c>
      <c r="G1241">
        <v>1340.8278809000001</v>
      </c>
      <c r="H1241">
        <v>1338.0733643000001</v>
      </c>
      <c r="I1241">
        <v>1326.9858397999999</v>
      </c>
      <c r="J1241">
        <v>1325.208374</v>
      </c>
      <c r="K1241">
        <v>2750</v>
      </c>
      <c r="L1241">
        <v>0</v>
      </c>
      <c r="M1241">
        <v>0</v>
      </c>
      <c r="N1241">
        <v>2750</v>
      </c>
    </row>
    <row r="1242" spans="1:14" x14ac:dyDescent="0.25">
      <c r="A1242">
        <v>385.12806699999999</v>
      </c>
      <c r="B1242" s="1">
        <f>DATE(2011,5,21) + TIME(3,4,24)</f>
        <v>40684.128055555557</v>
      </c>
      <c r="C1242">
        <v>80</v>
      </c>
      <c r="D1242">
        <v>79.967491150000001</v>
      </c>
      <c r="E1242">
        <v>60</v>
      </c>
      <c r="F1242">
        <v>57.866451263000002</v>
      </c>
      <c r="G1242">
        <v>1340.8198242000001</v>
      </c>
      <c r="H1242">
        <v>1338.0701904</v>
      </c>
      <c r="I1242">
        <v>1326.9758300999999</v>
      </c>
      <c r="J1242">
        <v>1325.1944579999999</v>
      </c>
      <c r="K1242">
        <v>2750</v>
      </c>
      <c r="L1242">
        <v>0</v>
      </c>
      <c r="M1242">
        <v>0</v>
      </c>
      <c r="N1242">
        <v>2750</v>
      </c>
    </row>
    <row r="1243" spans="1:14" x14ac:dyDescent="0.25">
      <c r="A1243">
        <v>385.51838600000002</v>
      </c>
      <c r="B1243" s="1">
        <f>DATE(2011,5,21) + TIME(12,26,28)</f>
        <v>40684.518379629626</v>
      </c>
      <c r="C1243">
        <v>80</v>
      </c>
      <c r="D1243">
        <v>79.967445373999993</v>
      </c>
      <c r="E1243">
        <v>60</v>
      </c>
      <c r="F1243">
        <v>57.835788727000001</v>
      </c>
      <c r="G1243">
        <v>1340.8118896000001</v>
      </c>
      <c r="H1243">
        <v>1338.0671387</v>
      </c>
      <c r="I1243">
        <v>1326.9655762</v>
      </c>
      <c r="J1243">
        <v>1325.1800536999999</v>
      </c>
      <c r="K1243">
        <v>2750</v>
      </c>
      <c r="L1243">
        <v>0</v>
      </c>
      <c r="M1243">
        <v>0</v>
      </c>
      <c r="N1243">
        <v>2750</v>
      </c>
    </row>
    <row r="1244" spans="1:14" x14ac:dyDescent="0.25">
      <c r="A1244">
        <v>385.921469</v>
      </c>
      <c r="B1244" s="1">
        <f>DATE(2011,5,21) + TIME(22,6,54)</f>
        <v>40684.921458333331</v>
      </c>
      <c r="C1244">
        <v>80</v>
      </c>
      <c r="D1244">
        <v>79.967399596999996</v>
      </c>
      <c r="E1244">
        <v>60</v>
      </c>
      <c r="F1244">
        <v>57.804515838999997</v>
      </c>
      <c r="G1244">
        <v>1340.8039550999999</v>
      </c>
      <c r="H1244">
        <v>1338.0640868999999</v>
      </c>
      <c r="I1244">
        <v>1326.9550781</v>
      </c>
      <c r="J1244">
        <v>1325.1655272999999</v>
      </c>
      <c r="K1244">
        <v>2750</v>
      </c>
      <c r="L1244">
        <v>0</v>
      </c>
      <c r="M1244">
        <v>0</v>
      </c>
      <c r="N1244">
        <v>2750</v>
      </c>
    </row>
    <row r="1245" spans="1:14" x14ac:dyDescent="0.25">
      <c r="A1245">
        <v>386.33925099999999</v>
      </c>
      <c r="B1245" s="1">
        <f>DATE(2011,5,22) + TIME(8,8,31)</f>
        <v>40685.339247685188</v>
      </c>
      <c r="C1245">
        <v>80</v>
      </c>
      <c r="D1245">
        <v>79.967353821000003</v>
      </c>
      <c r="E1245">
        <v>60</v>
      </c>
      <c r="F1245">
        <v>57.772502899000003</v>
      </c>
      <c r="G1245">
        <v>1340.7957764</v>
      </c>
      <c r="H1245">
        <v>1338.0609131000001</v>
      </c>
      <c r="I1245">
        <v>1326.9443358999999</v>
      </c>
      <c r="J1245">
        <v>1325.1503906</v>
      </c>
      <c r="K1245">
        <v>2750</v>
      </c>
      <c r="L1245">
        <v>0</v>
      </c>
      <c r="M1245">
        <v>0</v>
      </c>
      <c r="N1245">
        <v>2750</v>
      </c>
    </row>
    <row r="1246" spans="1:14" x14ac:dyDescent="0.25">
      <c r="A1246">
        <v>386.770689</v>
      </c>
      <c r="B1246" s="1">
        <f>DATE(2011,5,22) + TIME(18,29,47)</f>
        <v>40685.770682870374</v>
      </c>
      <c r="C1246">
        <v>80</v>
      </c>
      <c r="D1246">
        <v>79.967308044000006</v>
      </c>
      <c r="E1246">
        <v>60</v>
      </c>
      <c r="F1246">
        <v>57.739761352999999</v>
      </c>
      <c r="G1246">
        <v>1340.7875977000001</v>
      </c>
      <c r="H1246">
        <v>1338.0577393000001</v>
      </c>
      <c r="I1246">
        <v>1326.9331055</v>
      </c>
      <c r="J1246">
        <v>1325.1347656</v>
      </c>
      <c r="K1246">
        <v>2750</v>
      </c>
      <c r="L1246">
        <v>0</v>
      </c>
      <c r="M1246">
        <v>0</v>
      </c>
      <c r="N1246">
        <v>2750</v>
      </c>
    </row>
    <row r="1247" spans="1:14" x14ac:dyDescent="0.25">
      <c r="A1247">
        <v>387.21684099999999</v>
      </c>
      <c r="B1247" s="1">
        <f>DATE(2011,5,23) + TIME(5,12,15)</f>
        <v>40686.216840277775</v>
      </c>
      <c r="C1247">
        <v>80</v>
      </c>
      <c r="D1247">
        <v>79.967262267999999</v>
      </c>
      <c r="E1247">
        <v>60</v>
      </c>
      <c r="F1247">
        <v>57.706233978</v>
      </c>
      <c r="G1247">
        <v>1340.7791748</v>
      </c>
      <c r="H1247">
        <v>1338.0545654</v>
      </c>
      <c r="I1247">
        <v>1326.9216309000001</v>
      </c>
      <c r="J1247">
        <v>1325.1185303</v>
      </c>
      <c r="K1247">
        <v>2750</v>
      </c>
      <c r="L1247">
        <v>0</v>
      </c>
      <c r="M1247">
        <v>0</v>
      </c>
      <c r="N1247">
        <v>2750</v>
      </c>
    </row>
    <row r="1248" spans="1:14" x14ac:dyDescent="0.25">
      <c r="A1248">
        <v>387.67999400000002</v>
      </c>
      <c r="B1248" s="1">
        <f>DATE(2011,5,23) + TIME(16,19,11)</f>
        <v>40686.679988425924</v>
      </c>
      <c r="C1248">
        <v>80</v>
      </c>
      <c r="D1248">
        <v>79.967216492000006</v>
      </c>
      <c r="E1248">
        <v>60</v>
      </c>
      <c r="F1248">
        <v>57.671802520999996</v>
      </c>
      <c r="G1248">
        <v>1340.7707519999999</v>
      </c>
      <c r="H1248">
        <v>1338.0512695</v>
      </c>
      <c r="I1248">
        <v>1326.909668</v>
      </c>
      <c r="J1248">
        <v>1325.1018065999999</v>
      </c>
      <c r="K1248">
        <v>2750</v>
      </c>
      <c r="L1248">
        <v>0</v>
      </c>
      <c r="M1248">
        <v>0</v>
      </c>
      <c r="N1248">
        <v>2750</v>
      </c>
    </row>
    <row r="1249" spans="1:14" x14ac:dyDescent="0.25">
      <c r="A1249">
        <v>387.91797100000002</v>
      </c>
      <c r="B1249" s="1">
        <f>DATE(2011,5,23) + TIME(22,1,52)</f>
        <v>40686.917962962965</v>
      </c>
      <c r="C1249">
        <v>80</v>
      </c>
      <c r="D1249">
        <v>79.967178344999994</v>
      </c>
      <c r="E1249">
        <v>60</v>
      </c>
      <c r="F1249">
        <v>57.650112151999998</v>
      </c>
      <c r="G1249">
        <v>1340.7620850000001</v>
      </c>
      <c r="H1249">
        <v>1338.0479736</v>
      </c>
      <c r="I1249">
        <v>1326.8981934000001</v>
      </c>
      <c r="J1249">
        <v>1325.0861815999999</v>
      </c>
      <c r="K1249">
        <v>2750</v>
      </c>
      <c r="L1249">
        <v>0</v>
      </c>
      <c r="M1249">
        <v>0</v>
      </c>
      <c r="N1249">
        <v>2750</v>
      </c>
    </row>
    <row r="1250" spans="1:14" x14ac:dyDescent="0.25">
      <c r="A1250">
        <v>388.15594900000002</v>
      </c>
      <c r="B1250" s="1">
        <f>DATE(2011,5,24) + TIME(3,44,33)</f>
        <v>40687.1559375</v>
      </c>
      <c r="C1250">
        <v>80</v>
      </c>
      <c r="D1250">
        <v>79.967147827000005</v>
      </c>
      <c r="E1250">
        <v>60</v>
      </c>
      <c r="F1250">
        <v>57.629341125000003</v>
      </c>
      <c r="G1250">
        <v>1340.7578125</v>
      </c>
      <c r="H1250">
        <v>1338.0462646000001</v>
      </c>
      <c r="I1250">
        <v>1326.8911132999999</v>
      </c>
      <c r="J1250">
        <v>1325.0761719</v>
      </c>
      <c r="K1250">
        <v>2750</v>
      </c>
      <c r="L1250">
        <v>0</v>
      </c>
      <c r="M1250">
        <v>0</v>
      </c>
      <c r="N1250">
        <v>2750</v>
      </c>
    </row>
    <row r="1251" spans="1:14" x14ac:dyDescent="0.25">
      <c r="A1251">
        <v>388.39392600000002</v>
      </c>
      <c r="B1251" s="1">
        <f>DATE(2011,5,24) + TIME(9,27,15)</f>
        <v>40687.393923611111</v>
      </c>
      <c r="C1251">
        <v>80</v>
      </c>
      <c r="D1251">
        <v>79.967117310000006</v>
      </c>
      <c r="E1251">
        <v>60</v>
      </c>
      <c r="F1251">
        <v>57.609294890999998</v>
      </c>
      <c r="G1251">
        <v>1340.7535399999999</v>
      </c>
      <c r="H1251">
        <v>1338.0445557</v>
      </c>
      <c r="I1251">
        <v>1326.8842772999999</v>
      </c>
      <c r="J1251">
        <v>1325.0664062000001</v>
      </c>
      <c r="K1251">
        <v>2750</v>
      </c>
      <c r="L1251">
        <v>0</v>
      </c>
      <c r="M1251">
        <v>0</v>
      </c>
      <c r="N1251">
        <v>2750</v>
      </c>
    </row>
    <row r="1252" spans="1:14" x14ac:dyDescent="0.25">
      <c r="A1252">
        <v>388.63190300000002</v>
      </c>
      <c r="B1252" s="1">
        <f>DATE(2011,5,24) + TIME(15,9,56)</f>
        <v>40687.631898148145</v>
      </c>
      <c r="C1252">
        <v>80</v>
      </c>
      <c r="D1252">
        <v>79.967094420999999</v>
      </c>
      <c r="E1252">
        <v>60</v>
      </c>
      <c r="F1252">
        <v>57.589820862000003</v>
      </c>
      <c r="G1252">
        <v>1340.7492675999999</v>
      </c>
      <c r="H1252">
        <v>1338.0429687999999</v>
      </c>
      <c r="I1252">
        <v>1326.8775635</v>
      </c>
      <c r="J1252">
        <v>1325.0568848</v>
      </c>
      <c r="K1252">
        <v>2750</v>
      </c>
      <c r="L1252">
        <v>0</v>
      </c>
      <c r="M1252">
        <v>0</v>
      </c>
      <c r="N1252">
        <v>2750</v>
      </c>
    </row>
    <row r="1253" spans="1:14" x14ac:dyDescent="0.25">
      <c r="A1253">
        <v>388.86988000000002</v>
      </c>
      <c r="B1253" s="1">
        <f>DATE(2011,5,24) + TIME(20,52,37)</f>
        <v>40687.869872685187</v>
      </c>
      <c r="C1253">
        <v>80</v>
      </c>
      <c r="D1253">
        <v>79.967071532999995</v>
      </c>
      <c r="E1253">
        <v>60</v>
      </c>
      <c r="F1253">
        <v>57.570800781000003</v>
      </c>
      <c r="G1253">
        <v>1340.7449951000001</v>
      </c>
      <c r="H1253">
        <v>1338.0413818</v>
      </c>
      <c r="I1253">
        <v>1326.8708495999999</v>
      </c>
      <c r="J1253">
        <v>1325.0474853999999</v>
      </c>
      <c r="K1253">
        <v>2750</v>
      </c>
      <c r="L1253">
        <v>0</v>
      </c>
      <c r="M1253">
        <v>0</v>
      </c>
      <c r="N1253">
        <v>2750</v>
      </c>
    </row>
    <row r="1254" spans="1:14" x14ac:dyDescent="0.25">
      <c r="A1254">
        <v>389.10785700000002</v>
      </c>
      <c r="B1254" s="1">
        <f>DATE(2011,5,25) + TIME(2,35,18)</f>
        <v>40688.107847222222</v>
      </c>
      <c r="C1254">
        <v>80</v>
      </c>
      <c r="D1254">
        <v>79.967048645000006</v>
      </c>
      <c r="E1254">
        <v>60</v>
      </c>
      <c r="F1254">
        <v>57.552150726000001</v>
      </c>
      <c r="G1254">
        <v>1340.7408447</v>
      </c>
      <c r="H1254">
        <v>1338.0397949000001</v>
      </c>
      <c r="I1254">
        <v>1326.8642577999999</v>
      </c>
      <c r="J1254">
        <v>1325.0380858999999</v>
      </c>
      <c r="K1254">
        <v>2750</v>
      </c>
      <c r="L1254">
        <v>0</v>
      </c>
      <c r="M1254">
        <v>0</v>
      </c>
      <c r="N1254">
        <v>2750</v>
      </c>
    </row>
    <row r="1255" spans="1:14" x14ac:dyDescent="0.25">
      <c r="A1255">
        <v>389.34583400000002</v>
      </c>
      <c r="B1255" s="1">
        <f>DATE(2011,5,25) + TIME(8,18,0)</f>
        <v>40688.345833333333</v>
      </c>
      <c r="C1255">
        <v>80</v>
      </c>
      <c r="D1255">
        <v>79.967025757000002</v>
      </c>
      <c r="E1255">
        <v>60</v>
      </c>
      <c r="F1255">
        <v>57.533798218000001</v>
      </c>
      <c r="G1255">
        <v>1340.7368164</v>
      </c>
      <c r="H1255">
        <v>1338.0382079999999</v>
      </c>
      <c r="I1255">
        <v>1326.8576660000001</v>
      </c>
      <c r="J1255">
        <v>1325.0288086</v>
      </c>
      <c r="K1255">
        <v>2750</v>
      </c>
      <c r="L1255">
        <v>0</v>
      </c>
      <c r="M1255">
        <v>0</v>
      </c>
      <c r="N1255">
        <v>2750</v>
      </c>
    </row>
    <row r="1256" spans="1:14" x14ac:dyDescent="0.25">
      <c r="A1256">
        <v>389.58381100000003</v>
      </c>
      <c r="B1256" s="1">
        <f>DATE(2011,5,25) + TIME(14,0,41)</f>
        <v>40688.583807870367</v>
      </c>
      <c r="C1256">
        <v>80</v>
      </c>
      <c r="D1256">
        <v>79.967002868999998</v>
      </c>
      <c r="E1256">
        <v>60</v>
      </c>
      <c r="F1256">
        <v>57.515689850000001</v>
      </c>
      <c r="G1256">
        <v>1340.7326660000001</v>
      </c>
      <c r="H1256">
        <v>1338.0366211</v>
      </c>
      <c r="I1256">
        <v>1326.8511963000001</v>
      </c>
      <c r="J1256">
        <v>1325.0196533000001</v>
      </c>
      <c r="K1256">
        <v>2750</v>
      </c>
      <c r="L1256">
        <v>0</v>
      </c>
      <c r="M1256">
        <v>0</v>
      </c>
      <c r="N1256">
        <v>2750</v>
      </c>
    </row>
    <row r="1257" spans="1:14" x14ac:dyDescent="0.25">
      <c r="A1257">
        <v>389.82178800000003</v>
      </c>
      <c r="B1257" s="1">
        <f>DATE(2011,5,25) + TIME(19,43,22)</f>
        <v>40688.821782407409</v>
      </c>
      <c r="C1257">
        <v>80</v>
      </c>
      <c r="D1257">
        <v>79.966979980000005</v>
      </c>
      <c r="E1257">
        <v>60</v>
      </c>
      <c r="F1257">
        <v>57.497787475999999</v>
      </c>
      <c r="G1257">
        <v>1340.7286377</v>
      </c>
      <c r="H1257">
        <v>1338.0350341999999</v>
      </c>
      <c r="I1257">
        <v>1326.8447266000001</v>
      </c>
      <c r="J1257">
        <v>1325.0104980000001</v>
      </c>
      <c r="K1257">
        <v>2750</v>
      </c>
      <c r="L1257">
        <v>0</v>
      </c>
      <c r="M1257">
        <v>0</v>
      </c>
      <c r="N1257">
        <v>2750</v>
      </c>
    </row>
    <row r="1258" spans="1:14" x14ac:dyDescent="0.25">
      <c r="A1258">
        <v>390.05976600000002</v>
      </c>
      <c r="B1258" s="1">
        <f>DATE(2011,5,26) + TIME(1,26,3)</f>
        <v>40689.059756944444</v>
      </c>
      <c r="C1258">
        <v>80</v>
      </c>
      <c r="D1258">
        <v>79.966957092000001</v>
      </c>
      <c r="E1258">
        <v>60</v>
      </c>
      <c r="F1258">
        <v>57.480060577000003</v>
      </c>
      <c r="G1258">
        <v>1340.7247314000001</v>
      </c>
      <c r="H1258">
        <v>1338.0334473</v>
      </c>
      <c r="I1258">
        <v>1326.8381348</v>
      </c>
      <c r="J1258">
        <v>1325.0013428</v>
      </c>
      <c r="K1258">
        <v>2750</v>
      </c>
      <c r="L1258">
        <v>0</v>
      </c>
      <c r="M1258">
        <v>0</v>
      </c>
      <c r="N1258">
        <v>2750</v>
      </c>
    </row>
    <row r="1259" spans="1:14" x14ac:dyDescent="0.25">
      <c r="A1259">
        <v>390.29774300000003</v>
      </c>
      <c r="B1259" s="1">
        <f>DATE(2011,5,26) + TIME(7,8,44)</f>
        <v>40689.297731481478</v>
      </c>
      <c r="C1259">
        <v>80</v>
      </c>
      <c r="D1259">
        <v>79.966934203999998</v>
      </c>
      <c r="E1259">
        <v>60</v>
      </c>
      <c r="F1259">
        <v>57.462478638</v>
      </c>
      <c r="G1259">
        <v>1340.7207031</v>
      </c>
      <c r="H1259">
        <v>1338.0319824000001</v>
      </c>
      <c r="I1259">
        <v>1326.8316649999999</v>
      </c>
      <c r="J1259">
        <v>1324.9921875</v>
      </c>
      <c r="K1259">
        <v>2750</v>
      </c>
      <c r="L1259">
        <v>0</v>
      </c>
      <c r="M1259">
        <v>0</v>
      </c>
      <c r="N1259">
        <v>2750</v>
      </c>
    </row>
    <row r="1260" spans="1:14" x14ac:dyDescent="0.25">
      <c r="A1260">
        <v>390.53572000000003</v>
      </c>
      <c r="B1260" s="1">
        <f>DATE(2011,5,26) + TIME(12,51,26)</f>
        <v>40689.535717592589</v>
      </c>
      <c r="C1260">
        <v>80</v>
      </c>
      <c r="D1260">
        <v>79.966911315999994</v>
      </c>
      <c r="E1260">
        <v>60</v>
      </c>
      <c r="F1260">
        <v>57.445030211999999</v>
      </c>
      <c r="G1260">
        <v>1340.7167969</v>
      </c>
      <c r="H1260">
        <v>1338.0303954999999</v>
      </c>
      <c r="I1260">
        <v>1326.8251952999999</v>
      </c>
      <c r="J1260">
        <v>1324.9831543</v>
      </c>
      <c r="K1260">
        <v>2750</v>
      </c>
      <c r="L1260">
        <v>0</v>
      </c>
      <c r="M1260">
        <v>0</v>
      </c>
      <c r="N1260">
        <v>2750</v>
      </c>
    </row>
    <row r="1261" spans="1:14" x14ac:dyDescent="0.25">
      <c r="A1261">
        <v>391.01167400000003</v>
      </c>
      <c r="B1261" s="1">
        <f>DATE(2011,5,27) + TIME(0,16,48)</f>
        <v>40690.011666666665</v>
      </c>
      <c r="C1261">
        <v>80</v>
      </c>
      <c r="D1261">
        <v>79.966888428000004</v>
      </c>
      <c r="E1261">
        <v>60</v>
      </c>
      <c r="F1261">
        <v>57.416992188000002</v>
      </c>
      <c r="G1261">
        <v>1340.7130127</v>
      </c>
      <c r="H1261">
        <v>1338.0289307</v>
      </c>
      <c r="I1261">
        <v>1326.8181152</v>
      </c>
      <c r="J1261">
        <v>1324.9726562000001</v>
      </c>
      <c r="K1261">
        <v>2750</v>
      </c>
      <c r="L1261">
        <v>0</v>
      </c>
      <c r="M1261">
        <v>0</v>
      </c>
      <c r="N1261">
        <v>2750</v>
      </c>
    </row>
    <row r="1262" spans="1:14" x14ac:dyDescent="0.25">
      <c r="A1262">
        <v>391.48962399999999</v>
      </c>
      <c r="B1262" s="1">
        <f>DATE(2011,5,27) + TIME(11,45,3)</f>
        <v>40690.489618055559</v>
      </c>
      <c r="C1262">
        <v>80</v>
      </c>
      <c r="D1262">
        <v>79.966850281000006</v>
      </c>
      <c r="E1262">
        <v>60</v>
      </c>
      <c r="F1262">
        <v>57.386695862000003</v>
      </c>
      <c r="G1262">
        <v>1340.7052002</v>
      </c>
      <c r="H1262">
        <v>1338.026001</v>
      </c>
      <c r="I1262">
        <v>1326.8061522999999</v>
      </c>
      <c r="J1262">
        <v>1324.9562988</v>
      </c>
      <c r="K1262">
        <v>2750</v>
      </c>
      <c r="L1262">
        <v>0</v>
      </c>
      <c r="M1262">
        <v>0</v>
      </c>
      <c r="N1262">
        <v>2750</v>
      </c>
    </row>
    <row r="1263" spans="1:14" x14ac:dyDescent="0.25">
      <c r="A1263">
        <v>391.97350399999999</v>
      </c>
      <c r="B1263" s="1">
        <f>DATE(2011,5,27) + TIME(23,21,50)</f>
        <v>40690.973495370374</v>
      </c>
      <c r="C1263">
        <v>80</v>
      </c>
      <c r="D1263">
        <v>79.966812133999994</v>
      </c>
      <c r="E1263">
        <v>60</v>
      </c>
      <c r="F1263">
        <v>57.354896545000003</v>
      </c>
      <c r="G1263">
        <v>1340.6976318</v>
      </c>
      <c r="H1263">
        <v>1338.0230713000001</v>
      </c>
      <c r="I1263">
        <v>1326.7938231999999</v>
      </c>
      <c r="J1263">
        <v>1324.9390868999999</v>
      </c>
      <c r="K1263">
        <v>2750</v>
      </c>
      <c r="L1263">
        <v>0</v>
      </c>
      <c r="M1263">
        <v>0</v>
      </c>
      <c r="N1263">
        <v>2750</v>
      </c>
    </row>
    <row r="1264" spans="1:14" x14ac:dyDescent="0.25">
      <c r="A1264">
        <v>392.46480400000002</v>
      </c>
      <c r="B1264" s="1">
        <f>DATE(2011,5,28) + TIME(11,9,19)</f>
        <v>40691.464803240742</v>
      </c>
      <c r="C1264">
        <v>80</v>
      </c>
      <c r="D1264">
        <v>79.966773986999996</v>
      </c>
      <c r="E1264">
        <v>60</v>
      </c>
      <c r="F1264">
        <v>57.322040557999998</v>
      </c>
      <c r="G1264">
        <v>1340.6900635</v>
      </c>
      <c r="H1264">
        <v>1338.0201416</v>
      </c>
      <c r="I1264">
        <v>1326.7811279</v>
      </c>
      <c r="J1264">
        <v>1324.9213867000001</v>
      </c>
      <c r="K1264">
        <v>2750</v>
      </c>
      <c r="L1264">
        <v>0</v>
      </c>
      <c r="M1264">
        <v>0</v>
      </c>
      <c r="N1264">
        <v>2750</v>
      </c>
    </row>
    <row r="1265" spans="1:14" x14ac:dyDescent="0.25">
      <c r="A1265">
        <v>392.96519999999998</v>
      </c>
      <c r="B1265" s="1">
        <f>DATE(2011,5,28) + TIME(23,9,53)</f>
        <v>40691.965196759258</v>
      </c>
      <c r="C1265">
        <v>80</v>
      </c>
      <c r="D1265">
        <v>79.966735839999998</v>
      </c>
      <c r="E1265">
        <v>60</v>
      </c>
      <c r="F1265">
        <v>57.288372039999999</v>
      </c>
      <c r="G1265">
        <v>1340.6824951000001</v>
      </c>
      <c r="H1265">
        <v>1338.0172118999999</v>
      </c>
      <c r="I1265">
        <v>1326.7681885</v>
      </c>
      <c r="J1265">
        <v>1324.9031981999999</v>
      </c>
      <c r="K1265">
        <v>2750</v>
      </c>
      <c r="L1265">
        <v>0</v>
      </c>
      <c r="M1265">
        <v>0</v>
      </c>
      <c r="N1265">
        <v>2750</v>
      </c>
    </row>
    <row r="1266" spans="1:14" x14ac:dyDescent="0.25">
      <c r="A1266">
        <v>393.476271</v>
      </c>
      <c r="B1266" s="1">
        <f>DATE(2011,5,29) + TIME(11,25,49)</f>
        <v>40692.476261574076</v>
      </c>
      <c r="C1266">
        <v>80</v>
      </c>
      <c r="D1266">
        <v>79.966697693</v>
      </c>
      <c r="E1266">
        <v>60</v>
      </c>
      <c r="F1266">
        <v>57.254009246999999</v>
      </c>
      <c r="G1266">
        <v>1340.6750488</v>
      </c>
      <c r="H1266">
        <v>1338.0142822</v>
      </c>
      <c r="I1266">
        <v>1326.7547606999999</v>
      </c>
      <c r="J1266">
        <v>1324.8843993999999</v>
      </c>
      <c r="K1266">
        <v>2750</v>
      </c>
      <c r="L1266">
        <v>0</v>
      </c>
      <c r="M1266">
        <v>0</v>
      </c>
      <c r="N1266">
        <v>2750</v>
      </c>
    </row>
    <row r="1267" spans="1:14" x14ac:dyDescent="0.25">
      <c r="A1267">
        <v>394.00465200000002</v>
      </c>
      <c r="B1267" s="1">
        <f>DATE(2011,5,30) + TIME(0,6,41)</f>
        <v>40693.004641203705</v>
      </c>
      <c r="C1267">
        <v>80</v>
      </c>
      <c r="D1267">
        <v>79.966659546000002</v>
      </c>
      <c r="E1267">
        <v>60</v>
      </c>
      <c r="F1267">
        <v>57.218795776</v>
      </c>
      <c r="G1267">
        <v>1340.6674805</v>
      </c>
      <c r="H1267">
        <v>1338.0113524999999</v>
      </c>
      <c r="I1267">
        <v>1326.7410889</v>
      </c>
      <c r="J1267">
        <v>1324.8652344</v>
      </c>
      <c r="K1267">
        <v>2750</v>
      </c>
      <c r="L1267">
        <v>0</v>
      </c>
      <c r="M1267">
        <v>0</v>
      </c>
      <c r="N1267">
        <v>2750</v>
      </c>
    </row>
    <row r="1268" spans="1:14" x14ac:dyDescent="0.25">
      <c r="A1268">
        <v>394.552975</v>
      </c>
      <c r="B1268" s="1">
        <f>DATE(2011,5,30) + TIME(13,16,17)</f>
        <v>40693.552974537037</v>
      </c>
      <c r="C1268">
        <v>80</v>
      </c>
      <c r="D1268">
        <v>79.966621399000005</v>
      </c>
      <c r="E1268">
        <v>60</v>
      </c>
      <c r="F1268">
        <v>57.182624816999997</v>
      </c>
      <c r="G1268">
        <v>1340.6597899999999</v>
      </c>
      <c r="H1268">
        <v>1338.0083007999999</v>
      </c>
      <c r="I1268">
        <v>1326.7270507999999</v>
      </c>
      <c r="J1268">
        <v>1324.8454589999999</v>
      </c>
      <c r="K1268">
        <v>2750</v>
      </c>
      <c r="L1268">
        <v>0</v>
      </c>
      <c r="M1268">
        <v>0</v>
      </c>
      <c r="N1268">
        <v>2750</v>
      </c>
    </row>
    <row r="1269" spans="1:14" x14ac:dyDescent="0.25">
      <c r="A1269">
        <v>395.11311000000001</v>
      </c>
      <c r="B1269" s="1">
        <f>DATE(2011,5,31) + TIME(2,42,52)</f>
        <v>40694.11310185185</v>
      </c>
      <c r="C1269">
        <v>80</v>
      </c>
      <c r="D1269">
        <v>79.966575622999997</v>
      </c>
      <c r="E1269">
        <v>60</v>
      </c>
      <c r="F1269">
        <v>57.145793914999999</v>
      </c>
      <c r="G1269">
        <v>1340.6519774999999</v>
      </c>
      <c r="H1269">
        <v>1338.005249</v>
      </c>
      <c r="I1269">
        <v>1326.7124022999999</v>
      </c>
      <c r="J1269">
        <v>1324.8249512</v>
      </c>
      <c r="K1269">
        <v>2750</v>
      </c>
      <c r="L1269">
        <v>0</v>
      </c>
      <c r="M1269">
        <v>0</v>
      </c>
      <c r="N1269">
        <v>2750</v>
      </c>
    </row>
    <row r="1270" spans="1:14" x14ac:dyDescent="0.25">
      <c r="A1270">
        <v>395.68539299999998</v>
      </c>
      <c r="B1270" s="1">
        <f>DATE(2011,5,31) + TIME(16,26,57)</f>
        <v>40694.685381944444</v>
      </c>
      <c r="C1270">
        <v>80</v>
      </c>
      <c r="D1270">
        <v>79.966537475999999</v>
      </c>
      <c r="E1270">
        <v>60</v>
      </c>
      <c r="F1270">
        <v>57.108371734999999</v>
      </c>
      <c r="G1270">
        <v>1340.644043</v>
      </c>
      <c r="H1270">
        <v>1338.0021973</v>
      </c>
      <c r="I1270">
        <v>1326.6975098</v>
      </c>
      <c r="J1270">
        <v>1324.8039550999999</v>
      </c>
      <c r="K1270">
        <v>2750</v>
      </c>
      <c r="L1270">
        <v>0</v>
      </c>
      <c r="M1270">
        <v>0</v>
      </c>
      <c r="N1270">
        <v>2750</v>
      </c>
    </row>
    <row r="1271" spans="1:14" x14ac:dyDescent="0.25">
      <c r="A1271">
        <v>396</v>
      </c>
      <c r="B1271" s="1">
        <f>DATE(2011,6,1) + TIME(0,0,0)</f>
        <v>40695</v>
      </c>
      <c r="C1271">
        <v>80</v>
      </c>
      <c r="D1271">
        <v>79.966506957999997</v>
      </c>
      <c r="E1271">
        <v>60</v>
      </c>
      <c r="F1271">
        <v>57.082771301000001</v>
      </c>
      <c r="G1271">
        <v>1340.6362305</v>
      </c>
      <c r="H1271">
        <v>1337.9990233999999</v>
      </c>
      <c r="I1271">
        <v>1326.6832274999999</v>
      </c>
      <c r="J1271">
        <v>1324.7843018000001</v>
      </c>
      <c r="K1271">
        <v>2750</v>
      </c>
      <c r="L1271">
        <v>0</v>
      </c>
      <c r="M1271">
        <v>0</v>
      </c>
      <c r="N1271">
        <v>2750</v>
      </c>
    </row>
    <row r="1272" spans="1:14" x14ac:dyDescent="0.25">
      <c r="A1272">
        <v>396.592198</v>
      </c>
      <c r="B1272" s="1">
        <f>DATE(2011,6,1) + TIME(14,12,45)</f>
        <v>40695.592187499999</v>
      </c>
      <c r="C1272">
        <v>80</v>
      </c>
      <c r="D1272">
        <v>79.966476439999994</v>
      </c>
      <c r="E1272">
        <v>60</v>
      </c>
      <c r="F1272">
        <v>57.046779633</v>
      </c>
      <c r="G1272">
        <v>1340.6319579999999</v>
      </c>
      <c r="H1272">
        <v>1337.9973144999999</v>
      </c>
      <c r="I1272">
        <v>1326.6729736</v>
      </c>
      <c r="J1272">
        <v>1324.7692870999999</v>
      </c>
      <c r="K1272">
        <v>2750</v>
      </c>
      <c r="L1272">
        <v>0</v>
      </c>
      <c r="M1272">
        <v>0</v>
      </c>
      <c r="N1272">
        <v>2750</v>
      </c>
    </row>
    <row r="1273" spans="1:14" x14ac:dyDescent="0.25">
      <c r="A1273">
        <v>397.18902600000001</v>
      </c>
      <c r="B1273" s="1">
        <f>DATE(2011,6,2) + TIME(4,32,11)</f>
        <v>40696.189016203702</v>
      </c>
      <c r="C1273">
        <v>80</v>
      </c>
      <c r="D1273">
        <v>79.966438292999996</v>
      </c>
      <c r="E1273">
        <v>60</v>
      </c>
      <c r="F1273">
        <v>57.009563446000001</v>
      </c>
      <c r="G1273">
        <v>1340.6240233999999</v>
      </c>
      <c r="H1273">
        <v>1337.9942627</v>
      </c>
      <c r="I1273">
        <v>1326.6577147999999</v>
      </c>
      <c r="J1273">
        <v>1324.7478027</v>
      </c>
      <c r="K1273">
        <v>2750</v>
      </c>
      <c r="L1273">
        <v>0</v>
      </c>
      <c r="M1273">
        <v>0</v>
      </c>
      <c r="N1273">
        <v>2750</v>
      </c>
    </row>
    <row r="1274" spans="1:14" x14ac:dyDescent="0.25">
      <c r="A1274">
        <v>397.78761500000002</v>
      </c>
      <c r="B1274" s="1">
        <f>DATE(2011,6,2) + TIME(18,54,9)</f>
        <v>40696.787604166668</v>
      </c>
      <c r="C1274">
        <v>80</v>
      </c>
      <c r="D1274">
        <v>79.966400145999998</v>
      </c>
      <c r="E1274">
        <v>60</v>
      </c>
      <c r="F1274">
        <v>56.971782683999997</v>
      </c>
      <c r="G1274">
        <v>1340.6162108999999</v>
      </c>
      <c r="H1274">
        <v>1337.9910889</v>
      </c>
      <c r="I1274">
        <v>1326.6419678</v>
      </c>
      <c r="J1274">
        <v>1324.7258300999999</v>
      </c>
      <c r="K1274">
        <v>2750</v>
      </c>
      <c r="L1274">
        <v>0</v>
      </c>
      <c r="M1274">
        <v>0</v>
      </c>
      <c r="N1274">
        <v>2750</v>
      </c>
    </row>
    <row r="1275" spans="1:14" x14ac:dyDescent="0.25">
      <c r="A1275">
        <v>398.39040399999999</v>
      </c>
      <c r="B1275" s="1">
        <f>DATE(2011,6,3) + TIME(9,22,10)</f>
        <v>40697.390393518515</v>
      </c>
      <c r="C1275">
        <v>80</v>
      </c>
      <c r="D1275">
        <v>79.966362000000004</v>
      </c>
      <c r="E1275">
        <v>60</v>
      </c>
      <c r="F1275">
        <v>56.933700561999999</v>
      </c>
      <c r="G1275">
        <v>1340.6085204999999</v>
      </c>
      <c r="H1275">
        <v>1337.9880370999999</v>
      </c>
      <c r="I1275">
        <v>1326.6260986</v>
      </c>
      <c r="J1275">
        <v>1324.7036132999999</v>
      </c>
      <c r="K1275">
        <v>2750</v>
      </c>
      <c r="L1275">
        <v>0</v>
      </c>
      <c r="M1275">
        <v>0</v>
      </c>
      <c r="N1275">
        <v>2750</v>
      </c>
    </row>
    <row r="1276" spans="1:14" x14ac:dyDescent="0.25">
      <c r="A1276">
        <v>399.00005800000002</v>
      </c>
      <c r="B1276" s="1">
        <f>DATE(2011,6,4) + TIME(0,0,5)</f>
        <v>40698.000057870369</v>
      </c>
      <c r="C1276">
        <v>80</v>
      </c>
      <c r="D1276">
        <v>79.966331482000001</v>
      </c>
      <c r="E1276">
        <v>60</v>
      </c>
      <c r="F1276">
        <v>56.895393372000001</v>
      </c>
      <c r="G1276">
        <v>1340.6008300999999</v>
      </c>
      <c r="H1276">
        <v>1337.9849853999999</v>
      </c>
      <c r="I1276">
        <v>1326.6101074000001</v>
      </c>
      <c r="J1276">
        <v>1324.6810303</v>
      </c>
      <c r="K1276">
        <v>2750</v>
      </c>
      <c r="L1276">
        <v>0</v>
      </c>
      <c r="M1276">
        <v>0</v>
      </c>
      <c r="N1276">
        <v>2750</v>
      </c>
    </row>
    <row r="1277" spans="1:14" x14ac:dyDescent="0.25">
      <c r="A1277">
        <v>399.61885599999999</v>
      </c>
      <c r="B1277" s="1">
        <f>DATE(2011,6,4) + TIME(14,51,9)</f>
        <v>40698.618854166663</v>
      </c>
      <c r="C1277">
        <v>80</v>
      </c>
      <c r="D1277">
        <v>79.966293335000003</v>
      </c>
      <c r="E1277">
        <v>60</v>
      </c>
      <c r="F1277">
        <v>56.856842041</v>
      </c>
      <c r="G1277">
        <v>1340.5932617000001</v>
      </c>
      <c r="H1277">
        <v>1337.9819336</v>
      </c>
      <c r="I1277">
        <v>1326.5939940999999</v>
      </c>
      <c r="J1277">
        <v>1324.6583252</v>
      </c>
      <c r="K1277">
        <v>2750</v>
      </c>
      <c r="L1277">
        <v>0</v>
      </c>
      <c r="M1277">
        <v>0</v>
      </c>
      <c r="N1277">
        <v>2750</v>
      </c>
    </row>
    <row r="1278" spans="1:14" x14ac:dyDescent="0.25">
      <c r="A1278">
        <v>400.24922099999998</v>
      </c>
      <c r="B1278" s="1">
        <f>DATE(2011,6,5) + TIME(5,58,52)</f>
        <v>40699.249212962961</v>
      </c>
      <c r="C1278">
        <v>80</v>
      </c>
      <c r="D1278">
        <v>79.966255188000005</v>
      </c>
      <c r="E1278">
        <v>60</v>
      </c>
      <c r="F1278">
        <v>56.817974091000004</v>
      </c>
      <c r="G1278">
        <v>1340.5858154</v>
      </c>
      <c r="H1278">
        <v>1337.9788818</v>
      </c>
      <c r="I1278">
        <v>1326.5776367000001</v>
      </c>
      <c r="J1278">
        <v>1324.6351318</v>
      </c>
      <c r="K1278">
        <v>2750</v>
      </c>
      <c r="L1278">
        <v>0</v>
      </c>
      <c r="M1278">
        <v>0</v>
      </c>
      <c r="N1278">
        <v>2750</v>
      </c>
    </row>
    <row r="1279" spans="1:14" x14ac:dyDescent="0.25">
      <c r="A1279">
        <v>400.89193799999998</v>
      </c>
      <c r="B1279" s="1">
        <f>DATE(2011,6,5) + TIME(21,24,23)</f>
        <v>40699.891932870371</v>
      </c>
      <c r="C1279">
        <v>80</v>
      </c>
      <c r="D1279">
        <v>79.966224670000003</v>
      </c>
      <c r="E1279">
        <v>60</v>
      </c>
      <c r="F1279">
        <v>56.778743744000003</v>
      </c>
      <c r="G1279">
        <v>1340.5782471</v>
      </c>
      <c r="H1279">
        <v>1337.9758300999999</v>
      </c>
      <c r="I1279">
        <v>1326.5609131000001</v>
      </c>
      <c r="J1279">
        <v>1324.6116943</v>
      </c>
      <c r="K1279">
        <v>2750</v>
      </c>
      <c r="L1279">
        <v>0</v>
      </c>
      <c r="M1279">
        <v>0</v>
      </c>
      <c r="N1279">
        <v>2750</v>
      </c>
    </row>
    <row r="1280" spans="1:14" x14ac:dyDescent="0.25">
      <c r="A1280">
        <v>401.54263900000001</v>
      </c>
      <c r="B1280" s="1">
        <f>DATE(2011,6,6) + TIME(13,1,24)</f>
        <v>40700.542638888888</v>
      </c>
      <c r="C1280">
        <v>80</v>
      </c>
      <c r="D1280">
        <v>79.966186523000005</v>
      </c>
      <c r="E1280">
        <v>60</v>
      </c>
      <c r="F1280">
        <v>56.739276885999999</v>
      </c>
      <c r="G1280">
        <v>1340.5706786999999</v>
      </c>
      <c r="H1280">
        <v>1337.9726562000001</v>
      </c>
      <c r="I1280">
        <v>1326.5439452999999</v>
      </c>
      <c r="J1280">
        <v>1324.5878906</v>
      </c>
      <c r="K1280">
        <v>2750</v>
      </c>
      <c r="L1280">
        <v>0</v>
      </c>
      <c r="M1280">
        <v>0</v>
      </c>
      <c r="N1280">
        <v>2750</v>
      </c>
    </row>
    <row r="1281" spans="1:14" x14ac:dyDescent="0.25">
      <c r="A1281">
        <v>402.20362499999999</v>
      </c>
      <c r="B1281" s="1">
        <f>DATE(2011,6,7) + TIME(4,53,13)</f>
        <v>40701.203622685185</v>
      </c>
      <c r="C1281">
        <v>80</v>
      </c>
      <c r="D1281">
        <v>79.966156006000006</v>
      </c>
      <c r="E1281">
        <v>60</v>
      </c>
      <c r="F1281">
        <v>56.699546814000001</v>
      </c>
      <c r="G1281">
        <v>1340.5631103999999</v>
      </c>
      <c r="H1281">
        <v>1337.9696045000001</v>
      </c>
      <c r="I1281">
        <v>1326.5268555</v>
      </c>
      <c r="J1281">
        <v>1324.5637207</v>
      </c>
      <c r="K1281">
        <v>2750</v>
      </c>
      <c r="L1281">
        <v>0</v>
      </c>
      <c r="M1281">
        <v>0</v>
      </c>
      <c r="N1281">
        <v>2750</v>
      </c>
    </row>
    <row r="1282" spans="1:14" x14ac:dyDescent="0.25">
      <c r="A1282">
        <v>402.87328600000001</v>
      </c>
      <c r="B1282" s="1">
        <f>DATE(2011,6,7) + TIME(20,57,31)</f>
        <v>40701.87327546296</v>
      </c>
      <c r="C1282">
        <v>80</v>
      </c>
      <c r="D1282">
        <v>79.966117858999993</v>
      </c>
      <c r="E1282">
        <v>60</v>
      </c>
      <c r="F1282">
        <v>56.659603119000003</v>
      </c>
      <c r="G1282">
        <v>1340.5555420000001</v>
      </c>
      <c r="H1282">
        <v>1337.9665527</v>
      </c>
      <c r="I1282">
        <v>1326.5095214999999</v>
      </c>
      <c r="J1282">
        <v>1324.5391846</v>
      </c>
      <c r="K1282">
        <v>2750</v>
      </c>
      <c r="L1282">
        <v>0</v>
      </c>
      <c r="M1282">
        <v>0</v>
      </c>
      <c r="N1282">
        <v>2750</v>
      </c>
    </row>
    <row r="1283" spans="1:14" x14ac:dyDescent="0.25">
      <c r="A1283">
        <v>403.552076</v>
      </c>
      <c r="B1283" s="1">
        <f>DATE(2011,6,8) + TIME(13,14,59)</f>
        <v>40702.552071759259</v>
      </c>
      <c r="C1283">
        <v>80</v>
      </c>
      <c r="D1283">
        <v>79.966087341000005</v>
      </c>
      <c r="E1283">
        <v>60</v>
      </c>
      <c r="F1283">
        <v>56.619457245</v>
      </c>
      <c r="G1283">
        <v>1340.5480957</v>
      </c>
      <c r="H1283">
        <v>1337.9633789</v>
      </c>
      <c r="I1283">
        <v>1326.4919434000001</v>
      </c>
      <c r="J1283">
        <v>1324.5144043</v>
      </c>
      <c r="K1283">
        <v>2750</v>
      </c>
      <c r="L1283">
        <v>0</v>
      </c>
      <c r="M1283">
        <v>0</v>
      </c>
      <c r="N1283">
        <v>2750</v>
      </c>
    </row>
    <row r="1284" spans="1:14" x14ac:dyDescent="0.25">
      <c r="A1284">
        <v>404.242774</v>
      </c>
      <c r="B1284" s="1">
        <f>DATE(2011,6,9) + TIME(5,49,35)</f>
        <v>40703.242766203701</v>
      </c>
      <c r="C1284">
        <v>80</v>
      </c>
      <c r="D1284">
        <v>79.966056824000006</v>
      </c>
      <c r="E1284">
        <v>60</v>
      </c>
      <c r="F1284">
        <v>56.579029083000002</v>
      </c>
      <c r="G1284">
        <v>1340.5406493999999</v>
      </c>
      <c r="H1284">
        <v>1337.9603271000001</v>
      </c>
      <c r="I1284">
        <v>1326.4742432</v>
      </c>
      <c r="J1284">
        <v>1324.4893798999999</v>
      </c>
      <c r="K1284">
        <v>2750</v>
      </c>
      <c r="L1284">
        <v>0</v>
      </c>
      <c r="M1284">
        <v>0</v>
      </c>
      <c r="N1284">
        <v>2750</v>
      </c>
    </row>
    <row r="1285" spans="1:14" x14ac:dyDescent="0.25">
      <c r="A1285">
        <v>404.947993</v>
      </c>
      <c r="B1285" s="1">
        <f>DATE(2011,6,9) + TIME(22,45,6)</f>
        <v>40703.94798611111</v>
      </c>
      <c r="C1285">
        <v>80</v>
      </c>
      <c r="D1285">
        <v>79.966026306000003</v>
      </c>
      <c r="E1285">
        <v>60</v>
      </c>
      <c r="F1285">
        <v>56.538211822999997</v>
      </c>
      <c r="G1285">
        <v>1340.5332031</v>
      </c>
      <c r="H1285">
        <v>1337.9572754000001</v>
      </c>
      <c r="I1285">
        <v>1326.4561768000001</v>
      </c>
      <c r="J1285">
        <v>1324.4638672000001</v>
      </c>
      <c r="K1285">
        <v>2750</v>
      </c>
      <c r="L1285">
        <v>0</v>
      </c>
      <c r="M1285">
        <v>0</v>
      </c>
      <c r="N1285">
        <v>2750</v>
      </c>
    </row>
    <row r="1286" spans="1:14" x14ac:dyDescent="0.25">
      <c r="A1286">
        <v>405.67326300000002</v>
      </c>
      <c r="B1286" s="1">
        <f>DATE(2011,6,10) + TIME(16,9,29)</f>
        <v>40704.673252314817</v>
      </c>
      <c r="C1286">
        <v>80</v>
      </c>
      <c r="D1286">
        <v>79.965995789000004</v>
      </c>
      <c r="E1286">
        <v>60</v>
      </c>
      <c r="F1286">
        <v>56.496803284000002</v>
      </c>
      <c r="G1286">
        <v>1340.5257568</v>
      </c>
      <c r="H1286">
        <v>1337.9541016000001</v>
      </c>
      <c r="I1286">
        <v>1326.4378661999999</v>
      </c>
      <c r="J1286">
        <v>1324.4379882999999</v>
      </c>
      <c r="K1286">
        <v>2750</v>
      </c>
      <c r="L1286">
        <v>0</v>
      </c>
      <c r="M1286">
        <v>0</v>
      </c>
      <c r="N1286">
        <v>2750</v>
      </c>
    </row>
    <row r="1287" spans="1:14" x14ac:dyDescent="0.25">
      <c r="A1287">
        <v>406.42128500000001</v>
      </c>
      <c r="B1287" s="1">
        <f>DATE(2011,6,11) + TIME(10,6,39)</f>
        <v>40705.421284722222</v>
      </c>
      <c r="C1287">
        <v>80</v>
      </c>
      <c r="D1287">
        <v>79.965965271000002</v>
      </c>
      <c r="E1287">
        <v>60</v>
      </c>
      <c r="F1287">
        <v>56.454635619999998</v>
      </c>
      <c r="G1287">
        <v>1340.5183105000001</v>
      </c>
      <c r="H1287">
        <v>1337.9509277</v>
      </c>
      <c r="I1287">
        <v>1326.4190673999999</v>
      </c>
      <c r="J1287">
        <v>1324.411499</v>
      </c>
      <c r="K1287">
        <v>2750</v>
      </c>
      <c r="L1287">
        <v>0</v>
      </c>
      <c r="M1287">
        <v>0</v>
      </c>
      <c r="N1287">
        <v>2750</v>
      </c>
    </row>
    <row r="1288" spans="1:14" x14ac:dyDescent="0.25">
      <c r="A1288">
        <v>407.17541499999999</v>
      </c>
      <c r="B1288" s="1">
        <f>DATE(2011,6,12) + TIME(4,12,35)</f>
        <v>40706.175405092596</v>
      </c>
      <c r="C1288">
        <v>80</v>
      </c>
      <c r="D1288">
        <v>79.965934752999999</v>
      </c>
      <c r="E1288">
        <v>60</v>
      </c>
      <c r="F1288">
        <v>56.412078856999997</v>
      </c>
      <c r="G1288">
        <v>1340.5106201000001</v>
      </c>
      <c r="H1288">
        <v>1337.9476318</v>
      </c>
      <c r="I1288">
        <v>1326.3997803</v>
      </c>
      <c r="J1288">
        <v>1324.3843993999999</v>
      </c>
      <c r="K1288">
        <v>2750</v>
      </c>
      <c r="L1288">
        <v>0</v>
      </c>
      <c r="M1288">
        <v>0</v>
      </c>
      <c r="N1288">
        <v>2750</v>
      </c>
    </row>
    <row r="1289" spans="1:14" x14ac:dyDescent="0.25">
      <c r="A1289">
        <v>407.93910399999999</v>
      </c>
      <c r="B1289" s="1">
        <f>DATE(2011,6,12) + TIME(22,32,18)</f>
        <v>40706.939097222225</v>
      </c>
      <c r="C1289">
        <v>80</v>
      </c>
      <c r="D1289">
        <v>79.965904236</v>
      </c>
      <c r="E1289">
        <v>60</v>
      </c>
      <c r="F1289">
        <v>56.369247436999999</v>
      </c>
      <c r="G1289">
        <v>1340.5030518000001</v>
      </c>
      <c r="H1289">
        <v>1337.9444579999999</v>
      </c>
      <c r="I1289">
        <v>1326.3803711</v>
      </c>
      <c r="J1289">
        <v>1324.3569336</v>
      </c>
      <c r="K1289">
        <v>2750</v>
      </c>
      <c r="L1289">
        <v>0</v>
      </c>
      <c r="M1289">
        <v>0</v>
      </c>
      <c r="N1289">
        <v>2750</v>
      </c>
    </row>
    <row r="1290" spans="1:14" x14ac:dyDescent="0.25">
      <c r="A1290">
        <v>408.70766500000002</v>
      </c>
      <c r="B1290" s="1">
        <f>DATE(2011,6,13) + TIME(16,59,2)</f>
        <v>40707.707662037035</v>
      </c>
      <c r="C1290">
        <v>80</v>
      </c>
      <c r="D1290">
        <v>79.965873717999997</v>
      </c>
      <c r="E1290">
        <v>60</v>
      </c>
      <c r="F1290">
        <v>56.326316833</v>
      </c>
      <c r="G1290">
        <v>1340.4956055</v>
      </c>
      <c r="H1290">
        <v>1337.9412841999999</v>
      </c>
      <c r="I1290">
        <v>1326.3608397999999</v>
      </c>
      <c r="J1290">
        <v>1324.3292236</v>
      </c>
      <c r="K1290">
        <v>2750</v>
      </c>
      <c r="L1290">
        <v>0</v>
      </c>
      <c r="M1290">
        <v>0</v>
      </c>
      <c r="N1290">
        <v>2750</v>
      </c>
    </row>
    <row r="1291" spans="1:14" x14ac:dyDescent="0.25">
      <c r="A1291">
        <v>409.48470300000002</v>
      </c>
      <c r="B1291" s="1">
        <f>DATE(2011,6,14) + TIME(11,37,58)</f>
        <v>40708.484699074077</v>
      </c>
      <c r="C1291">
        <v>80</v>
      </c>
      <c r="D1291">
        <v>79.965850829999994</v>
      </c>
      <c r="E1291">
        <v>60</v>
      </c>
      <c r="F1291">
        <v>56.283283234000002</v>
      </c>
      <c r="G1291">
        <v>1340.4881591999999</v>
      </c>
      <c r="H1291">
        <v>1337.9379882999999</v>
      </c>
      <c r="I1291">
        <v>1326.3410644999999</v>
      </c>
      <c r="J1291">
        <v>1324.3012695</v>
      </c>
      <c r="K1291">
        <v>2750</v>
      </c>
      <c r="L1291">
        <v>0</v>
      </c>
      <c r="M1291">
        <v>0</v>
      </c>
      <c r="N1291">
        <v>2750</v>
      </c>
    </row>
    <row r="1292" spans="1:14" x14ac:dyDescent="0.25">
      <c r="A1292">
        <v>410.27424999999999</v>
      </c>
      <c r="B1292" s="1">
        <f>DATE(2011,6,15) + TIME(6,34,55)</f>
        <v>40709.274247685185</v>
      </c>
      <c r="C1292">
        <v>80</v>
      </c>
      <c r="D1292">
        <v>79.965820312000005</v>
      </c>
      <c r="E1292">
        <v>60</v>
      </c>
      <c r="F1292">
        <v>56.240028381000002</v>
      </c>
      <c r="G1292">
        <v>1340.4807129000001</v>
      </c>
      <c r="H1292">
        <v>1337.9348144999999</v>
      </c>
      <c r="I1292">
        <v>1326.3212891000001</v>
      </c>
      <c r="J1292">
        <v>1324.2731934000001</v>
      </c>
      <c r="K1292">
        <v>2750</v>
      </c>
      <c r="L1292">
        <v>0</v>
      </c>
      <c r="M1292">
        <v>0</v>
      </c>
      <c r="N1292">
        <v>2750</v>
      </c>
    </row>
    <row r="1293" spans="1:14" x14ac:dyDescent="0.25">
      <c r="A1293">
        <v>411.07969700000001</v>
      </c>
      <c r="B1293" s="1">
        <f>DATE(2011,6,16) + TIME(1,54,45)</f>
        <v>40710.079687500001</v>
      </c>
      <c r="C1293">
        <v>80</v>
      </c>
      <c r="D1293">
        <v>79.965797424000002</v>
      </c>
      <c r="E1293">
        <v>60</v>
      </c>
      <c r="F1293">
        <v>56.196399689000003</v>
      </c>
      <c r="G1293">
        <v>1340.4733887</v>
      </c>
      <c r="H1293">
        <v>1337.9316406</v>
      </c>
      <c r="I1293">
        <v>1326.3011475000001</v>
      </c>
      <c r="J1293">
        <v>1324.244751</v>
      </c>
      <c r="K1293">
        <v>2750</v>
      </c>
      <c r="L1293">
        <v>0</v>
      </c>
      <c r="M1293">
        <v>0</v>
      </c>
      <c r="N1293">
        <v>2750</v>
      </c>
    </row>
    <row r="1294" spans="1:14" x14ac:dyDescent="0.25">
      <c r="A1294">
        <v>411.904946</v>
      </c>
      <c r="B1294" s="1">
        <f>DATE(2011,6,16) + TIME(21,43,7)</f>
        <v>40710.904942129629</v>
      </c>
      <c r="C1294">
        <v>80</v>
      </c>
      <c r="D1294">
        <v>79.965774535999998</v>
      </c>
      <c r="E1294">
        <v>60</v>
      </c>
      <c r="F1294">
        <v>56.152229308999999</v>
      </c>
      <c r="G1294">
        <v>1340.4660644999999</v>
      </c>
      <c r="H1294">
        <v>1337.9284668</v>
      </c>
      <c r="I1294">
        <v>1326.2807617000001</v>
      </c>
      <c r="J1294">
        <v>1324.2159423999999</v>
      </c>
      <c r="K1294">
        <v>2750</v>
      </c>
      <c r="L1294">
        <v>0</v>
      </c>
      <c r="M1294">
        <v>0</v>
      </c>
      <c r="N1294">
        <v>2750</v>
      </c>
    </row>
    <row r="1295" spans="1:14" x14ac:dyDescent="0.25">
      <c r="A1295">
        <v>412.747073</v>
      </c>
      <c r="B1295" s="1">
        <f>DATE(2011,6,17) + TIME(17,55,47)</f>
        <v>40711.747071759259</v>
      </c>
      <c r="C1295">
        <v>80</v>
      </c>
      <c r="D1295">
        <v>79.965744018999999</v>
      </c>
      <c r="E1295">
        <v>60</v>
      </c>
      <c r="F1295">
        <v>56.107479095000002</v>
      </c>
      <c r="G1295">
        <v>1340.4586182</v>
      </c>
      <c r="H1295">
        <v>1337.9251709</v>
      </c>
      <c r="I1295">
        <v>1326.2600098</v>
      </c>
      <c r="J1295">
        <v>1324.1865233999999</v>
      </c>
      <c r="K1295">
        <v>2750</v>
      </c>
      <c r="L1295">
        <v>0</v>
      </c>
      <c r="M1295">
        <v>0</v>
      </c>
      <c r="N1295">
        <v>2750</v>
      </c>
    </row>
    <row r="1296" spans="1:14" x14ac:dyDescent="0.25">
      <c r="A1296">
        <v>413.59602100000001</v>
      </c>
      <c r="B1296" s="1">
        <f>DATE(2011,6,18) + TIME(14,18,16)</f>
        <v>40712.596018518518</v>
      </c>
      <c r="C1296">
        <v>80</v>
      </c>
      <c r="D1296">
        <v>79.965721130000006</v>
      </c>
      <c r="E1296">
        <v>60</v>
      </c>
      <c r="F1296">
        <v>56.062400818</v>
      </c>
      <c r="G1296">
        <v>1340.4511719</v>
      </c>
      <c r="H1296">
        <v>1337.921875</v>
      </c>
      <c r="I1296">
        <v>1326.2388916</v>
      </c>
      <c r="J1296">
        <v>1324.1566161999999</v>
      </c>
      <c r="K1296">
        <v>2750</v>
      </c>
      <c r="L1296">
        <v>0</v>
      </c>
      <c r="M1296">
        <v>0</v>
      </c>
      <c r="N1296">
        <v>2750</v>
      </c>
    </row>
    <row r="1297" spans="1:14" x14ac:dyDescent="0.25">
      <c r="A1297">
        <v>414.45534500000002</v>
      </c>
      <c r="B1297" s="1">
        <f>DATE(2011,6,19) + TIME(10,55,41)</f>
        <v>40713.455335648148</v>
      </c>
      <c r="C1297">
        <v>80</v>
      </c>
      <c r="D1297">
        <v>79.965698242000002</v>
      </c>
      <c r="E1297">
        <v>60</v>
      </c>
      <c r="F1297">
        <v>56.017063141000001</v>
      </c>
      <c r="G1297">
        <v>1340.4438477000001</v>
      </c>
      <c r="H1297">
        <v>1337.9185791</v>
      </c>
      <c r="I1297">
        <v>1326.2177733999999</v>
      </c>
      <c r="J1297">
        <v>1324.1264647999999</v>
      </c>
      <c r="K1297">
        <v>2750</v>
      </c>
      <c r="L1297">
        <v>0</v>
      </c>
      <c r="M1297">
        <v>0</v>
      </c>
      <c r="N1297">
        <v>2750</v>
      </c>
    </row>
    <row r="1298" spans="1:14" x14ac:dyDescent="0.25">
      <c r="A1298">
        <v>415.328574</v>
      </c>
      <c r="B1298" s="1">
        <f>DATE(2011,6,20) + TIME(7,53,8)</f>
        <v>40714.328564814816</v>
      </c>
      <c r="C1298">
        <v>80</v>
      </c>
      <c r="D1298">
        <v>79.965675353999998</v>
      </c>
      <c r="E1298">
        <v>60</v>
      </c>
      <c r="F1298">
        <v>55.971393585000001</v>
      </c>
      <c r="G1298">
        <v>1340.4365233999999</v>
      </c>
      <c r="H1298">
        <v>1337.9152832</v>
      </c>
      <c r="I1298">
        <v>1326.1962891000001</v>
      </c>
      <c r="J1298">
        <v>1324.0961914</v>
      </c>
      <c r="K1298">
        <v>2750</v>
      </c>
      <c r="L1298">
        <v>0</v>
      </c>
      <c r="M1298">
        <v>0</v>
      </c>
      <c r="N1298">
        <v>2750</v>
      </c>
    </row>
    <row r="1299" spans="1:14" x14ac:dyDescent="0.25">
      <c r="A1299">
        <v>416.21936099999999</v>
      </c>
      <c r="B1299" s="1">
        <f>DATE(2011,6,21) + TIME(5,15,52)</f>
        <v>40715.219351851854</v>
      </c>
      <c r="C1299">
        <v>80</v>
      </c>
      <c r="D1299">
        <v>79.965652465999995</v>
      </c>
      <c r="E1299">
        <v>60</v>
      </c>
      <c r="F1299">
        <v>55.925254821999999</v>
      </c>
      <c r="G1299">
        <v>1340.4291992000001</v>
      </c>
      <c r="H1299">
        <v>1337.9119873</v>
      </c>
      <c r="I1299">
        <v>1326.1746826000001</v>
      </c>
      <c r="J1299">
        <v>1324.0654297000001</v>
      </c>
      <c r="K1299">
        <v>2750</v>
      </c>
      <c r="L1299">
        <v>0</v>
      </c>
      <c r="M1299">
        <v>0</v>
      </c>
      <c r="N1299">
        <v>2750</v>
      </c>
    </row>
    <row r="1300" spans="1:14" x14ac:dyDescent="0.25">
      <c r="A1300">
        <v>417.13387299999999</v>
      </c>
      <c r="B1300" s="1">
        <f>DATE(2011,6,22) + TIME(3,12,46)</f>
        <v>40716.13386574074</v>
      </c>
      <c r="C1300">
        <v>80</v>
      </c>
      <c r="D1300">
        <v>79.965637207</v>
      </c>
      <c r="E1300">
        <v>60</v>
      </c>
      <c r="F1300">
        <v>55.878429412999999</v>
      </c>
      <c r="G1300">
        <v>1340.421875</v>
      </c>
      <c r="H1300">
        <v>1337.9086914</v>
      </c>
      <c r="I1300">
        <v>1326.1527100000001</v>
      </c>
      <c r="J1300">
        <v>1324.0341797000001</v>
      </c>
      <c r="K1300">
        <v>2750</v>
      </c>
      <c r="L1300">
        <v>0</v>
      </c>
      <c r="M1300">
        <v>0</v>
      </c>
      <c r="N1300">
        <v>2750</v>
      </c>
    </row>
    <row r="1301" spans="1:14" x14ac:dyDescent="0.25">
      <c r="A1301">
        <v>418.05980199999999</v>
      </c>
      <c r="B1301" s="1">
        <f>DATE(2011,6,23) + TIME(1,26,6)</f>
        <v>40717.059791666667</v>
      </c>
      <c r="C1301">
        <v>80</v>
      </c>
      <c r="D1301">
        <v>79.965614318999997</v>
      </c>
      <c r="E1301">
        <v>60</v>
      </c>
      <c r="F1301">
        <v>55.831043243000003</v>
      </c>
      <c r="G1301">
        <v>1340.4144286999999</v>
      </c>
      <c r="H1301">
        <v>1337.9052733999999</v>
      </c>
      <c r="I1301">
        <v>1326.1303711</v>
      </c>
      <c r="J1301">
        <v>1324.0024414</v>
      </c>
      <c r="K1301">
        <v>2750</v>
      </c>
      <c r="L1301">
        <v>0</v>
      </c>
      <c r="M1301">
        <v>0</v>
      </c>
      <c r="N1301">
        <v>2750</v>
      </c>
    </row>
    <row r="1302" spans="1:14" x14ac:dyDescent="0.25">
      <c r="A1302">
        <v>418.99578600000001</v>
      </c>
      <c r="B1302" s="1">
        <f>DATE(2011,6,23) + TIME(23,53,55)</f>
        <v>40717.995775462965</v>
      </c>
      <c r="C1302">
        <v>80</v>
      </c>
      <c r="D1302">
        <v>79.965591431000007</v>
      </c>
      <c r="E1302">
        <v>60</v>
      </c>
      <c r="F1302">
        <v>55.783256530999999</v>
      </c>
      <c r="G1302">
        <v>1340.4071045000001</v>
      </c>
      <c r="H1302">
        <v>1337.9019774999999</v>
      </c>
      <c r="I1302">
        <v>1326.1077881000001</v>
      </c>
      <c r="J1302">
        <v>1323.9704589999999</v>
      </c>
      <c r="K1302">
        <v>2750</v>
      </c>
      <c r="L1302">
        <v>0</v>
      </c>
      <c r="M1302">
        <v>0</v>
      </c>
      <c r="N1302">
        <v>2750</v>
      </c>
    </row>
    <row r="1303" spans="1:14" x14ac:dyDescent="0.25">
      <c r="A1303">
        <v>419.94720799999999</v>
      </c>
      <c r="B1303" s="1">
        <f>DATE(2011,6,24) + TIME(22,43,58)</f>
        <v>40718.947199074071</v>
      </c>
      <c r="C1303">
        <v>80</v>
      </c>
      <c r="D1303">
        <v>79.965576171999999</v>
      </c>
      <c r="E1303">
        <v>60</v>
      </c>
      <c r="F1303">
        <v>55.735042571999998</v>
      </c>
      <c r="G1303">
        <v>1340.3999022999999</v>
      </c>
      <c r="H1303">
        <v>1337.8985596</v>
      </c>
      <c r="I1303">
        <v>1326.0850829999999</v>
      </c>
      <c r="J1303">
        <v>1323.9381103999999</v>
      </c>
      <c r="K1303">
        <v>2750</v>
      </c>
      <c r="L1303">
        <v>0</v>
      </c>
      <c r="M1303">
        <v>0</v>
      </c>
      <c r="N1303">
        <v>2750</v>
      </c>
    </row>
    <row r="1304" spans="1:14" x14ac:dyDescent="0.25">
      <c r="A1304">
        <v>420.91913199999999</v>
      </c>
      <c r="B1304" s="1">
        <f>DATE(2011,6,25) + TIME(22,3,33)</f>
        <v>40719.919131944444</v>
      </c>
      <c r="C1304">
        <v>80</v>
      </c>
      <c r="D1304">
        <v>79.965560913000004</v>
      </c>
      <c r="E1304">
        <v>60</v>
      </c>
      <c r="F1304">
        <v>55.686222076</v>
      </c>
      <c r="G1304">
        <v>1340.3925781</v>
      </c>
      <c r="H1304">
        <v>1337.8952637</v>
      </c>
      <c r="I1304">
        <v>1326.0621338000001</v>
      </c>
      <c r="J1304">
        <v>1323.9053954999999</v>
      </c>
      <c r="K1304">
        <v>2750</v>
      </c>
      <c r="L1304">
        <v>0</v>
      </c>
      <c r="M1304">
        <v>0</v>
      </c>
      <c r="N1304">
        <v>2750</v>
      </c>
    </row>
    <row r="1305" spans="1:14" x14ac:dyDescent="0.25">
      <c r="A1305">
        <v>421.91706599999998</v>
      </c>
      <c r="B1305" s="1">
        <f>DATE(2011,6,26) + TIME(22,0,34)</f>
        <v>40720.917060185187</v>
      </c>
      <c r="C1305">
        <v>80</v>
      </c>
      <c r="D1305">
        <v>79.965538025000001</v>
      </c>
      <c r="E1305">
        <v>60</v>
      </c>
      <c r="F1305">
        <v>55.636569977000001</v>
      </c>
      <c r="G1305">
        <v>1340.3852539</v>
      </c>
      <c r="H1305">
        <v>1337.8918457</v>
      </c>
      <c r="I1305">
        <v>1326.0388184000001</v>
      </c>
      <c r="J1305">
        <v>1323.8721923999999</v>
      </c>
      <c r="K1305">
        <v>2750</v>
      </c>
      <c r="L1305">
        <v>0</v>
      </c>
      <c r="M1305">
        <v>0</v>
      </c>
      <c r="N1305">
        <v>2750</v>
      </c>
    </row>
    <row r="1306" spans="1:14" x14ac:dyDescent="0.25">
      <c r="A1306">
        <v>422.93426199999999</v>
      </c>
      <c r="B1306" s="1">
        <f>DATE(2011,6,27) + TIME(22,25,20)</f>
        <v>40721.934259259258</v>
      </c>
      <c r="C1306">
        <v>80</v>
      </c>
      <c r="D1306">
        <v>79.965522766000007</v>
      </c>
      <c r="E1306">
        <v>60</v>
      </c>
      <c r="F1306">
        <v>55.586055756</v>
      </c>
      <c r="G1306">
        <v>1340.3779297000001</v>
      </c>
      <c r="H1306">
        <v>1337.8884277</v>
      </c>
      <c r="I1306">
        <v>1326.0151367000001</v>
      </c>
      <c r="J1306">
        <v>1323.8383789</v>
      </c>
      <c r="K1306">
        <v>2750</v>
      </c>
      <c r="L1306">
        <v>0</v>
      </c>
      <c r="M1306">
        <v>0</v>
      </c>
      <c r="N1306">
        <v>2750</v>
      </c>
    </row>
    <row r="1307" spans="1:14" x14ac:dyDescent="0.25">
      <c r="A1307">
        <v>423.96662800000001</v>
      </c>
      <c r="B1307" s="1">
        <f>DATE(2011,6,28) + TIME(23,11,56)</f>
        <v>40722.966620370367</v>
      </c>
      <c r="C1307">
        <v>80</v>
      </c>
      <c r="D1307">
        <v>79.965507506999998</v>
      </c>
      <c r="E1307">
        <v>60</v>
      </c>
      <c r="F1307">
        <v>55.534816741999997</v>
      </c>
      <c r="G1307">
        <v>1340.3704834</v>
      </c>
      <c r="H1307">
        <v>1337.8848877</v>
      </c>
      <c r="I1307">
        <v>1325.9910889</v>
      </c>
      <c r="J1307">
        <v>1323.8041992000001</v>
      </c>
      <c r="K1307">
        <v>2750</v>
      </c>
      <c r="L1307">
        <v>0</v>
      </c>
      <c r="M1307">
        <v>0</v>
      </c>
      <c r="N1307">
        <v>2750</v>
      </c>
    </row>
    <row r="1308" spans="1:14" x14ac:dyDescent="0.25">
      <c r="A1308">
        <v>425.020332</v>
      </c>
      <c r="B1308" s="1">
        <f>DATE(2011,6,30) + TIME(0,29,16)</f>
        <v>40724.020324074074</v>
      </c>
      <c r="C1308">
        <v>80</v>
      </c>
      <c r="D1308">
        <v>79.965492248999993</v>
      </c>
      <c r="E1308">
        <v>60</v>
      </c>
      <c r="F1308">
        <v>55.482807158999996</v>
      </c>
      <c r="G1308">
        <v>1340.3631591999999</v>
      </c>
      <c r="H1308">
        <v>1337.8814697</v>
      </c>
      <c r="I1308">
        <v>1325.9669189000001</v>
      </c>
      <c r="J1308">
        <v>1323.7695312000001</v>
      </c>
      <c r="K1308">
        <v>2750</v>
      </c>
      <c r="L1308">
        <v>0</v>
      </c>
      <c r="M1308">
        <v>0</v>
      </c>
      <c r="N1308">
        <v>2750</v>
      </c>
    </row>
    <row r="1309" spans="1:14" x14ac:dyDescent="0.25">
      <c r="A1309">
        <v>426</v>
      </c>
      <c r="B1309" s="1">
        <f>DATE(2011,7,1) + TIME(0,0,0)</f>
        <v>40725</v>
      </c>
      <c r="C1309">
        <v>80</v>
      </c>
      <c r="D1309">
        <v>79.965476989999999</v>
      </c>
      <c r="E1309">
        <v>60</v>
      </c>
      <c r="F1309">
        <v>55.431838988999999</v>
      </c>
      <c r="G1309">
        <v>1340.3558350000001</v>
      </c>
      <c r="H1309">
        <v>1337.8779297000001</v>
      </c>
      <c r="I1309">
        <v>1325.9425048999999</v>
      </c>
      <c r="J1309">
        <v>1323.7347411999999</v>
      </c>
      <c r="K1309">
        <v>2750</v>
      </c>
      <c r="L1309">
        <v>0</v>
      </c>
      <c r="M1309">
        <v>0</v>
      </c>
      <c r="N1309">
        <v>2750</v>
      </c>
    </row>
    <row r="1310" spans="1:14" x14ac:dyDescent="0.25">
      <c r="A1310">
        <v>427.08059700000001</v>
      </c>
      <c r="B1310" s="1">
        <f>DATE(2011,7,2) + TIME(1,56,3)</f>
        <v>40726.080590277779</v>
      </c>
      <c r="C1310">
        <v>80</v>
      </c>
      <c r="D1310">
        <v>79.96546936</v>
      </c>
      <c r="E1310">
        <v>60</v>
      </c>
      <c r="F1310">
        <v>55.380126953000001</v>
      </c>
      <c r="G1310">
        <v>1340.3491211</v>
      </c>
      <c r="H1310">
        <v>1337.8747559000001</v>
      </c>
      <c r="I1310">
        <v>1325.9190673999999</v>
      </c>
      <c r="J1310">
        <v>1323.7011719</v>
      </c>
      <c r="K1310">
        <v>2750</v>
      </c>
      <c r="L1310">
        <v>0</v>
      </c>
      <c r="M1310">
        <v>0</v>
      </c>
      <c r="N1310">
        <v>2750</v>
      </c>
    </row>
    <row r="1311" spans="1:14" x14ac:dyDescent="0.25">
      <c r="A1311">
        <v>428.19724500000001</v>
      </c>
      <c r="B1311" s="1">
        <f>DATE(2011,7,3) + TIME(4,44,1)</f>
        <v>40727.197233796294</v>
      </c>
      <c r="C1311">
        <v>80</v>
      </c>
      <c r="D1311">
        <v>79.965461731000005</v>
      </c>
      <c r="E1311">
        <v>60</v>
      </c>
      <c r="F1311">
        <v>55.326408385999997</v>
      </c>
      <c r="G1311">
        <v>1340.3417969</v>
      </c>
      <c r="H1311">
        <v>1337.8712158000001</v>
      </c>
      <c r="I1311">
        <v>1325.8945312000001</v>
      </c>
      <c r="J1311">
        <v>1323.6660156</v>
      </c>
      <c r="K1311">
        <v>2750</v>
      </c>
      <c r="L1311">
        <v>0</v>
      </c>
      <c r="M1311">
        <v>0</v>
      </c>
      <c r="N1311">
        <v>2750</v>
      </c>
    </row>
    <row r="1312" spans="1:14" x14ac:dyDescent="0.25">
      <c r="A1312">
        <v>429.33076699999998</v>
      </c>
      <c r="B1312" s="1">
        <f>DATE(2011,7,4) + TIME(7,56,18)</f>
        <v>40728.330763888887</v>
      </c>
      <c r="C1312">
        <v>80</v>
      </c>
      <c r="D1312">
        <v>79.965446471999996</v>
      </c>
      <c r="E1312">
        <v>60</v>
      </c>
      <c r="F1312">
        <v>55.271194457999997</v>
      </c>
      <c r="G1312">
        <v>1340.3344727000001</v>
      </c>
      <c r="H1312">
        <v>1337.8675536999999</v>
      </c>
      <c r="I1312">
        <v>1325.8691406</v>
      </c>
      <c r="J1312">
        <v>1323.6297606999999</v>
      </c>
      <c r="K1312">
        <v>2750</v>
      </c>
      <c r="L1312">
        <v>0</v>
      </c>
      <c r="M1312">
        <v>0</v>
      </c>
      <c r="N1312">
        <v>2750</v>
      </c>
    </row>
    <row r="1313" spans="1:14" x14ac:dyDescent="0.25">
      <c r="A1313">
        <v>430.48003799999998</v>
      </c>
      <c r="B1313" s="1">
        <f>DATE(2011,7,5) + TIME(11,31,15)</f>
        <v>40729.480034722219</v>
      </c>
      <c r="C1313">
        <v>80</v>
      </c>
      <c r="D1313">
        <v>79.965438843000001</v>
      </c>
      <c r="E1313">
        <v>60</v>
      </c>
      <c r="F1313">
        <v>55.214935302999997</v>
      </c>
      <c r="G1313">
        <v>1340.3270264</v>
      </c>
      <c r="H1313">
        <v>1337.8640137</v>
      </c>
      <c r="I1313">
        <v>1325.8436279</v>
      </c>
      <c r="J1313">
        <v>1323.5931396000001</v>
      </c>
      <c r="K1313">
        <v>2750</v>
      </c>
      <c r="L1313">
        <v>0</v>
      </c>
      <c r="M1313">
        <v>0</v>
      </c>
      <c r="N1313">
        <v>2750</v>
      </c>
    </row>
    <row r="1314" spans="1:14" x14ac:dyDescent="0.25">
      <c r="A1314">
        <v>431.653032</v>
      </c>
      <c r="B1314" s="1">
        <f>DATE(2011,7,6) + TIME(15,40,22)</f>
        <v>40730.653032407405</v>
      </c>
      <c r="C1314">
        <v>80</v>
      </c>
      <c r="D1314">
        <v>79.965431213000002</v>
      </c>
      <c r="E1314">
        <v>60</v>
      </c>
      <c r="F1314">
        <v>55.157653809000003</v>
      </c>
      <c r="G1314">
        <v>1340.3197021000001</v>
      </c>
      <c r="H1314">
        <v>1337.8603516000001</v>
      </c>
      <c r="I1314">
        <v>1325.817749</v>
      </c>
      <c r="J1314">
        <v>1323.5560303</v>
      </c>
      <c r="K1314">
        <v>2750</v>
      </c>
      <c r="L1314">
        <v>0</v>
      </c>
      <c r="M1314">
        <v>0</v>
      </c>
      <c r="N1314">
        <v>2750</v>
      </c>
    </row>
    <row r="1315" spans="1:14" x14ac:dyDescent="0.25">
      <c r="A1315">
        <v>432.83466299999998</v>
      </c>
      <c r="B1315" s="1">
        <f>DATE(2011,7,7) + TIME(20,1,54)</f>
        <v>40731.834652777776</v>
      </c>
      <c r="C1315">
        <v>80</v>
      </c>
      <c r="D1315">
        <v>79.965423584000007</v>
      </c>
      <c r="E1315">
        <v>60</v>
      </c>
      <c r="F1315">
        <v>55.099483489999997</v>
      </c>
      <c r="G1315">
        <v>1340.3123779</v>
      </c>
      <c r="H1315">
        <v>1337.8568115</v>
      </c>
      <c r="I1315">
        <v>1325.7917480000001</v>
      </c>
      <c r="J1315">
        <v>1323.5186768000001</v>
      </c>
      <c r="K1315">
        <v>2750</v>
      </c>
      <c r="L1315">
        <v>0</v>
      </c>
      <c r="M1315">
        <v>0</v>
      </c>
      <c r="N1315">
        <v>2750</v>
      </c>
    </row>
    <row r="1316" spans="1:14" x14ac:dyDescent="0.25">
      <c r="A1316">
        <v>434.030305</v>
      </c>
      <c r="B1316" s="1">
        <f>DATE(2011,7,9) + TIME(0,43,38)</f>
        <v>40733.030300925922</v>
      </c>
      <c r="C1316">
        <v>80</v>
      </c>
      <c r="D1316">
        <v>79.965415954999997</v>
      </c>
      <c r="E1316">
        <v>60</v>
      </c>
      <c r="F1316">
        <v>55.040576934999997</v>
      </c>
      <c r="G1316">
        <v>1340.3051757999999</v>
      </c>
      <c r="H1316">
        <v>1337.8531493999999</v>
      </c>
      <c r="I1316">
        <v>1325.765625</v>
      </c>
      <c r="J1316">
        <v>1323.4810791</v>
      </c>
      <c r="K1316">
        <v>2750</v>
      </c>
      <c r="L1316">
        <v>0</v>
      </c>
      <c r="M1316">
        <v>0</v>
      </c>
      <c r="N1316">
        <v>2750</v>
      </c>
    </row>
    <row r="1317" spans="1:14" x14ac:dyDescent="0.25">
      <c r="A1317">
        <v>435.24764299999998</v>
      </c>
      <c r="B1317" s="1">
        <f>DATE(2011,7,10) + TIME(5,56,36)</f>
        <v>40734.24763888889</v>
      </c>
      <c r="C1317">
        <v>80</v>
      </c>
      <c r="D1317">
        <v>79.965408324999999</v>
      </c>
      <c r="E1317">
        <v>60</v>
      </c>
      <c r="F1317">
        <v>54.980743408000002</v>
      </c>
      <c r="G1317">
        <v>1340.2978516000001</v>
      </c>
      <c r="H1317">
        <v>1337.8494873</v>
      </c>
      <c r="I1317">
        <v>1325.7393798999999</v>
      </c>
      <c r="J1317">
        <v>1323.4433594</v>
      </c>
      <c r="K1317">
        <v>2750</v>
      </c>
      <c r="L1317">
        <v>0</v>
      </c>
      <c r="M1317">
        <v>0</v>
      </c>
      <c r="N1317">
        <v>2750</v>
      </c>
    </row>
    <row r="1318" spans="1:14" x14ac:dyDescent="0.25">
      <c r="A1318">
        <v>436.495181</v>
      </c>
      <c r="B1318" s="1">
        <f>DATE(2011,7,11) + TIME(11,53,3)</f>
        <v>40735.495173611111</v>
      </c>
      <c r="C1318">
        <v>80</v>
      </c>
      <c r="D1318">
        <v>79.965400696000003</v>
      </c>
      <c r="E1318">
        <v>60</v>
      </c>
      <c r="F1318">
        <v>54.919635773000003</v>
      </c>
      <c r="G1318">
        <v>1340.2906493999999</v>
      </c>
      <c r="H1318">
        <v>1337.8459473</v>
      </c>
      <c r="I1318">
        <v>1325.7130127</v>
      </c>
      <c r="J1318">
        <v>1323.4052733999999</v>
      </c>
      <c r="K1318">
        <v>2750</v>
      </c>
      <c r="L1318">
        <v>0</v>
      </c>
      <c r="M1318">
        <v>0</v>
      </c>
      <c r="N1318">
        <v>2750</v>
      </c>
    </row>
    <row r="1319" spans="1:14" x14ac:dyDescent="0.25">
      <c r="A1319">
        <v>437.78108400000002</v>
      </c>
      <c r="B1319" s="1">
        <f>DATE(2011,7,12) + TIME(18,44,45)</f>
        <v>40736.781076388892</v>
      </c>
      <c r="C1319">
        <v>80</v>
      </c>
      <c r="D1319">
        <v>79.965400696000003</v>
      </c>
      <c r="E1319">
        <v>60</v>
      </c>
      <c r="F1319">
        <v>54.856822968000003</v>
      </c>
      <c r="G1319">
        <v>1340.2834473</v>
      </c>
      <c r="H1319">
        <v>1337.8421631000001</v>
      </c>
      <c r="I1319">
        <v>1325.6864014</v>
      </c>
      <c r="J1319">
        <v>1323.3666992000001</v>
      </c>
      <c r="K1319">
        <v>2750</v>
      </c>
      <c r="L1319">
        <v>0</v>
      </c>
      <c r="M1319">
        <v>0</v>
      </c>
      <c r="N1319">
        <v>2750</v>
      </c>
    </row>
    <row r="1320" spans="1:14" x14ac:dyDescent="0.25">
      <c r="A1320">
        <v>439.11340999999999</v>
      </c>
      <c r="B1320" s="1">
        <f>DATE(2011,7,14) + TIME(2,43,18)</f>
        <v>40738.113402777781</v>
      </c>
      <c r="C1320">
        <v>80</v>
      </c>
      <c r="D1320">
        <v>79.965393066000004</v>
      </c>
      <c r="E1320">
        <v>60</v>
      </c>
      <c r="F1320">
        <v>54.791854858000001</v>
      </c>
      <c r="G1320">
        <v>1340.276001</v>
      </c>
      <c r="H1320">
        <v>1337.838501</v>
      </c>
      <c r="I1320">
        <v>1325.6591797000001</v>
      </c>
      <c r="J1320">
        <v>1323.3273925999999</v>
      </c>
      <c r="K1320">
        <v>2750</v>
      </c>
      <c r="L1320">
        <v>0</v>
      </c>
      <c r="M1320">
        <v>0</v>
      </c>
      <c r="N1320">
        <v>2750</v>
      </c>
    </row>
    <row r="1321" spans="1:14" x14ac:dyDescent="0.25">
      <c r="A1321">
        <v>440.48141800000002</v>
      </c>
      <c r="B1321" s="1">
        <f>DATE(2011,7,15) + TIME(11,33,14)</f>
        <v>40739.481412037036</v>
      </c>
      <c r="C1321">
        <v>80</v>
      </c>
      <c r="D1321">
        <v>79.965393066000004</v>
      </c>
      <c r="E1321">
        <v>60</v>
      </c>
      <c r="F1321">
        <v>54.724548339999998</v>
      </c>
      <c r="G1321">
        <v>1340.2685547000001</v>
      </c>
      <c r="H1321">
        <v>1337.8345947</v>
      </c>
      <c r="I1321">
        <v>1325.6314697</v>
      </c>
      <c r="J1321">
        <v>1323.2872314000001</v>
      </c>
      <c r="K1321">
        <v>2750</v>
      </c>
      <c r="L1321">
        <v>0</v>
      </c>
      <c r="M1321">
        <v>0</v>
      </c>
      <c r="N1321">
        <v>2750</v>
      </c>
    </row>
    <row r="1322" spans="1:14" x14ac:dyDescent="0.25">
      <c r="A1322">
        <v>441.86633699999999</v>
      </c>
      <c r="B1322" s="1">
        <f>DATE(2011,7,16) + TIME(20,47,31)</f>
        <v>40740.866331018522</v>
      </c>
      <c r="C1322">
        <v>80</v>
      </c>
      <c r="D1322">
        <v>79.965393066000004</v>
      </c>
      <c r="E1322">
        <v>60</v>
      </c>
      <c r="F1322">
        <v>54.655277251999998</v>
      </c>
      <c r="G1322">
        <v>1340.2609863</v>
      </c>
      <c r="H1322">
        <v>1337.8306885</v>
      </c>
      <c r="I1322">
        <v>1325.6032714999999</v>
      </c>
      <c r="J1322">
        <v>1323.2463379000001</v>
      </c>
      <c r="K1322">
        <v>2750</v>
      </c>
      <c r="L1322">
        <v>0</v>
      </c>
      <c r="M1322">
        <v>0</v>
      </c>
      <c r="N1322">
        <v>2750</v>
      </c>
    </row>
    <row r="1323" spans="1:14" x14ac:dyDescent="0.25">
      <c r="A1323">
        <v>443.262182</v>
      </c>
      <c r="B1323" s="1">
        <f>DATE(2011,7,18) + TIME(6,17,32)</f>
        <v>40742.262175925927</v>
      </c>
      <c r="C1323">
        <v>80</v>
      </c>
      <c r="D1323">
        <v>79.965393066000004</v>
      </c>
      <c r="E1323">
        <v>60</v>
      </c>
      <c r="F1323">
        <v>54.584579468000001</v>
      </c>
      <c r="G1323">
        <v>1340.253418</v>
      </c>
      <c r="H1323">
        <v>1337.8267822</v>
      </c>
      <c r="I1323">
        <v>1325.5749512</v>
      </c>
      <c r="J1323">
        <v>1323.2052002</v>
      </c>
      <c r="K1323">
        <v>2750</v>
      </c>
      <c r="L1323">
        <v>0</v>
      </c>
      <c r="M1323">
        <v>0</v>
      </c>
      <c r="N1323">
        <v>2750</v>
      </c>
    </row>
    <row r="1324" spans="1:14" x14ac:dyDescent="0.25">
      <c r="A1324">
        <v>444.66320400000001</v>
      </c>
      <c r="B1324" s="1">
        <f>DATE(2011,7,19) + TIME(15,55,0)</f>
        <v>40743.663194444445</v>
      </c>
      <c r="C1324">
        <v>80</v>
      </c>
      <c r="D1324">
        <v>79.965393066000004</v>
      </c>
      <c r="E1324">
        <v>60</v>
      </c>
      <c r="F1324">
        <v>54.512794495000001</v>
      </c>
      <c r="G1324">
        <v>1340.2460937999999</v>
      </c>
      <c r="H1324">
        <v>1337.822876</v>
      </c>
      <c r="I1324">
        <v>1325.5467529</v>
      </c>
      <c r="J1324">
        <v>1323.1641846</v>
      </c>
      <c r="K1324">
        <v>2750</v>
      </c>
      <c r="L1324">
        <v>0</v>
      </c>
      <c r="M1324">
        <v>0</v>
      </c>
      <c r="N1324">
        <v>2750</v>
      </c>
    </row>
    <row r="1325" spans="1:14" x14ac:dyDescent="0.25">
      <c r="A1325">
        <v>446.08037400000001</v>
      </c>
      <c r="B1325" s="1">
        <f>DATE(2011,7,21) + TIME(1,55,44)</f>
        <v>40745.080370370371</v>
      </c>
      <c r="C1325">
        <v>80</v>
      </c>
      <c r="D1325">
        <v>79.965393066000004</v>
      </c>
      <c r="E1325">
        <v>60</v>
      </c>
      <c r="F1325">
        <v>54.439964293999999</v>
      </c>
      <c r="G1325">
        <v>1340.2387695</v>
      </c>
      <c r="H1325">
        <v>1337.8190918</v>
      </c>
      <c r="I1325">
        <v>1325.5186768000001</v>
      </c>
      <c r="J1325">
        <v>1323.1231689000001</v>
      </c>
      <c r="K1325">
        <v>2750</v>
      </c>
      <c r="L1325">
        <v>0</v>
      </c>
      <c r="M1325">
        <v>0</v>
      </c>
      <c r="N1325">
        <v>2750</v>
      </c>
    </row>
    <row r="1326" spans="1:14" x14ac:dyDescent="0.25">
      <c r="A1326">
        <v>447.52454899999998</v>
      </c>
      <c r="B1326" s="1">
        <f>DATE(2011,7,22) + TIME(12,35,21)</f>
        <v>40746.524548611109</v>
      </c>
      <c r="C1326">
        <v>80</v>
      </c>
      <c r="D1326">
        <v>79.965400696000003</v>
      </c>
      <c r="E1326">
        <v>60</v>
      </c>
      <c r="F1326">
        <v>54.365688323999997</v>
      </c>
      <c r="G1326">
        <v>1340.2314452999999</v>
      </c>
      <c r="H1326">
        <v>1337.8151855000001</v>
      </c>
      <c r="I1326">
        <v>1325.4908447</v>
      </c>
      <c r="J1326">
        <v>1323.0822754000001</v>
      </c>
      <c r="K1326">
        <v>2750</v>
      </c>
      <c r="L1326">
        <v>0</v>
      </c>
      <c r="M1326">
        <v>0</v>
      </c>
      <c r="N1326">
        <v>2750</v>
      </c>
    </row>
    <row r="1327" spans="1:14" x14ac:dyDescent="0.25">
      <c r="A1327">
        <v>449.00755400000003</v>
      </c>
      <c r="B1327" s="1">
        <f>DATE(2011,7,24) + TIME(0,10,52)</f>
        <v>40748.0075462963</v>
      </c>
      <c r="C1327">
        <v>80</v>
      </c>
      <c r="D1327">
        <v>79.965408324999999</v>
      </c>
      <c r="E1327">
        <v>60</v>
      </c>
      <c r="F1327">
        <v>54.289443970000001</v>
      </c>
      <c r="G1327">
        <v>1340.2241211</v>
      </c>
      <c r="H1327">
        <v>1337.8114014</v>
      </c>
      <c r="I1327">
        <v>1325.4628906</v>
      </c>
      <c r="J1327">
        <v>1323.0412598</v>
      </c>
      <c r="K1327">
        <v>2750</v>
      </c>
      <c r="L1327">
        <v>0</v>
      </c>
      <c r="M1327">
        <v>0</v>
      </c>
      <c r="N1327">
        <v>2750</v>
      </c>
    </row>
    <row r="1328" spans="1:14" x14ac:dyDescent="0.25">
      <c r="A1328">
        <v>450.530978</v>
      </c>
      <c r="B1328" s="1">
        <f>DATE(2011,7,25) + TIME(12,44,36)</f>
        <v>40749.530972222223</v>
      </c>
      <c r="C1328">
        <v>80</v>
      </c>
      <c r="D1328">
        <v>79.965408324999999</v>
      </c>
      <c r="E1328">
        <v>60</v>
      </c>
      <c r="F1328">
        <v>54.210803986000002</v>
      </c>
      <c r="G1328">
        <v>1340.2167969</v>
      </c>
      <c r="H1328">
        <v>1337.8073730000001</v>
      </c>
      <c r="I1328">
        <v>1325.4346923999999</v>
      </c>
      <c r="J1328">
        <v>1322.9997559000001</v>
      </c>
      <c r="K1328">
        <v>2750</v>
      </c>
      <c r="L1328">
        <v>0</v>
      </c>
      <c r="M1328">
        <v>0</v>
      </c>
      <c r="N1328">
        <v>2750</v>
      </c>
    </row>
    <row r="1329" spans="1:14" x14ac:dyDescent="0.25">
      <c r="A1329">
        <v>452.08376199999998</v>
      </c>
      <c r="B1329" s="1">
        <f>DATE(2011,7,27) + TIME(2,0,37)</f>
        <v>40751.083761574075</v>
      </c>
      <c r="C1329">
        <v>80</v>
      </c>
      <c r="D1329">
        <v>79.965415954999997</v>
      </c>
      <c r="E1329">
        <v>60</v>
      </c>
      <c r="F1329">
        <v>54.129798889</v>
      </c>
      <c r="G1329">
        <v>1340.2093506000001</v>
      </c>
      <c r="H1329">
        <v>1337.8034668</v>
      </c>
      <c r="I1329">
        <v>1325.40625</v>
      </c>
      <c r="J1329">
        <v>1322.9577637</v>
      </c>
      <c r="K1329">
        <v>2750</v>
      </c>
      <c r="L1329">
        <v>0</v>
      </c>
      <c r="M1329">
        <v>0</v>
      </c>
      <c r="N1329">
        <v>2750</v>
      </c>
    </row>
    <row r="1330" spans="1:14" x14ac:dyDescent="0.25">
      <c r="A1330">
        <v>453.65592500000002</v>
      </c>
      <c r="B1330" s="1">
        <f>DATE(2011,7,28) + TIME(15,44,31)</f>
        <v>40752.655914351853</v>
      </c>
      <c r="C1330">
        <v>80</v>
      </c>
      <c r="D1330">
        <v>79.965423584000007</v>
      </c>
      <c r="E1330">
        <v>60</v>
      </c>
      <c r="F1330">
        <v>54.046943665000001</v>
      </c>
      <c r="G1330">
        <v>1340.2019043</v>
      </c>
      <c r="H1330">
        <v>1337.7993164</v>
      </c>
      <c r="I1330">
        <v>1325.3776855000001</v>
      </c>
      <c r="J1330">
        <v>1322.9155272999999</v>
      </c>
      <c r="K1330">
        <v>2750</v>
      </c>
      <c r="L1330">
        <v>0</v>
      </c>
      <c r="M1330">
        <v>0</v>
      </c>
      <c r="N1330">
        <v>2750</v>
      </c>
    </row>
    <row r="1331" spans="1:14" x14ac:dyDescent="0.25">
      <c r="A1331">
        <v>455.259433</v>
      </c>
      <c r="B1331" s="1">
        <f>DATE(2011,7,30) + TIME(6,13,35)</f>
        <v>40754.259432870371</v>
      </c>
      <c r="C1331">
        <v>80</v>
      </c>
      <c r="D1331">
        <v>79.965438843000001</v>
      </c>
      <c r="E1331">
        <v>60</v>
      </c>
      <c r="F1331">
        <v>53.962619781000001</v>
      </c>
      <c r="G1331">
        <v>1340.1945800999999</v>
      </c>
      <c r="H1331">
        <v>1337.7952881000001</v>
      </c>
      <c r="I1331">
        <v>1325.3493652</v>
      </c>
      <c r="J1331">
        <v>1322.8732910000001</v>
      </c>
      <c r="K1331">
        <v>2750</v>
      </c>
      <c r="L1331">
        <v>0</v>
      </c>
      <c r="M1331">
        <v>0</v>
      </c>
      <c r="N1331">
        <v>2750</v>
      </c>
    </row>
    <row r="1332" spans="1:14" x14ac:dyDescent="0.25">
      <c r="A1332">
        <v>456.892628</v>
      </c>
      <c r="B1332" s="1">
        <f>DATE(2011,7,31) + TIME(21,25,23)</f>
        <v>40755.892627314817</v>
      </c>
      <c r="C1332">
        <v>80</v>
      </c>
      <c r="D1332">
        <v>79.965446471999996</v>
      </c>
      <c r="E1332">
        <v>60</v>
      </c>
      <c r="F1332">
        <v>53.876945495999998</v>
      </c>
      <c r="G1332">
        <v>1340.1871338000001</v>
      </c>
      <c r="H1332">
        <v>1337.7912598</v>
      </c>
      <c r="I1332">
        <v>1325.3210449000001</v>
      </c>
      <c r="J1332">
        <v>1322.8309326000001</v>
      </c>
      <c r="K1332">
        <v>2750</v>
      </c>
      <c r="L1332">
        <v>0</v>
      </c>
      <c r="M1332">
        <v>0</v>
      </c>
      <c r="N1332">
        <v>2750</v>
      </c>
    </row>
    <row r="1333" spans="1:14" x14ac:dyDescent="0.25">
      <c r="A1333">
        <v>457</v>
      </c>
      <c r="B1333" s="1">
        <f>DATE(2011,8,1) + TIME(0,0,0)</f>
        <v>40756</v>
      </c>
      <c r="C1333">
        <v>80</v>
      </c>
      <c r="D1333">
        <v>79.965438843000001</v>
      </c>
      <c r="E1333">
        <v>60</v>
      </c>
      <c r="F1333">
        <v>53.859127045000001</v>
      </c>
      <c r="G1333">
        <v>1340.1798096</v>
      </c>
      <c r="H1333">
        <v>1337.7872314000001</v>
      </c>
      <c r="I1333">
        <v>1325.2963867000001</v>
      </c>
      <c r="J1333">
        <v>1322.7973632999999</v>
      </c>
      <c r="K1333">
        <v>2750</v>
      </c>
      <c r="L1333">
        <v>0</v>
      </c>
      <c r="M1333">
        <v>0</v>
      </c>
      <c r="N1333">
        <v>2750</v>
      </c>
    </row>
    <row r="1334" spans="1:14" x14ac:dyDescent="0.25">
      <c r="A1334">
        <v>458.66613699999999</v>
      </c>
      <c r="B1334" s="1">
        <f>DATE(2011,8,2) + TIME(15,59,14)</f>
        <v>40757.666134259256</v>
      </c>
      <c r="C1334">
        <v>80</v>
      </c>
      <c r="D1334">
        <v>79.965454101999995</v>
      </c>
      <c r="E1334">
        <v>60</v>
      </c>
      <c r="F1334">
        <v>53.781536101999997</v>
      </c>
      <c r="G1334">
        <v>1340.1791992000001</v>
      </c>
      <c r="H1334">
        <v>1337.7868652</v>
      </c>
      <c r="I1334">
        <v>1325.2894286999999</v>
      </c>
      <c r="J1334">
        <v>1322.7832031</v>
      </c>
      <c r="K1334">
        <v>2750</v>
      </c>
      <c r="L1334">
        <v>0</v>
      </c>
      <c r="M1334">
        <v>0</v>
      </c>
      <c r="N1334">
        <v>2750</v>
      </c>
    </row>
    <row r="1335" spans="1:14" x14ac:dyDescent="0.25">
      <c r="A1335">
        <v>460.37777199999999</v>
      </c>
      <c r="B1335" s="1">
        <f>DATE(2011,8,4) + TIME(9,3,59)</f>
        <v>40759.377766203703</v>
      </c>
      <c r="C1335">
        <v>80</v>
      </c>
      <c r="D1335">
        <v>79.96546936</v>
      </c>
      <c r="E1335">
        <v>60</v>
      </c>
      <c r="F1335">
        <v>53.697010040000002</v>
      </c>
      <c r="G1335">
        <v>1340.171875</v>
      </c>
      <c r="H1335">
        <v>1337.7827147999999</v>
      </c>
      <c r="I1335">
        <v>1325.2624512</v>
      </c>
      <c r="J1335">
        <v>1322.7425536999999</v>
      </c>
      <c r="K1335">
        <v>2750</v>
      </c>
      <c r="L1335">
        <v>0</v>
      </c>
      <c r="M1335">
        <v>0</v>
      </c>
      <c r="N1335">
        <v>2750</v>
      </c>
    </row>
    <row r="1336" spans="1:14" x14ac:dyDescent="0.25">
      <c r="A1336">
        <v>462.13462199999998</v>
      </c>
      <c r="B1336" s="1">
        <f>DATE(2011,8,6) + TIME(3,13,51)</f>
        <v>40761.134618055556</v>
      </c>
      <c r="C1336">
        <v>80</v>
      </c>
      <c r="D1336">
        <v>79.965484618999994</v>
      </c>
      <c r="E1336">
        <v>60</v>
      </c>
      <c r="F1336">
        <v>53.610904693999998</v>
      </c>
      <c r="G1336">
        <v>1340.1643065999999</v>
      </c>
      <c r="H1336">
        <v>1337.7785644999999</v>
      </c>
      <c r="I1336">
        <v>1325.2346190999999</v>
      </c>
      <c r="J1336">
        <v>1322.7003173999999</v>
      </c>
      <c r="K1336">
        <v>2750</v>
      </c>
      <c r="L1336">
        <v>0</v>
      </c>
      <c r="M1336">
        <v>0</v>
      </c>
      <c r="N1336">
        <v>2750</v>
      </c>
    </row>
    <row r="1337" spans="1:14" x14ac:dyDescent="0.25">
      <c r="A1337">
        <v>463.92581100000001</v>
      </c>
      <c r="B1337" s="1">
        <f>DATE(2011,8,7) + TIME(22,13,10)</f>
        <v>40762.925810185188</v>
      </c>
      <c r="C1337">
        <v>80</v>
      </c>
      <c r="D1337">
        <v>79.965499878000003</v>
      </c>
      <c r="E1337">
        <v>60</v>
      </c>
      <c r="F1337">
        <v>53.525989531999997</v>
      </c>
      <c r="G1337">
        <v>1340.1567382999999</v>
      </c>
      <c r="H1337">
        <v>1337.7742920000001</v>
      </c>
      <c r="I1337">
        <v>1325.2067870999999</v>
      </c>
      <c r="J1337">
        <v>1322.6577147999999</v>
      </c>
      <c r="K1337">
        <v>2750</v>
      </c>
      <c r="L1337">
        <v>0</v>
      </c>
      <c r="M1337">
        <v>0</v>
      </c>
      <c r="N1337">
        <v>2750</v>
      </c>
    </row>
    <row r="1338" spans="1:14" x14ac:dyDescent="0.25">
      <c r="A1338">
        <v>465.72815300000002</v>
      </c>
      <c r="B1338" s="1">
        <f>DATE(2011,8,9) + TIME(17,28,32)</f>
        <v>40764.728148148148</v>
      </c>
      <c r="C1338">
        <v>80</v>
      </c>
      <c r="D1338">
        <v>79.965515136999997</v>
      </c>
      <c r="E1338">
        <v>60</v>
      </c>
      <c r="F1338">
        <v>53.445007324000002</v>
      </c>
      <c r="G1338">
        <v>1340.1490478999999</v>
      </c>
      <c r="H1338">
        <v>1337.7700195</v>
      </c>
      <c r="I1338">
        <v>1325.1790771000001</v>
      </c>
      <c r="J1338">
        <v>1322.6149902</v>
      </c>
      <c r="K1338">
        <v>2750</v>
      </c>
      <c r="L1338">
        <v>0</v>
      </c>
      <c r="M1338">
        <v>0</v>
      </c>
      <c r="N1338">
        <v>2750</v>
      </c>
    </row>
    <row r="1339" spans="1:14" x14ac:dyDescent="0.25">
      <c r="A1339">
        <v>467.55785600000002</v>
      </c>
      <c r="B1339" s="1">
        <f>DATE(2011,8,11) + TIME(13,23,18)</f>
        <v>40766.557847222219</v>
      </c>
      <c r="C1339">
        <v>80</v>
      </c>
      <c r="D1339">
        <v>79.965538025000001</v>
      </c>
      <c r="E1339">
        <v>60</v>
      </c>
      <c r="F1339">
        <v>53.370731354</v>
      </c>
      <c r="G1339">
        <v>1340.1416016000001</v>
      </c>
      <c r="H1339">
        <v>1337.765625</v>
      </c>
      <c r="I1339">
        <v>1325.1520995999999</v>
      </c>
      <c r="J1339">
        <v>1322.572876</v>
      </c>
      <c r="K1339">
        <v>2750</v>
      </c>
      <c r="L1339">
        <v>0</v>
      </c>
      <c r="M1339">
        <v>0</v>
      </c>
      <c r="N1339">
        <v>2750</v>
      </c>
    </row>
    <row r="1340" spans="1:14" x14ac:dyDescent="0.25">
      <c r="A1340">
        <v>469.43146400000001</v>
      </c>
      <c r="B1340" s="1">
        <f>DATE(2011,8,13) + TIME(10,21,18)</f>
        <v>40768.431458333333</v>
      </c>
      <c r="C1340">
        <v>80</v>
      </c>
      <c r="D1340">
        <v>79.965553283999995</v>
      </c>
      <c r="E1340">
        <v>60</v>
      </c>
      <c r="F1340">
        <v>53.305622100999997</v>
      </c>
      <c r="G1340">
        <v>1340.1340332</v>
      </c>
      <c r="H1340">
        <v>1337.7612305</v>
      </c>
      <c r="I1340">
        <v>1325.1256103999999</v>
      </c>
      <c r="J1340">
        <v>1322.5314940999999</v>
      </c>
      <c r="K1340">
        <v>2750</v>
      </c>
      <c r="L1340">
        <v>0</v>
      </c>
      <c r="M1340">
        <v>0</v>
      </c>
      <c r="N1340">
        <v>2750</v>
      </c>
    </row>
    <row r="1341" spans="1:14" x14ac:dyDescent="0.25">
      <c r="A1341">
        <v>471.366353</v>
      </c>
      <c r="B1341" s="1">
        <f>DATE(2011,8,15) + TIME(8,47,32)</f>
        <v>40770.366342592592</v>
      </c>
      <c r="C1341">
        <v>80</v>
      </c>
      <c r="D1341">
        <v>79.965576171999999</v>
      </c>
      <c r="E1341">
        <v>60</v>
      </c>
      <c r="F1341">
        <v>53.252635955999999</v>
      </c>
      <c r="G1341">
        <v>1340.1263428</v>
      </c>
      <c r="H1341">
        <v>1337.7568358999999</v>
      </c>
      <c r="I1341">
        <v>1325.0997314000001</v>
      </c>
      <c r="J1341">
        <v>1322.4903564000001</v>
      </c>
      <c r="K1341">
        <v>2750</v>
      </c>
      <c r="L1341">
        <v>0</v>
      </c>
      <c r="M1341">
        <v>0</v>
      </c>
      <c r="N1341">
        <v>2750</v>
      </c>
    </row>
    <row r="1342" spans="1:14" x14ac:dyDescent="0.25">
      <c r="A1342">
        <v>473.38126699999998</v>
      </c>
      <c r="B1342" s="1">
        <f>DATE(2011,8,17) + TIME(9,9,1)</f>
        <v>40772.381261574075</v>
      </c>
      <c r="C1342">
        <v>80</v>
      </c>
      <c r="D1342">
        <v>79.965599060000002</v>
      </c>
      <c r="E1342">
        <v>60</v>
      </c>
      <c r="F1342">
        <v>53.215667725000003</v>
      </c>
      <c r="G1342">
        <v>1340.1186522999999</v>
      </c>
      <c r="H1342">
        <v>1337.7523193</v>
      </c>
      <c r="I1342">
        <v>1325.0742187999999</v>
      </c>
      <c r="J1342">
        <v>1322.449707</v>
      </c>
      <c r="K1342">
        <v>2750</v>
      </c>
      <c r="L1342">
        <v>0</v>
      </c>
      <c r="M1342">
        <v>0</v>
      </c>
      <c r="N1342">
        <v>2750</v>
      </c>
    </row>
    <row r="1343" spans="1:14" x14ac:dyDescent="0.25">
      <c r="A1343">
        <v>475.44476900000001</v>
      </c>
      <c r="B1343" s="1">
        <f>DATE(2011,8,19) + TIME(10,40,28)</f>
        <v>40774.444768518515</v>
      </c>
      <c r="C1343">
        <v>80</v>
      </c>
      <c r="D1343">
        <v>79.965621948000006</v>
      </c>
      <c r="E1343">
        <v>60</v>
      </c>
      <c r="F1343">
        <v>53.200447083</v>
      </c>
      <c r="G1343">
        <v>1340.1105957</v>
      </c>
      <c r="H1343">
        <v>1337.7476807</v>
      </c>
      <c r="I1343">
        <v>1325.0491943</v>
      </c>
      <c r="J1343">
        <v>1322.4091797000001</v>
      </c>
      <c r="K1343">
        <v>2750</v>
      </c>
      <c r="L1343">
        <v>0</v>
      </c>
      <c r="M1343">
        <v>0</v>
      </c>
      <c r="N1343">
        <v>2750</v>
      </c>
    </row>
    <row r="1344" spans="1:14" x14ac:dyDescent="0.25">
      <c r="A1344">
        <v>477.532937</v>
      </c>
      <c r="B1344" s="1">
        <f>DATE(2011,8,21) + TIME(12,47,25)</f>
        <v>40776.53292824074</v>
      </c>
      <c r="C1344">
        <v>80</v>
      </c>
      <c r="D1344">
        <v>79.965644835999996</v>
      </c>
      <c r="E1344">
        <v>60</v>
      </c>
      <c r="F1344">
        <v>53.213180542000003</v>
      </c>
      <c r="G1344">
        <v>1340.1026611</v>
      </c>
      <c r="H1344">
        <v>1337.7429199000001</v>
      </c>
      <c r="I1344">
        <v>1325.0249022999999</v>
      </c>
      <c r="J1344">
        <v>1322.3695068</v>
      </c>
      <c r="K1344">
        <v>2750</v>
      </c>
      <c r="L1344">
        <v>0</v>
      </c>
      <c r="M1344">
        <v>0</v>
      </c>
      <c r="N1344">
        <v>2750</v>
      </c>
    </row>
    <row r="1345" spans="1:14" x14ac:dyDescent="0.25">
      <c r="A1345">
        <v>479.62885299999999</v>
      </c>
      <c r="B1345" s="1">
        <f>DATE(2011,8,23) + TIME(15,5,32)</f>
        <v>40778.628842592596</v>
      </c>
      <c r="C1345">
        <v>80</v>
      </c>
      <c r="D1345">
        <v>79.965675353999998</v>
      </c>
      <c r="E1345">
        <v>60</v>
      </c>
      <c r="F1345">
        <v>53.259559631000002</v>
      </c>
      <c r="G1345">
        <v>1340.0946045000001</v>
      </c>
      <c r="H1345">
        <v>1337.7381591999999</v>
      </c>
      <c r="I1345">
        <v>1325.0015868999999</v>
      </c>
      <c r="J1345">
        <v>1322.3314209</v>
      </c>
      <c r="K1345">
        <v>2750</v>
      </c>
      <c r="L1345">
        <v>0</v>
      </c>
      <c r="M1345">
        <v>0</v>
      </c>
      <c r="N1345">
        <v>2750</v>
      </c>
    </row>
    <row r="1346" spans="1:14" x14ac:dyDescent="0.25">
      <c r="A1346">
        <v>481.763508</v>
      </c>
      <c r="B1346" s="1">
        <f>DATE(2011,8,25) + TIME(18,19,27)</f>
        <v>40780.763506944444</v>
      </c>
      <c r="C1346">
        <v>80</v>
      </c>
      <c r="D1346">
        <v>79.965698242000002</v>
      </c>
      <c r="E1346">
        <v>60</v>
      </c>
      <c r="F1346">
        <v>53.34406662</v>
      </c>
      <c r="G1346">
        <v>1340.0867920000001</v>
      </c>
      <c r="H1346">
        <v>1337.7333983999999</v>
      </c>
      <c r="I1346">
        <v>1324.9797363</v>
      </c>
      <c r="J1346">
        <v>1322.2952881000001</v>
      </c>
      <c r="K1346">
        <v>2750</v>
      </c>
      <c r="L1346">
        <v>0</v>
      </c>
      <c r="M1346">
        <v>0</v>
      </c>
      <c r="N1346">
        <v>2750</v>
      </c>
    </row>
    <row r="1347" spans="1:14" x14ac:dyDescent="0.25">
      <c r="A1347">
        <v>483.94201700000002</v>
      </c>
      <c r="B1347" s="1">
        <f>DATE(2011,8,27) + TIME(22,36,30)</f>
        <v>40782.942013888889</v>
      </c>
      <c r="C1347">
        <v>80</v>
      </c>
      <c r="D1347">
        <v>79.965728760000005</v>
      </c>
      <c r="E1347">
        <v>60</v>
      </c>
      <c r="F1347">
        <v>53.471557617000002</v>
      </c>
      <c r="G1347">
        <v>1340.0788574000001</v>
      </c>
      <c r="H1347">
        <v>1337.7286377</v>
      </c>
      <c r="I1347">
        <v>1324.9592285000001</v>
      </c>
      <c r="J1347">
        <v>1322.2611084</v>
      </c>
      <c r="K1347">
        <v>2750</v>
      </c>
      <c r="L1347">
        <v>0</v>
      </c>
      <c r="M1347">
        <v>0</v>
      </c>
      <c r="N1347">
        <v>2750</v>
      </c>
    </row>
    <row r="1348" spans="1:14" x14ac:dyDescent="0.25">
      <c r="A1348">
        <v>486.13319100000001</v>
      </c>
      <c r="B1348" s="1">
        <f>DATE(2011,8,30) + TIME(3,11,47)</f>
        <v>40785.13318287037</v>
      </c>
      <c r="C1348">
        <v>80</v>
      </c>
      <c r="D1348">
        <v>79.965759277000004</v>
      </c>
      <c r="E1348">
        <v>60</v>
      </c>
      <c r="F1348">
        <v>53.645416259999998</v>
      </c>
      <c r="G1348">
        <v>1340.0709228999999</v>
      </c>
      <c r="H1348">
        <v>1337.7237548999999</v>
      </c>
      <c r="I1348">
        <v>1324.9398193</v>
      </c>
      <c r="J1348">
        <v>1322.2290039</v>
      </c>
      <c r="K1348">
        <v>2750</v>
      </c>
      <c r="L1348">
        <v>0</v>
      </c>
      <c r="M1348">
        <v>0</v>
      </c>
      <c r="N1348">
        <v>2750</v>
      </c>
    </row>
    <row r="1349" spans="1:14" x14ac:dyDescent="0.25">
      <c r="A1349">
        <v>488</v>
      </c>
      <c r="B1349" s="1">
        <f>DATE(2011,9,1) + TIME(0,0,0)</f>
        <v>40787</v>
      </c>
      <c r="C1349">
        <v>80</v>
      </c>
      <c r="D1349">
        <v>79.965774535999998</v>
      </c>
      <c r="E1349">
        <v>60</v>
      </c>
      <c r="F1349">
        <v>53.856407165999997</v>
      </c>
      <c r="G1349">
        <v>1340.0631103999999</v>
      </c>
      <c r="H1349">
        <v>1337.7189940999999</v>
      </c>
      <c r="I1349">
        <v>1324.9221190999999</v>
      </c>
      <c r="J1349">
        <v>1322.1995850000001</v>
      </c>
      <c r="K1349">
        <v>2750</v>
      </c>
      <c r="L1349">
        <v>0</v>
      </c>
      <c r="M1349">
        <v>0</v>
      </c>
      <c r="N1349">
        <v>2750</v>
      </c>
    </row>
    <row r="1350" spans="1:14" x14ac:dyDescent="0.25">
      <c r="A1350">
        <v>490.22272199999998</v>
      </c>
      <c r="B1350" s="1">
        <f>DATE(2011,9,3) + TIME(5,20,43)</f>
        <v>40789.222719907404</v>
      </c>
      <c r="C1350">
        <v>80</v>
      </c>
      <c r="D1350">
        <v>79.965812682999996</v>
      </c>
      <c r="E1350">
        <v>60</v>
      </c>
      <c r="F1350">
        <v>54.090324402</v>
      </c>
      <c r="G1350">
        <v>1340.0566406</v>
      </c>
      <c r="H1350">
        <v>1337.7149658000001</v>
      </c>
      <c r="I1350">
        <v>1324.9067382999999</v>
      </c>
      <c r="J1350">
        <v>1322.1746826000001</v>
      </c>
      <c r="K1350">
        <v>2750</v>
      </c>
      <c r="L1350">
        <v>0</v>
      </c>
      <c r="M1350">
        <v>0</v>
      </c>
      <c r="N1350">
        <v>2750</v>
      </c>
    </row>
    <row r="1351" spans="1:14" x14ac:dyDescent="0.25">
      <c r="A1351">
        <v>492.53003799999999</v>
      </c>
      <c r="B1351" s="1">
        <f>DATE(2011,9,5) + TIME(12,43,15)</f>
        <v>40791.530034722222</v>
      </c>
      <c r="C1351">
        <v>80</v>
      </c>
      <c r="D1351">
        <v>79.965850829999994</v>
      </c>
      <c r="E1351">
        <v>60</v>
      </c>
      <c r="F1351">
        <v>54.380352019999997</v>
      </c>
      <c r="G1351">
        <v>1340.0488281</v>
      </c>
      <c r="H1351">
        <v>1337.7102050999999</v>
      </c>
      <c r="I1351">
        <v>1324.8917236</v>
      </c>
      <c r="J1351">
        <v>1322.1502685999999</v>
      </c>
      <c r="K1351">
        <v>2750</v>
      </c>
      <c r="L1351">
        <v>0</v>
      </c>
      <c r="M1351">
        <v>0</v>
      </c>
      <c r="N1351">
        <v>2750</v>
      </c>
    </row>
    <row r="1352" spans="1:14" x14ac:dyDescent="0.25">
      <c r="A1352">
        <v>494.84664700000002</v>
      </c>
      <c r="B1352" s="1">
        <f>DATE(2011,9,7) + TIME(20,19,10)</f>
        <v>40793.846643518518</v>
      </c>
      <c r="C1352">
        <v>80</v>
      </c>
      <c r="D1352">
        <v>79.965881347999996</v>
      </c>
      <c r="E1352">
        <v>60</v>
      </c>
      <c r="F1352">
        <v>54.711807251000003</v>
      </c>
      <c r="G1352">
        <v>1340.0408935999999</v>
      </c>
      <c r="H1352">
        <v>1337.7052002</v>
      </c>
      <c r="I1352">
        <v>1324.8771973</v>
      </c>
      <c r="J1352">
        <v>1322.1268310999999</v>
      </c>
      <c r="K1352">
        <v>2750</v>
      </c>
      <c r="L1352">
        <v>0</v>
      </c>
      <c r="M1352">
        <v>0</v>
      </c>
      <c r="N1352">
        <v>2750</v>
      </c>
    </row>
    <row r="1353" spans="1:14" x14ac:dyDescent="0.25">
      <c r="A1353">
        <v>497.212897</v>
      </c>
      <c r="B1353" s="1">
        <f>DATE(2011,9,10) + TIME(5,6,34)</f>
        <v>40796.212893518517</v>
      </c>
      <c r="C1353">
        <v>80</v>
      </c>
      <c r="D1353">
        <v>79.965919494999994</v>
      </c>
      <c r="E1353">
        <v>60</v>
      </c>
      <c r="F1353">
        <v>55.07062912</v>
      </c>
      <c r="G1353">
        <v>1340.0329589999999</v>
      </c>
      <c r="H1353">
        <v>1337.7003173999999</v>
      </c>
      <c r="I1353">
        <v>1324.8635254000001</v>
      </c>
      <c r="J1353">
        <v>1322.1053466999999</v>
      </c>
      <c r="K1353">
        <v>2750</v>
      </c>
      <c r="L1353">
        <v>0</v>
      </c>
      <c r="M1353">
        <v>0</v>
      </c>
      <c r="N1353">
        <v>2750</v>
      </c>
    </row>
    <row r="1354" spans="1:14" x14ac:dyDescent="0.25">
      <c r="A1354">
        <v>498.42801700000001</v>
      </c>
      <c r="B1354" s="1">
        <f>DATE(2011,9,11) + TIME(10,16,20)</f>
        <v>40797.42800925926</v>
      </c>
      <c r="C1354">
        <v>80</v>
      </c>
      <c r="D1354">
        <v>79.965919494999994</v>
      </c>
      <c r="E1354">
        <v>60</v>
      </c>
      <c r="F1354">
        <v>55.393707274999997</v>
      </c>
      <c r="G1354">
        <v>1340.0251464999999</v>
      </c>
      <c r="H1354">
        <v>1337.6954346</v>
      </c>
      <c r="I1354">
        <v>1324.8526611</v>
      </c>
      <c r="J1354">
        <v>1322.0869141000001</v>
      </c>
      <c r="K1354">
        <v>2750</v>
      </c>
      <c r="L1354">
        <v>0</v>
      </c>
      <c r="M1354">
        <v>0</v>
      </c>
      <c r="N1354">
        <v>2750</v>
      </c>
    </row>
    <row r="1355" spans="1:14" x14ac:dyDescent="0.25">
      <c r="A1355">
        <v>499.64313700000002</v>
      </c>
      <c r="B1355" s="1">
        <f>DATE(2011,9,12) + TIME(15,26,7)</f>
        <v>40798.643136574072</v>
      </c>
      <c r="C1355">
        <v>80</v>
      </c>
      <c r="D1355">
        <v>79.965934752999999</v>
      </c>
      <c r="E1355">
        <v>60</v>
      </c>
      <c r="F1355">
        <v>55.631217956999997</v>
      </c>
      <c r="G1355">
        <v>1340.0211182</v>
      </c>
      <c r="H1355">
        <v>1337.6929932</v>
      </c>
      <c r="I1355">
        <v>1324.8443603999999</v>
      </c>
      <c r="J1355">
        <v>1322.0755615</v>
      </c>
      <c r="K1355">
        <v>2750</v>
      </c>
      <c r="L1355">
        <v>0</v>
      </c>
      <c r="M1355">
        <v>0</v>
      </c>
      <c r="N1355">
        <v>2750</v>
      </c>
    </row>
    <row r="1356" spans="1:14" x14ac:dyDescent="0.25">
      <c r="A1356">
        <v>500.85825699999998</v>
      </c>
      <c r="B1356" s="1">
        <f>DATE(2011,9,13) + TIME(20,35,53)</f>
        <v>40799.858252314814</v>
      </c>
      <c r="C1356">
        <v>80</v>
      </c>
      <c r="D1356">
        <v>79.965950011999993</v>
      </c>
      <c r="E1356">
        <v>60</v>
      </c>
      <c r="F1356">
        <v>55.842227936</v>
      </c>
      <c r="G1356">
        <v>1340.0173339999999</v>
      </c>
      <c r="H1356">
        <v>1337.6905518000001</v>
      </c>
      <c r="I1356">
        <v>1324.8377685999999</v>
      </c>
      <c r="J1356">
        <v>1322.065918</v>
      </c>
      <c r="K1356">
        <v>2750</v>
      </c>
      <c r="L1356">
        <v>0</v>
      </c>
      <c r="M1356">
        <v>0</v>
      </c>
      <c r="N1356">
        <v>2750</v>
      </c>
    </row>
    <row r="1357" spans="1:14" x14ac:dyDescent="0.25">
      <c r="A1357">
        <v>502.073376</v>
      </c>
      <c r="B1357" s="1">
        <f>DATE(2011,9,15) + TIME(1,45,39)</f>
        <v>40801.073368055557</v>
      </c>
      <c r="C1357">
        <v>80</v>
      </c>
      <c r="D1357">
        <v>79.965972899999997</v>
      </c>
      <c r="E1357">
        <v>60</v>
      </c>
      <c r="F1357">
        <v>56.044582366999997</v>
      </c>
      <c r="G1357">
        <v>1340.0134277</v>
      </c>
      <c r="H1357">
        <v>1337.6881103999999</v>
      </c>
      <c r="I1357">
        <v>1324.8320312000001</v>
      </c>
      <c r="J1357">
        <v>1322.0573730000001</v>
      </c>
      <c r="K1357">
        <v>2750</v>
      </c>
      <c r="L1357">
        <v>0</v>
      </c>
      <c r="M1357">
        <v>0</v>
      </c>
      <c r="N1357">
        <v>2750</v>
      </c>
    </row>
    <row r="1358" spans="1:14" x14ac:dyDescent="0.25">
      <c r="A1358">
        <v>503.28849600000001</v>
      </c>
      <c r="B1358" s="1">
        <f>DATE(2011,9,16) + TIME(6,55,26)</f>
        <v>40802.288495370369</v>
      </c>
      <c r="C1358">
        <v>80</v>
      </c>
      <c r="D1358">
        <v>79.965988159000005</v>
      </c>
      <c r="E1358">
        <v>60</v>
      </c>
      <c r="F1358">
        <v>56.243339538999997</v>
      </c>
      <c r="G1358">
        <v>1340.0096435999999</v>
      </c>
      <c r="H1358">
        <v>1337.6856689000001</v>
      </c>
      <c r="I1358">
        <v>1324.8265381000001</v>
      </c>
      <c r="J1358">
        <v>1322.0493164</v>
      </c>
      <c r="K1358">
        <v>2750</v>
      </c>
      <c r="L1358">
        <v>0</v>
      </c>
      <c r="M1358">
        <v>0</v>
      </c>
      <c r="N1358">
        <v>2750</v>
      </c>
    </row>
    <row r="1359" spans="1:14" x14ac:dyDescent="0.25">
      <c r="A1359">
        <v>505.71873599999998</v>
      </c>
      <c r="B1359" s="1">
        <f>DATE(2011,9,18) + TIME(17,14,58)</f>
        <v>40804.718726851854</v>
      </c>
      <c r="C1359">
        <v>80</v>
      </c>
      <c r="D1359">
        <v>79.966049193999993</v>
      </c>
      <c r="E1359">
        <v>60</v>
      </c>
      <c r="F1359">
        <v>56.474258423000002</v>
      </c>
      <c r="G1359">
        <v>1340.0058594</v>
      </c>
      <c r="H1359">
        <v>1337.6833495999999</v>
      </c>
      <c r="I1359">
        <v>1324.8203125</v>
      </c>
      <c r="J1359">
        <v>1322.0408935999999</v>
      </c>
      <c r="K1359">
        <v>2750</v>
      </c>
      <c r="L1359">
        <v>0</v>
      </c>
      <c r="M1359">
        <v>0</v>
      </c>
      <c r="N1359">
        <v>2750</v>
      </c>
    </row>
    <row r="1360" spans="1:14" x14ac:dyDescent="0.25">
      <c r="A1360">
        <v>508.16481299999998</v>
      </c>
      <c r="B1360" s="1">
        <f>DATE(2011,9,21) + TIME(3,57,19)</f>
        <v>40807.164803240739</v>
      </c>
      <c r="C1360">
        <v>80</v>
      </c>
      <c r="D1360">
        <v>79.966087341000005</v>
      </c>
      <c r="E1360">
        <v>60</v>
      </c>
      <c r="F1360">
        <v>56.83297348</v>
      </c>
      <c r="G1360">
        <v>1339.9984131000001</v>
      </c>
      <c r="H1360">
        <v>1337.6787108999999</v>
      </c>
      <c r="I1360">
        <v>1324.8122559000001</v>
      </c>
      <c r="J1360">
        <v>1322.0279541</v>
      </c>
      <c r="K1360">
        <v>2750</v>
      </c>
      <c r="L1360">
        <v>0</v>
      </c>
      <c r="M1360">
        <v>0</v>
      </c>
      <c r="N1360">
        <v>2750</v>
      </c>
    </row>
    <row r="1361" spans="1:14" x14ac:dyDescent="0.25">
      <c r="A1361">
        <v>509.48031300000002</v>
      </c>
      <c r="B1361" s="1">
        <f>DATE(2011,9,22) + TIME(11,31,39)</f>
        <v>40808.480312500003</v>
      </c>
      <c r="C1361">
        <v>80</v>
      </c>
      <c r="D1361">
        <v>79.966094971000004</v>
      </c>
      <c r="E1361">
        <v>60</v>
      </c>
      <c r="F1361">
        <v>57.159870148000003</v>
      </c>
      <c r="G1361">
        <v>1339.9910889</v>
      </c>
      <c r="H1361">
        <v>1337.6740723</v>
      </c>
      <c r="I1361">
        <v>1324.8050536999999</v>
      </c>
      <c r="J1361">
        <v>1322.0158690999999</v>
      </c>
      <c r="K1361">
        <v>2750</v>
      </c>
      <c r="L1361">
        <v>0</v>
      </c>
      <c r="M1361">
        <v>0</v>
      </c>
      <c r="N1361">
        <v>2750</v>
      </c>
    </row>
    <row r="1362" spans="1:14" x14ac:dyDescent="0.25">
      <c r="A1362">
        <v>510.79581300000001</v>
      </c>
      <c r="B1362" s="1">
        <f>DATE(2011,9,23) + TIME(19,5,58)</f>
        <v>40809.795810185184</v>
      </c>
      <c r="C1362">
        <v>80</v>
      </c>
      <c r="D1362">
        <v>79.966110228999995</v>
      </c>
      <c r="E1362">
        <v>60</v>
      </c>
      <c r="F1362">
        <v>57.393115997000002</v>
      </c>
      <c r="G1362">
        <v>1339.9873047000001</v>
      </c>
      <c r="H1362">
        <v>1337.6716309000001</v>
      </c>
      <c r="I1362">
        <v>1324.7989502</v>
      </c>
      <c r="J1362">
        <v>1322.0081786999999</v>
      </c>
      <c r="K1362">
        <v>2750</v>
      </c>
      <c r="L1362">
        <v>0</v>
      </c>
      <c r="M1362">
        <v>0</v>
      </c>
      <c r="N1362">
        <v>2750</v>
      </c>
    </row>
    <row r="1363" spans="1:14" x14ac:dyDescent="0.25">
      <c r="A1363">
        <v>512.11131399999999</v>
      </c>
      <c r="B1363" s="1">
        <f>DATE(2011,9,25) + TIME(2,40,17)</f>
        <v>40811.111307870371</v>
      </c>
      <c r="C1363">
        <v>80</v>
      </c>
      <c r="D1363">
        <v>79.966133118000002</v>
      </c>
      <c r="E1363">
        <v>60</v>
      </c>
      <c r="F1363">
        <v>57.597259520999998</v>
      </c>
      <c r="G1363">
        <v>1339.9835204999999</v>
      </c>
      <c r="H1363">
        <v>1337.6693115</v>
      </c>
      <c r="I1363">
        <v>1324.7939452999999</v>
      </c>
      <c r="J1363">
        <v>1322.0012207</v>
      </c>
      <c r="K1363">
        <v>2750</v>
      </c>
      <c r="L1363">
        <v>0</v>
      </c>
      <c r="M1363">
        <v>0</v>
      </c>
      <c r="N1363">
        <v>2750</v>
      </c>
    </row>
    <row r="1364" spans="1:14" x14ac:dyDescent="0.25">
      <c r="A1364">
        <v>513.42681400000004</v>
      </c>
      <c r="B1364" s="1">
        <f>DATE(2011,9,26) + TIME(10,14,36)</f>
        <v>40812.426805555559</v>
      </c>
      <c r="C1364">
        <v>80</v>
      </c>
      <c r="D1364">
        <v>79.966156006000006</v>
      </c>
      <c r="E1364">
        <v>60</v>
      </c>
      <c r="F1364">
        <v>57.790317535</v>
      </c>
      <c r="G1364">
        <v>1339.9798584</v>
      </c>
      <c r="H1364">
        <v>1337.6669922000001</v>
      </c>
      <c r="I1364">
        <v>1324.7894286999999</v>
      </c>
      <c r="J1364">
        <v>1321.994751</v>
      </c>
      <c r="K1364">
        <v>2750</v>
      </c>
      <c r="L1364">
        <v>0</v>
      </c>
      <c r="M1364">
        <v>0</v>
      </c>
      <c r="N1364">
        <v>2750</v>
      </c>
    </row>
    <row r="1365" spans="1:14" x14ac:dyDescent="0.25">
      <c r="A1365">
        <v>514.74231399999996</v>
      </c>
      <c r="B1365" s="1">
        <f>DATE(2011,9,27) + TIME(17,48,55)</f>
        <v>40813.742303240739</v>
      </c>
      <c r="C1365">
        <v>80</v>
      </c>
      <c r="D1365">
        <v>79.966178893999995</v>
      </c>
      <c r="E1365">
        <v>60</v>
      </c>
      <c r="F1365">
        <v>57.977184295999997</v>
      </c>
      <c r="G1365">
        <v>1339.9761963000001</v>
      </c>
      <c r="H1365">
        <v>1337.6646728999999</v>
      </c>
      <c r="I1365">
        <v>1324.7851562000001</v>
      </c>
      <c r="J1365">
        <v>1321.9885254000001</v>
      </c>
      <c r="K1365">
        <v>2750</v>
      </c>
      <c r="L1365">
        <v>0</v>
      </c>
      <c r="M1365">
        <v>0</v>
      </c>
      <c r="N1365">
        <v>2750</v>
      </c>
    </row>
    <row r="1366" spans="1:14" x14ac:dyDescent="0.25">
      <c r="A1366">
        <v>516.05781400000001</v>
      </c>
      <c r="B1366" s="1">
        <f>DATE(2011,9,29) + TIME(1,23,15)</f>
        <v>40815.057812500003</v>
      </c>
      <c r="C1366">
        <v>80</v>
      </c>
      <c r="D1366">
        <v>79.966201781999999</v>
      </c>
      <c r="E1366">
        <v>60</v>
      </c>
      <c r="F1366">
        <v>58.159088134999998</v>
      </c>
      <c r="G1366">
        <v>1339.9725341999999</v>
      </c>
      <c r="H1366">
        <v>1337.6623535000001</v>
      </c>
      <c r="I1366">
        <v>1324.7811279</v>
      </c>
      <c r="J1366">
        <v>1321.9826660000001</v>
      </c>
      <c r="K1366">
        <v>2750</v>
      </c>
      <c r="L1366">
        <v>0</v>
      </c>
      <c r="M1366">
        <v>0</v>
      </c>
      <c r="N1366">
        <v>2750</v>
      </c>
    </row>
    <row r="1367" spans="1:14" x14ac:dyDescent="0.25">
      <c r="A1367">
        <v>518</v>
      </c>
      <c r="B1367" s="1">
        <f>DATE(2011,10,1) + TIME(0,0,0)</f>
        <v>40817</v>
      </c>
      <c r="C1367">
        <v>80</v>
      </c>
      <c r="D1367">
        <v>79.966239928999997</v>
      </c>
      <c r="E1367">
        <v>60</v>
      </c>
      <c r="F1367">
        <v>58.353694916000002</v>
      </c>
      <c r="G1367">
        <v>1339.9688721</v>
      </c>
      <c r="H1367">
        <v>1337.6600341999999</v>
      </c>
      <c r="I1367">
        <v>1324.7766113</v>
      </c>
      <c r="J1367">
        <v>1321.9765625</v>
      </c>
      <c r="K1367">
        <v>2750</v>
      </c>
      <c r="L1367">
        <v>0</v>
      </c>
      <c r="M1367">
        <v>0</v>
      </c>
      <c r="N1367">
        <v>2750</v>
      </c>
    </row>
    <row r="1368" spans="1:14" x14ac:dyDescent="0.25">
      <c r="A1368">
        <v>519.31550000000004</v>
      </c>
      <c r="B1368" s="1">
        <f>DATE(2011,10,2) + TIME(7,34,19)</f>
        <v>40818.315497685187</v>
      </c>
      <c r="C1368">
        <v>80</v>
      </c>
      <c r="D1368">
        <v>79.966255188000005</v>
      </c>
      <c r="E1368">
        <v>60</v>
      </c>
      <c r="F1368">
        <v>58.573249816999997</v>
      </c>
      <c r="G1368">
        <v>1339.9636230000001</v>
      </c>
      <c r="H1368">
        <v>1337.6567382999999</v>
      </c>
      <c r="I1368">
        <v>1324.7723389</v>
      </c>
      <c r="J1368">
        <v>1321.9691161999999</v>
      </c>
      <c r="K1368">
        <v>2750</v>
      </c>
      <c r="L1368">
        <v>0</v>
      </c>
      <c r="M1368">
        <v>0</v>
      </c>
      <c r="N1368">
        <v>2750</v>
      </c>
    </row>
    <row r="1369" spans="1:14" x14ac:dyDescent="0.25">
      <c r="A1369">
        <v>520.63099999999997</v>
      </c>
      <c r="B1369" s="1">
        <f>DATE(2011,10,3) + TIME(15,8,38)</f>
        <v>40819.630995370368</v>
      </c>
      <c r="C1369">
        <v>80</v>
      </c>
      <c r="D1369">
        <v>79.966278075999995</v>
      </c>
      <c r="E1369">
        <v>60</v>
      </c>
      <c r="F1369">
        <v>58.753536224000001</v>
      </c>
      <c r="G1369">
        <v>1339.9602050999999</v>
      </c>
      <c r="H1369">
        <v>1337.6545410000001</v>
      </c>
      <c r="I1369">
        <v>1324.7683105000001</v>
      </c>
      <c r="J1369">
        <v>1321.9637451000001</v>
      </c>
      <c r="K1369">
        <v>2750</v>
      </c>
      <c r="L1369">
        <v>0</v>
      </c>
      <c r="M1369">
        <v>0</v>
      </c>
      <c r="N1369">
        <v>2750</v>
      </c>
    </row>
    <row r="1370" spans="1:14" x14ac:dyDescent="0.25">
      <c r="A1370">
        <v>521.94650000000001</v>
      </c>
      <c r="B1370" s="1">
        <f>DATE(2011,10,4) + TIME(22,42,57)</f>
        <v>40820.946493055555</v>
      </c>
      <c r="C1370">
        <v>80</v>
      </c>
      <c r="D1370">
        <v>79.966300963999998</v>
      </c>
      <c r="E1370">
        <v>60</v>
      </c>
      <c r="F1370">
        <v>58.919895171999997</v>
      </c>
      <c r="G1370">
        <v>1339.9566649999999</v>
      </c>
      <c r="H1370">
        <v>1337.6523437999999</v>
      </c>
      <c r="I1370">
        <v>1324.7645264</v>
      </c>
      <c r="J1370">
        <v>1321.958374</v>
      </c>
      <c r="K1370">
        <v>2750</v>
      </c>
      <c r="L1370">
        <v>0</v>
      </c>
      <c r="M1370">
        <v>0</v>
      </c>
      <c r="N1370">
        <v>2750</v>
      </c>
    </row>
    <row r="1371" spans="1:14" x14ac:dyDescent="0.25">
      <c r="A1371">
        <v>523.26200100000005</v>
      </c>
      <c r="B1371" s="1">
        <f>DATE(2011,10,6) + TIME(6,17,16)</f>
        <v>40822.261990740742</v>
      </c>
      <c r="C1371">
        <v>80</v>
      </c>
      <c r="D1371">
        <v>79.966323853000006</v>
      </c>
      <c r="E1371">
        <v>60</v>
      </c>
      <c r="F1371">
        <v>59.079471587999997</v>
      </c>
      <c r="G1371">
        <v>1339.9532471</v>
      </c>
      <c r="H1371">
        <v>1337.6501464999999</v>
      </c>
      <c r="I1371">
        <v>1324.7609863</v>
      </c>
      <c r="J1371">
        <v>1321.9532471</v>
      </c>
      <c r="K1371">
        <v>2750</v>
      </c>
      <c r="L1371">
        <v>0</v>
      </c>
      <c r="M1371">
        <v>0</v>
      </c>
      <c r="N1371">
        <v>2750</v>
      </c>
    </row>
    <row r="1372" spans="1:14" x14ac:dyDescent="0.25">
      <c r="A1372">
        <v>524.57750099999998</v>
      </c>
      <c r="B1372" s="1">
        <f>DATE(2011,10,7) + TIME(13,51,36)</f>
        <v>40823.577499999999</v>
      </c>
      <c r="C1372">
        <v>80</v>
      </c>
      <c r="D1372">
        <v>79.966346740999995</v>
      </c>
      <c r="E1372">
        <v>60</v>
      </c>
      <c r="F1372">
        <v>59.234279633</v>
      </c>
      <c r="G1372">
        <v>1339.9499512</v>
      </c>
      <c r="H1372">
        <v>1337.6480713000001</v>
      </c>
      <c r="I1372">
        <v>1324.7576904</v>
      </c>
      <c r="J1372">
        <v>1321.9483643000001</v>
      </c>
      <c r="K1372">
        <v>2750</v>
      </c>
      <c r="L1372">
        <v>0</v>
      </c>
      <c r="M1372">
        <v>0</v>
      </c>
      <c r="N1372">
        <v>2750</v>
      </c>
    </row>
    <row r="1373" spans="1:14" x14ac:dyDescent="0.25">
      <c r="A1373">
        <v>525.89300100000003</v>
      </c>
      <c r="B1373" s="1">
        <f>DATE(2011,10,8) + TIME(21,25,55)</f>
        <v>40824.892997685187</v>
      </c>
      <c r="C1373">
        <v>80</v>
      </c>
      <c r="D1373">
        <v>79.966369628999999</v>
      </c>
      <c r="E1373">
        <v>60</v>
      </c>
      <c r="F1373">
        <v>59.384922027999998</v>
      </c>
      <c r="G1373">
        <v>1339.9465332</v>
      </c>
      <c r="H1373">
        <v>1337.6459961</v>
      </c>
      <c r="I1373">
        <v>1324.7543945</v>
      </c>
      <c r="J1373">
        <v>1321.9436035000001</v>
      </c>
      <c r="K1373">
        <v>2750</v>
      </c>
      <c r="L1373">
        <v>0</v>
      </c>
      <c r="M1373">
        <v>0</v>
      </c>
      <c r="N1373">
        <v>2750</v>
      </c>
    </row>
    <row r="1374" spans="1:14" x14ac:dyDescent="0.25">
      <c r="A1374">
        <v>528.524001</v>
      </c>
      <c r="B1374" s="1">
        <f>DATE(2011,10,11) + TIME(12,34,33)</f>
        <v>40827.523993055554</v>
      </c>
      <c r="C1374">
        <v>80</v>
      </c>
      <c r="D1374">
        <v>79.966430664000001</v>
      </c>
      <c r="E1374">
        <v>60</v>
      </c>
      <c r="F1374">
        <v>59.554523467999999</v>
      </c>
      <c r="G1374">
        <v>1339.9432373</v>
      </c>
      <c r="H1374">
        <v>1337.6439209</v>
      </c>
      <c r="I1374">
        <v>1324.7504882999999</v>
      </c>
      <c r="J1374">
        <v>1321.9383545000001</v>
      </c>
      <c r="K1374">
        <v>2750</v>
      </c>
      <c r="L1374">
        <v>0</v>
      </c>
      <c r="M1374">
        <v>0</v>
      </c>
      <c r="N1374">
        <v>2750</v>
      </c>
    </row>
    <row r="1375" spans="1:14" x14ac:dyDescent="0.25">
      <c r="A1375">
        <v>531.17449399999998</v>
      </c>
      <c r="B1375" s="1">
        <f>DATE(2011,10,14) + TIME(4,11,16)</f>
        <v>40830.174490740741</v>
      </c>
      <c r="C1375">
        <v>80</v>
      </c>
      <c r="D1375">
        <v>79.966484070000007</v>
      </c>
      <c r="E1375">
        <v>60</v>
      </c>
      <c r="F1375">
        <v>59.819271088000001</v>
      </c>
      <c r="G1375">
        <v>1339.9367675999999</v>
      </c>
      <c r="H1375">
        <v>1337.6397704999999</v>
      </c>
      <c r="I1375">
        <v>1324.7452393000001</v>
      </c>
      <c r="J1375">
        <v>1321.9298096</v>
      </c>
      <c r="K1375">
        <v>2750</v>
      </c>
      <c r="L1375">
        <v>0</v>
      </c>
      <c r="M1375">
        <v>0</v>
      </c>
      <c r="N1375">
        <v>2750</v>
      </c>
    </row>
    <row r="1376" spans="1:14" x14ac:dyDescent="0.25">
      <c r="A1376">
        <v>533.88860499999998</v>
      </c>
      <c r="B1376" s="1">
        <f>DATE(2011,10,16) + TIME(21,19,35)</f>
        <v>40832.888599537036</v>
      </c>
      <c r="C1376">
        <v>80</v>
      </c>
      <c r="D1376">
        <v>79.966529846</v>
      </c>
      <c r="E1376">
        <v>60</v>
      </c>
      <c r="F1376">
        <v>60.089954376000001</v>
      </c>
      <c r="G1376">
        <v>1339.9302978999999</v>
      </c>
      <c r="H1376">
        <v>1337.6357422000001</v>
      </c>
      <c r="I1376">
        <v>1324.739624</v>
      </c>
      <c r="J1376">
        <v>1321.9213867000001</v>
      </c>
      <c r="K1376">
        <v>2750</v>
      </c>
      <c r="L1376">
        <v>0</v>
      </c>
      <c r="M1376">
        <v>0</v>
      </c>
      <c r="N1376">
        <v>2750</v>
      </c>
    </row>
    <row r="1377" spans="1:14" x14ac:dyDescent="0.25">
      <c r="A1377">
        <v>536.68347600000004</v>
      </c>
      <c r="B1377" s="1">
        <f>DATE(2011,10,19) + TIME(16,24,12)</f>
        <v>40835.683472222219</v>
      </c>
      <c r="C1377">
        <v>80</v>
      </c>
      <c r="D1377">
        <v>79.966583252000007</v>
      </c>
      <c r="E1377">
        <v>60</v>
      </c>
      <c r="F1377">
        <v>60.353595734000002</v>
      </c>
      <c r="G1377">
        <v>1339.9238281</v>
      </c>
      <c r="H1377">
        <v>1337.6315918</v>
      </c>
      <c r="I1377">
        <v>1324.7340088000001</v>
      </c>
      <c r="J1377">
        <v>1321.9129639</v>
      </c>
      <c r="K1377">
        <v>2750</v>
      </c>
      <c r="L1377">
        <v>0</v>
      </c>
      <c r="M1377">
        <v>0</v>
      </c>
      <c r="N1377">
        <v>2750</v>
      </c>
    </row>
    <row r="1378" spans="1:14" x14ac:dyDescent="0.25">
      <c r="A1378">
        <v>539.576819</v>
      </c>
      <c r="B1378" s="1">
        <f>DATE(2011,10,22) + TIME(13,50,37)</f>
        <v>40838.576817129629</v>
      </c>
      <c r="C1378">
        <v>80</v>
      </c>
      <c r="D1378">
        <v>79.966629028</v>
      </c>
      <c r="E1378">
        <v>60</v>
      </c>
      <c r="F1378">
        <v>60.612098693999997</v>
      </c>
      <c r="G1378">
        <v>1339.9173584</v>
      </c>
      <c r="H1378">
        <v>1337.6275635</v>
      </c>
      <c r="I1378">
        <v>1324.7285156</v>
      </c>
      <c r="J1378">
        <v>1321.9046631000001</v>
      </c>
      <c r="K1378">
        <v>2750</v>
      </c>
      <c r="L1378">
        <v>0</v>
      </c>
      <c r="M1378">
        <v>0</v>
      </c>
      <c r="N1378">
        <v>2750</v>
      </c>
    </row>
    <row r="1379" spans="1:14" x14ac:dyDescent="0.25">
      <c r="A1379">
        <v>542.58790399999998</v>
      </c>
      <c r="B1379" s="1">
        <f>DATE(2011,10,25) + TIME(14,6,34)</f>
        <v>40841.587893518517</v>
      </c>
      <c r="C1379">
        <v>80</v>
      </c>
      <c r="D1379">
        <v>79.966690063000001</v>
      </c>
      <c r="E1379">
        <v>60</v>
      </c>
      <c r="F1379">
        <v>60.864368439000003</v>
      </c>
      <c r="G1379">
        <v>1339.9107666</v>
      </c>
      <c r="H1379">
        <v>1337.6234131000001</v>
      </c>
      <c r="I1379">
        <v>1324.7231445</v>
      </c>
      <c r="J1379">
        <v>1321.8963623</v>
      </c>
      <c r="K1379">
        <v>2750</v>
      </c>
      <c r="L1379">
        <v>0</v>
      </c>
      <c r="M1379">
        <v>0</v>
      </c>
      <c r="N1379">
        <v>2750</v>
      </c>
    </row>
    <row r="1380" spans="1:14" x14ac:dyDescent="0.25">
      <c r="A1380">
        <v>545.74029700000006</v>
      </c>
      <c r="B1380" s="1">
        <f>DATE(2011,10,28) + TIME(17,46,1)</f>
        <v>40844.740289351852</v>
      </c>
      <c r="C1380">
        <v>80</v>
      </c>
      <c r="D1380">
        <v>79.966743468999994</v>
      </c>
      <c r="E1380">
        <v>60</v>
      </c>
      <c r="F1380">
        <v>61.113891602000002</v>
      </c>
      <c r="G1380">
        <v>1339.9040527</v>
      </c>
      <c r="H1380">
        <v>1337.6191406</v>
      </c>
      <c r="I1380">
        <v>1324.7177733999999</v>
      </c>
      <c r="J1380">
        <v>1321.8883057</v>
      </c>
      <c r="K1380">
        <v>2750</v>
      </c>
      <c r="L1380">
        <v>0</v>
      </c>
      <c r="M1380">
        <v>0</v>
      </c>
      <c r="N1380">
        <v>2750</v>
      </c>
    </row>
    <row r="1381" spans="1:14" x14ac:dyDescent="0.25">
      <c r="A1381">
        <v>549</v>
      </c>
      <c r="B1381" s="1">
        <f>DATE(2011,11,1) + TIME(0,0,0)</f>
        <v>40848</v>
      </c>
      <c r="C1381">
        <v>80</v>
      </c>
      <c r="D1381">
        <v>79.966804503999995</v>
      </c>
      <c r="E1381">
        <v>60</v>
      </c>
      <c r="F1381">
        <v>61.356781005999999</v>
      </c>
      <c r="G1381">
        <v>1339.8972168</v>
      </c>
      <c r="H1381">
        <v>1337.6148682</v>
      </c>
      <c r="I1381">
        <v>1324.7126464999999</v>
      </c>
      <c r="J1381">
        <v>1321.8803711</v>
      </c>
      <c r="K1381">
        <v>2750</v>
      </c>
      <c r="L1381">
        <v>0</v>
      </c>
      <c r="M1381">
        <v>0</v>
      </c>
      <c r="N1381">
        <v>2750</v>
      </c>
    </row>
    <row r="1382" spans="1:14" x14ac:dyDescent="0.25">
      <c r="A1382">
        <v>549.000001</v>
      </c>
      <c r="B1382" s="1">
        <f>DATE(2011,11,1) + TIME(0,0,0)</f>
        <v>40848</v>
      </c>
      <c r="C1382">
        <v>80</v>
      </c>
      <c r="D1382">
        <v>79.966705321999996</v>
      </c>
      <c r="E1382">
        <v>60</v>
      </c>
      <c r="F1382">
        <v>61.356925963999998</v>
      </c>
      <c r="G1382">
        <v>1336.9031981999999</v>
      </c>
      <c r="H1382">
        <v>1336.1160889</v>
      </c>
      <c r="I1382">
        <v>1328.5333252</v>
      </c>
      <c r="J1382">
        <v>1325.8022461</v>
      </c>
      <c r="K1382">
        <v>0</v>
      </c>
      <c r="L1382">
        <v>2750</v>
      </c>
      <c r="M1382">
        <v>2750</v>
      </c>
      <c r="N1382">
        <v>0</v>
      </c>
    </row>
    <row r="1383" spans="1:14" x14ac:dyDescent="0.25">
      <c r="A1383">
        <v>549.00000399999999</v>
      </c>
      <c r="B1383" s="1">
        <f>DATE(2011,11,1) + TIME(0,0,0)</f>
        <v>40848</v>
      </c>
      <c r="C1383">
        <v>80</v>
      </c>
      <c r="D1383">
        <v>79.966567992999998</v>
      </c>
      <c r="E1383">
        <v>60</v>
      </c>
      <c r="F1383">
        <v>61.357120514000002</v>
      </c>
      <c r="G1383">
        <v>1335.9534911999999</v>
      </c>
      <c r="H1383">
        <v>1335.1574707</v>
      </c>
      <c r="I1383">
        <v>1329.9288329999999</v>
      </c>
      <c r="J1383">
        <v>1327.3356934000001</v>
      </c>
      <c r="K1383">
        <v>0</v>
      </c>
      <c r="L1383">
        <v>2750</v>
      </c>
      <c r="M1383">
        <v>2750</v>
      </c>
      <c r="N1383">
        <v>0</v>
      </c>
    </row>
    <row r="1384" spans="1:14" x14ac:dyDescent="0.25">
      <c r="A1384">
        <v>549.00001299999997</v>
      </c>
      <c r="B1384" s="1">
        <f>DATE(2011,11,1) + TIME(0,0,1)</f>
        <v>40848.000011574077</v>
      </c>
      <c r="C1384">
        <v>80</v>
      </c>
      <c r="D1384">
        <v>79.966430664000001</v>
      </c>
      <c r="E1384">
        <v>60</v>
      </c>
      <c r="F1384">
        <v>61.357315063000001</v>
      </c>
      <c r="G1384">
        <v>1334.9705810999999</v>
      </c>
      <c r="H1384">
        <v>1334.1431885</v>
      </c>
      <c r="I1384">
        <v>1331.6263428</v>
      </c>
      <c r="J1384">
        <v>1329.0135498</v>
      </c>
      <c r="K1384">
        <v>0</v>
      </c>
      <c r="L1384">
        <v>2750</v>
      </c>
      <c r="M1384">
        <v>2750</v>
      </c>
      <c r="N1384">
        <v>0</v>
      </c>
    </row>
    <row r="1385" spans="1:14" x14ac:dyDescent="0.25">
      <c r="A1385">
        <v>549.00004000000001</v>
      </c>
      <c r="B1385" s="1">
        <f>DATE(2011,11,1) + TIME(0,0,3)</f>
        <v>40848.000034722223</v>
      </c>
      <c r="C1385">
        <v>80</v>
      </c>
      <c r="D1385">
        <v>79.966285705999994</v>
      </c>
      <c r="E1385">
        <v>60</v>
      </c>
      <c r="F1385">
        <v>61.357460021999998</v>
      </c>
      <c r="G1385">
        <v>1333.9976807</v>
      </c>
      <c r="H1385">
        <v>1333.1223144999999</v>
      </c>
      <c r="I1385">
        <v>1333.3525391000001</v>
      </c>
      <c r="J1385">
        <v>1330.6813964999999</v>
      </c>
      <c r="K1385">
        <v>0</v>
      </c>
      <c r="L1385">
        <v>2750</v>
      </c>
      <c r="M1385">
        <v>2750</v>
      </c>
      <c r="N1385">
        <v>0</v>
      </c>
    </row>
    <row r="1386" spans="1:14" x14ac:dyDescent="0.25">
      <c r="A1386">
        <v>549.00012100000004</v>
      </c>
      <c r="B1386" s="1">
        <f>DATE(2011,11,1) + TIME(0,0,10)</f>
        <v>40848.000115740739</v>
      </c>
      <c r="C1386">
        <v>80</v>
      </c>
      <c r="D1386">
        <v>79.966133118000002</v>
      </c>
      <c r="E1386">
        <v>60</v>
      </c>
      <c r="F1386">
        <v>61.357448578000003</v>
      </c>
      <c r="G1386">
        <v>1332.9848632999999</v>
      </c>
      <c r="H1386">
        <v>1332.0441894999999</v>
      </c>
      <c r="I1386">
        <v>1335.0544434000001</v>
      </c>
      <c r="J1386">
        <v>1332.3242187999999</v>
      </c>
      <c r="K1386">
        <v>0</v>
      </c>
      <c r="L1386">
        <v>2750</v>
      </c>
      <c r="M1386">
        <v>2750</v>
      </c>
      <c r="N1386">
        <v>0</v>
      </c>
    </row>
    <row r="1387" spans="1:14" x14ac:dyDescent="0.25">
      <c r="A1387">
        <v>549.00036399999999</v>
      </c>
      <c r="B1387" s="1">
        <f>DATE(2011,11,1) + TIME(0,0,31)</f>
        <v>40848.000358796293</v>
      </c>
      <c r="C1387">
        <v>80</v>
      </c>
      <c r="D1387">
        <v>79.965934752999999</v>
      </c>
      <c r="E1387">
        <v>60</v>
      </c>
      <c r="F1387">
        <v>61.356952667000002</v>
      </c>
      <c r="G1387">
        <v>1331.8974608999999</v>
      </c>
      <c r="H1387">
        <v>1330.8813477000001</v>
      </c>
      <c r="I1387">
        <v>1336.7336425999999</v>
      </c>
      <c r="J1387">
        <v>1333.9350586</v>
      </c>
      <c r="K1387">
        <v>0</v>
      </c>
      <c r="L1387">
        <v>2750</v>
      </c>
      <c r="M1387">
        <v>2750</v>
      </c>
      <c r="N1387">
        <v>0</v>
      </c>
    </row>
    <row r="1388" spans="1:14" x14ac:dyDescent="0.25">
      <c r="A1388">
        <v>549.00109299999997</v>
      </c>
      <c r="B1388" s="1">
        <f>DATE(2011,11,1) + TIME(0,1,34)</f>
        <v>40848.001087962963</v>
      </c>
      <c r="C1388">
        <v>80</v>
      </c>
      <c r="D1388">
        <v>79.965652465999995</v>
      </c>
      <c r="E1388">
        <v>60</v>
      </c>
      <c r="F1388">
        <v>61.354969025000003</v>
      </c>
      <c r="G1388">
        <v>1330.8249512</v>
      </c>
      <c r="H1388">
        <v>1329.7421875</v>
      </c>
      <c r="I1388">
        <v>1338.2728271000001</v>
      </c>
      <c r="J1388">
        <v>1335.4023437999999</v>
      </c>
      <c r="K1388">
        <v>0</v>
      </c>
      <c r="L1388">
        <v>2750</v>
      </c>
      <c r="M1388">
        <v>2750</v>
      </c>
      <c r="N1388">
        <v>0</v>
      </c>
    </row>
    <row r="1389" spans="1:14" x14ac:dyDescent="0.25">
      <c r="A1389">
        <v>549.00328000000002</v>
      </c>
      <c r="B1389" s="1">
        <f>DATE(2011,11,1) + TIME(0,4,43)</f>
        <v>40848.003275462965</v>
      </c>
      <c r="C1389">
        <v>80</v>
      </c>
      <c r="D1389">
        <v>79.965141295999999</v>
      </c>
      <c r="E1389">
        <v>60</v>
      </c>
      <c r="F1389">
        <v>61.348495483000001</v>
      </c>
      <c r="G1389">
        <v>1329.9842529</v>
      </c>
      <c r="H1389">
        <v>1328.8637695</v>
      </c>
      <c r="I1389">
        <v>1339.4117432</v>
      </c>
      <c r="J1389">
        <v>1336.4909668</v>
      </c>
      <c r="K1389">
        <v>0</v>
      </c>
      <c r="L1389">
        <v>2750</v>
      </c>
      <c r="M1389">
        <v>2750</v>
      </c>
      <c r="N1389">
        <v>0</v>
      </c>
    </row>
    <row r="1390" spans="1:14" x14ac:dyDescent="0.25">
      <c r="A1390">
        <v>549.00984100000005</v>
      </c>
      <c r="B1390" s="1">
        <f>DATE(2011,11,1) + TIME(0,14,10)</f>
        <v>40848.009837962964</v>
      </c>
      <c r="C1390">
        <v>80</v>
      </c>
      <c r="D1390">
        <v>79.963905334000003</v>
      </c>
      <c r="E1390">
        <v>60</v>
      </c>
      <c r="F1390">
        <v>61.328884125000002</v>
      </c>
      <c r="G1390">
        <v>1329.5239257999999</v>
      </c>
      <c r="H1390">
        <v>1328.3911132999999</v>
      </c>
      <c r="I1390">
        <v>1339.9683838000001</v>
      </c>
      <c r="J1390">
        <v>1337.0301514</v>
      </c>
      <c r="K1390">
        <v>0</v>
      </c>
      <c r="L1390">
        <v>2750</v>
      </c>
      <c r="M1390">
        <v>2750</v>
      </c>
      <c r="N1390">
        <v>0</v>
      </c>
    </row>
    <row r="1391" spans="1:14" x14ac:dyDescent="0.25">
      <c r="A1391">
        <v>549.02952400000004</v>
      </c>
      <c r="B1391" s="1">
        <f>DATE(2011,11,1) + TIME(0,42,30)</f>
        <v>40848.029513888891</v>
      </c>
      <c r="C1391">
        <v>80</v>
      </c>
      <c r="D1391">
        <v>79.960411071999999</v>
      </c>
      <c r="E1391">
        <v>60</v>
      </c>
      <c r="F1391">
        <v>61.272510529000002</v>
      </c>
      <c r="G1391">
        <v>1329.3808594</v>
      </c>
      <c r="H1391">
        <v>1328.244751</v>
      </c>
      <c r="I1391">
        <v>1340.0715332</v>
      </c>
      <c r="J1391">
        <v>1337.1418457</v>
      </c>
      <c r="K1391">
        <v>0</v>
      </c>
      <c r="L1391">
        <v>2750</v>
      </c>
      <c r="M1391">
        <v>2750</v>
      </c>
      <c r="N1391">
        <v>0</v>
      </c>
    </row>
    <row r="1392" spans="1:14" x14ac:dyDescent="0.25">
      <c r="A1392">
        <v>549.05669499999999</v>
      </c>
      <c r="B1392" s="1">
        <f>DATE(2011,11,1) + TIME(1,21,38)</f>
        <v>40848.056689814817</v>
      </c>
      <c r="C1392">
        <v>80</v>
      </c>
      <c r="D1392">
        <v>79.955673218000001</v>
      </c>
      <c r="E1392">
        <v>60</v>
      </c>
      <c r="F1392">
        <v>61.199428558000001</v>
      </c>
      <c r="G1392">
        <v>1329.3585204999999</v>
      </c>
      <c r="H1392">
        <v>1328.2202147999999</v>
      </c>
      <c r="I1392">
        <v>1340.0494385</v>
      </c>
      <c r="J1392">
        <v>1337.1322021000001</v>
      </c>
      <c r="K1392">
        <v>0</v>
      </c>
      <c r="L1392">
        <v>2750</v>
      </c>
      <c r="M1392">
        <v>2750</v>
      </c>
      <c r="N1392">
        <v>0</v>
      </c>
    </row>
    <row r="1393" spans="1:14" x14ac:dyDescent="0.25">
      <c r="A1393">
        <v>549.08442100000002</v>
      </c>
      <c r="B1393" s="1">
        <f>DATE(2011,11,1) + TIME(2,1,33)</f>
        <v>40848.084409722222</v>
      </c>
      <c r="C1393">
        <v>80</v>
      </c>
      <c r="D1393">
        <v>79.950881957999997</v>
      </c>
      <c r="E1393">
        <v>60</v>
      </c>
      <c r="F1393">
        <v>61.129394531000003</v>
      </c>
      <c r="G1393">
        <v>1329.3520507999999</v>
      </c>
      <c r="H1393">
        <v>1328.2114257999999</v>
      </c>
      <c r="I1393">
        <v>1340.0263672000001</v>
      </c>
      <c r="J1393">
        <v>1337.1185303</v>
      </c>
      <c r="K1393">
        <v>0</v>
      </c>
      <c r="L1393">
        <v>2750</v>
      </c>
      <c r="M1393">
        <v>2750</v>
      </c>
      <c r="N1393">
        <v>0</v>
      </c>
    </row>
    <row r="1394" spans="1:14" x14ac:dyDescent="0.25">
      <c r="A1394">
        <v>549.11275499999999</v>
      </c>
      <c r="B1394" s="1">
        <f>DATE(2011,11,1) + TIME(2,42,22)</f>
        <v>40848.112754629627</v>
      </c>
      <c r="C1394">
        <v>80</v>
      </c>
      <c r="D1394">
        <v>79.946022033999995</v>
      </c>
      <c r="E1394">
        <v>60</v>
      </c>
      <c r="F1394">
        <v>61.062240600999999</v>
      </c>
      <c r="G1394">
        <v>1329.3475341999999</v>
      </c>
      <c r="H1394">
        <v>1328.2047118999999</v>
      </c>
      <c r="I1394">
        <v>1340.005249</v>
      </c>
      <c r="J1394">
        <v>1337.1058350000001</v>
      </c>
      <c r="K1394">
        <v>0</v>
      </c>
      <c r="L1394">
        <v>2750</v>
      </c>
      <c r="M1394">
        <v>2750</v>
      </c>
      <c r="N1394">
        <v>0</v>
      </c>
    </row>
    <row r="1395" spans="1:14" x14ac:dyDescent="0.25">
      <c r="A1395">
        <v>549.14173800000003</v>
      </c>
      <c r="B1395" s="1">
        <f>DATE(2011,11,1) + TIME(3,24,6)</f>
        <v>40848.141736111109</v>
      </c>
      <c r="C1395">
        <v>80</v>
      </c>
      <c r="D1395">
        <v>79.941085814999994</v>
      </c>
      <c r="E1395">
        <v>60</v>
      </c>
      <c r="F1395">
        <v>60.997833252</v>
      </c>
      <c r="G1395">
        <v>1329.3432617000001</v>
      </c>
      <c r="H1395">
        <v>1328.1981201000001</v>
      </c>
      <c r="I1395">
        <v>1339.9860839999999</v>
      </c>
      <c r="J1395">
        <v>1337.0944824000001</v>
      </c>
      <c r="K1395">
        <v>0</v>
      </c>
      <c r="L1395">
        <v>2750</v>
      </c>
      <c r="M1395">
        <v>2750</v>
      </c>
      <c r="N1395">
        <v>0</v>
      </c>
    </row>
    <row r="1396" spans="1:14" x14ac:dyDescent="0.25">
      <c r="A1396">
        <v>549.17141300000003</v>
      </c>
      <c r="B1396" s="1">
        <f>DATE(2011,11,1) + TIME(4,6,50)</f>
        <v>40848.171412037038</v>
      </c>
      <c r="C1396">
        <v>80</v>
      </c>
      <c r="D1396">
        <v>79.936073303000001</v>
      </c>
      <c r="E1396">
        <v>60</v>
      </c>
      <c r="F1396">
        <v>60.936069488999998</v>
      </c>
      <c r="G1396">
        <v>1329.3391113</v>
      </c>
      <c r="H1396">
        <v>1328.1915283000001</v>
      </c>
      <c r="I1396">
        <v>1339.96875</v>
      </c>
      <c r="J1396">
        <v>1337.0843506000001</v>
      </c>
      <c r="K1396">
        <v>0</v>
      </c>
      <c r="L1396">
        <v>2750</v>
      </c>
      <c r="M1396">
        <v>2750</v>
      </c>
      <c r="N1396">
        <v>0</v>
      </c>
    </row>
    <row r="1397" spans="1:14" x14ac:dyDescent="0.25">
      <c r="A1397">
        <v>549.20180900000003</v>
      </c>
      <c r="B1397" s="1">
        <f>DATE(2011,11,1) + TIME(4,50,36)</f>
        <v>40848.201805555553</v>
      </c>
      <c r="C1397">
        <v>80</v>
      </c>
      <c r="D1397">
        <v>79.930976868000002</v>
      </c>
      <c r="E1397">
        <v>60</v>
      </c>
      <c r="F1397">
        <v>60.876869202000002</v>
      </c>
      <c r="G1397">
        <v>1329.3348389</v>
      </c>
      <c r="H1397">
        <v>1328.1850586</v>
      </c>
      <c r="I1397">
        <v>1339.9533690999999</v>
      </c>
      <c r="J1397">
        <v>1337.0753173999999</v>
      </c>
      <c r="K1397">
        <v>0</v>
      </c>
      <c r="L1397">
        <v>2750</v>
      </c>
      <c r="M1397">
        <v>2750</v>
      </c>
      <c r="N1397">
        <v>0</v>
      </c>
    </row>
    <row r="1398" spans="1:14" x14ac:dyDescent="0.25">
      <c r="A1398">
        <v>549.23298799999998</v>
      </c>
      <c r="B1398" s="1">
        <f>DATE(2011,11,1) + TIME(5,35,30)</f>
        <v>40848.232986111114</v>
      </c>
      <c r="C1398">
        <v>80</v>
      </c>
      <c r="D1398">
        <v>79.925788878999995</v>
      </c>
      <c r="E1398">
        <v>60</v>
      </c>
      <c r="F1398">
        <v>60.820110321000001</v>
      </c>
      <c r="G1398">
        <v>1329.3305664</v>
      </c>
      <c r="H1398">
        <v>1328.1784668</v>
      </c>
      <c r="I1398">
        <v>1339.9395752</v>
      </c>
      <c r="J1398">
        <v>1337.0673827999999</v>
      </c>
      <c r="K1398">
        <v>0</v>
      </c>
      <c r="L1398">
        <v>2750</v>
      </c>
      <c r="M1398">
        <v>2750</v>
      </c>
      <c r="N1398">
        <v>0</v>
      </c>
    </row>
    <row r="1399" spans="1:14" x14ac:dyDescent="0.25">
      <c r="A1399">
        <v>549.26500699999997</v>
      </c>
      <c r="B1399" s="1">
        <f>DATE(2011,11,1) + TIME(6,21,36)</f>
        <v>40848.264999999999</v>
      </c>
      <c r="C1399">
        <v>80</v>
      </c>
      <c r="D1399">
        <v>79.920509338000002</v>
      </c>
      <c r="E1399">
        <v>60</v>
      </c>
      <c r="F1399">
        <v>60.765705109000002</v>
      </c>
      <c r="G1399">
        <v>1329.3261719</v>
      </c>
      <c r="H1399">
        <v>1328.1717529</v>
      </c>
      <c r="I1399">
        <v>1339.9274902</v>
      </c>
      <c r="J1399">
        <v>1337.0604248</v>
      </c>
      <c r="K1399">
        <v>0</v>
      </c>
      <c r="L1399">
        <v>2750</v>
      </c>
      <c r="M1399">
        <v>2750</v>
      </c>
      <c r="N1399">
        <v>0</v>
      </c>
    </row>
    <row r="1400" spans="1:14" x14ac:dyDescent="0.25">
      <c r="A1400">
        <v>549.29792399999997</v>
      </c>
      <c r="B1400" s="1">
        <f>DATE(2011,11,1) + TIME(7,9,0)</f>
        <v>40848.29791666667</v>
      </c>
      <c r="C1400">
        <v>80</v>
      </c>
      <c r="D1400">
        <v>79.915122986</v>
      </c>
      <c r="E1400">
        <v>60</v>
      </c>
      <c r="F1400">
        <v>60.713565826</v>
      </c>
      <c r="G1400">
        <v>1329.3218993999999</v>
      </c>
      <c r="H1400">
        <v>1328.1650391000001</v>
      </c>
      <c r="I1400">
        <v>1339.9169922000001</v>
      </c>
      <c r="J1400">
        <v>1337.0545654</v>
      </c>
      <c r="K1400">
        <v>0</v>
      </c>
      <c r="L1400">
        <v>2750</v>
      </c>
      <c r="M1400">
        <v>2750</v>
      </c>
      <c r="N1400">
        <v>0</v>
      </c>
    </row>
    <row r="1401" spans="1:14" x14ac:dyDescent="0.25">
      <c r="A1401">
        <v>549.33180400000003</v>
      </c>
      <c r="B1401" s="1">
        <f>DATE(2011,11,1) + TIME(7,57,47)</f>
        <v>40848.331793981481</v>
      </c>
      <c r="C1401">
        <v>80</v>
      </c>
      <c r="D1401">
        <v>79.909629821999999</v>
      </c>
      <c r="E1401">
        <v>60</v>
      </c>
      <c r="F1401">
        <v>60.663627624999997</v>
      </c>
      <c r="G1401">
        <v>1329.3175048999999</v>
      </c>
      <c r="H1401">
        <v>1328.1583252</v>
      </c>
      <c r="I1401">
        <v>1339.9079589999999</v>
      </c>
      <c r="J1401">
        <v>1337.0495605000001</v>
      </c>
      <c r="K1401">
        <v>0</v>
      </c>
      <c r="L1401">
        <v>2750</v>
      </c>
      <c r="M1401">
        <v>2750</v>
      </c>
      <c r="N1401">
        <v>0</v>
      </c>
    </row>
    <row r="1402" spans="1:14" x14ac:dyDescent="0.25">
      <c r="A1402">
        <v>549.36670900000001</v>
      </c>
      <c r="B1402" s="1">
        <f>DATE(2011,11,1) + TIME(8,48,3)</f>
        <v>40848.366701388892</v>
      </c>
      <c r="C1402">
        <v>80</v>
      </c>
      <c r="D1402">
        <v>79.904014587000006</v>
      </c>
      <c r="E1402">
        <v>60</v>
      </c>
      <c r="F1402">
        <v>60.615825653000002</v>
      </c>
      <c r="G1402">
        <v>1329.3131103999999</v>
      </c>
      <c r="H1402">
        <v>1328.1516113</v>
      </c>
      <c r="I1402">
        <v>1339.9003906</v>
      </c>
      <c r="J1402">
        <v>1337.0454102000001</v>
      </c>
      <c r="K1402">
        <v>0</v>
      </c>
      <c r="L1402">
        <v>2750</v>
      </c>
      <c r="M1402">
        <v>2750</v>
      </c>
      <c r="N1402">
        <v>0</v>
      </c>
    </row>
    <row r="1403" spans="1:14" x14ac:dyDescent="0.25">
      <c r="A1403">
        <v>549.40271800000005</v>
      </c>
      <c r="B1403" s="1">
        <f>DATE(2011,11,1) + TIME(9,39,54)</f>
        <v>40848.402708333335</v>
      </c>
      <c r="C1403">
        <v>80</v>
      </c>
      <c r="D1403">
        <v>79.898269653</v>
      </c>
      <c r="E1403">
        <v>60</v>
      </c>
      <c r="F1403">
        <v>60.570091247999997</v>
      </c>
      <c r="G1403">
        <v>1329.3085937999999</v>
      </c>
      <c r="H1403">
        <v>1328.1446533000001</v>
      </c>
      <c r="I1403">
        <v>1339.8942870999999</v>
      </c>
      <c r="J1403">
        <v>1337.0422363</v>
      </c>
      <c r="K1403">
        <v>0</v>
      </c>
      <c r="L1403">
        <v>2750</v>
      </c>
      <c r="M1403">
        <v>2750</v>
      </c>
      <c r="N1403">
        <v>0</v>
      </c>
    </row>
    <row r="1404" spans="1:14" x14ac:dyDescent="0.25">
      <c r="A1404">
        <v>549.43991600000004</v>
      </c>
      <c r="B1404" s="1">
        <f>DATE(2011,11,1) + TIME(10,33,28)</f>
        <v>40848.43990740741</v>
      </c>
      <c r="C1404">
        <v>80</v>
      </c>
      <c r="D1404">
        <v>79.892387389999996</v>
      </c>
      <c r="E1404">
        <v>60</v>
      </c>
      <c r="F1404">
        <v>60.526374816999997</v>
      </c>
      <c r="G1404">
        <v>1329.3039550999999</v>
      </c>
      <c r="H1404">
        <v>1328.1376952999999</v>
      </c>
      <c r="I1404">
        <v>1339.8894043</v>
      </c>
      <c r="J1404">
        <v>1337.0397949000001</v>
      </c>
      <c r="K1404">
        <v>0</v>
      </c>
      <c r="L1404">
        <v>2750</v>
      </c>
      <c r="M1404">
        <v>2750</v>
      </c>
      <c r="N1404">
        <v>0</v>
      </c>
    </row>
    <row r="1405" spans="1:14" x14ac:dyDescent="0.25">
      <c r="A1405">
        <v>549.47838000000002</v>
      </c>
      <c r="B1405" s="1">
        <f>DATE(2011,11,1) + TIME(11,28,52)</f>
        <v>40848.478379629632</v>
      </c>
      <c r="C1405">
        <v>80</v>
      </c>
      <c r="D1405">
        <v>79.886352539000001</v>
      </c>
      <c r="E1405">
        <v>60</v>
      </c>
      <c r="F1405">
        <v>60.484626769999998</v>
      </c>
      <c r="G1405">
        <v>1329.2994385</v>
      </c>
      <c r="H1405">
        <v>1328.1306152</v>
      </c>
      <c r="I1405">
        <v>1339.8857422000001</v>
      </c>
      <c r="J1405">
        <v>1337.0382079999999</v>
      </c>
      <c r="K1405">
        <v>0</v>
      </c>
      <c r="L1405">
        <v>2750</v>
      </c>
      <c r="M1405">
        <v>2750</v>
      </c>
      <c r="N1405">
        <v>0</v>
      </c>
    </row>
    <row r="1406" spans="1:14" x14ac:dyDescent="0.25">
      <c r="A1406">
        <v>549.51820099999998</v>
      </c>
      <c r="B1406" s="1">
        <f>DATE(2011,11,1) + TIME(12,26,12)</f>
        <v>40848.518194444441</v>
      </c>
      <c r="C1406">
        <v>80</v>
      </c>
      <c r="D1406">
        <v>79.880165099999999</v>
      </c>
      <c r="E1406">
        <v>60</v>
      </c>
      <c r="F1406">
        <v>60.444816588999998</v>
      </c>
      <c r="G1406">
        <v>1329.2946777</v>
      </c>
      <c r="H1406">
        <v>1328.1234131000001</v>
      </c>
      <c r="I1406">
        <v>1339.8834228999999</v>
      </c>
      <c r="J1406">
        <v>1337.0372314000001</v>
      </c>
      <c r="K1406">
        <v>0</v>
      </c>
      <c r="L1406">
        <v>2750</v>
      </c>
      <c r="M1406">
        <v>2750</v>
      </c>
      <c r="N1406">
        <v>0</v>
      </c>
    </row>
    <row r="1407" spans="1:14" x14ac:dyDescent="0.25">
      <c r="A1407">
        <v>549.559484</v>
      </c>
      <c r="B1407" s="1">
        <f>DATE(2011,11,1) + TIME(13,25,39)</f>
        <v>40848.559479166666</v>
      </c>
      <c r="C1407">
        <v>80</v>
      </c>
      <c r="D1407">
        <v>79.873809813999998</v>
      </c>
      <c r="E1407">
        <v>60</v>
      </c>
      <c r="F1407">
        <v>60.406894684000001</v>
      </c>
      <c r="G1407">
        <v>1329.2899170000001</v>
      </c>
      <c r="H1407">
        <v>1328.1162108999999</v>
      </c>
      <c r="I1407">
        <v>1339.8820800999999</v>
      </c>
      <c r="J1407">
        <v>1337.0371094</v>
      </c>
      <c r="K1407">
        <v>0</v>
      </c>
      <c r="L1407">
        <v>2750</v>
      </c>
      <c r="M1407">
        <v>2750</v>
      </c>
      <c r="N1407">
        <v>0</v>
      </c>
    </row>
    <row r="1408" spans="1:14" x14ac:dyDescent="0.25">
      <c r="A1408">
        <v>549.60234600000001</v>
      </c>
      <c r="B1408" s="1">
        <f>DATE(2011,11,1) + TIME(14,27,22)</f>
        <v>40848.602337962962</v>
      </c>
      <c r="C1408">
        <v>80</v>
      </c>
      <c r="D1408">
        <v>79.867263793999996</v>
      </c>
      <c r="E1408">
        <v>60</v>
      </c>
      <c r="F1408">
        <v>60.370822906000001</v>
      </c>
      <c r="G1408">
        <v>1329.2850341999999</v>
      </c>
      <c r="H1408">
        <v>1328.1087646000001</v>
      </c>
      <c r="I1408">
        <v>1339.8818358999999</v>
      </c>
      <c r="J1408">
        <v>1337.0375977000001</v>
      </c>
      <c r="K1408">
        <v>0</v>
      </c>
      <c r="L1408">
        <v>2750</v>
      </c>
      <c r="M1408">
        <v>2750</v>
      </c>
      <c r="N1408">
        <v>0</v>
      </c>
    </row>
    <row r="1409" spans="1:14" x14ac:dyDescent="0.25">
      <c r="A1409">
        <v>549.64691800000003</v>
      </c>
      <c r="B1409" s="1">
        <f>DATE(2011,11,1) + TIME(15,31,33)</f>
        <v>40848.646909722222</v>
      </c>
      <c r="C1409">
        <v>80</v>
      </c>
      <c r="D1409">
        <v>79.860527039000004</v>
      </c>
      <c r="E1409">
        <v>60</v>
      </c>
      <c r="F1409">
        <v>60.336566925</v>
      </c>
      <c r="G1409">
        <v>1329.2800293</v>
      </c>
      <c r="H1409">
        <v>1328.1011963000001</v>
      </c>
      <c r="I1409">
        <v>1339.8825684000001</v>
      </c>
      <c r="J1409">
        <v>1337.0386963000001</v>
      </c>
      <c r="K1409">
        <v>0</v>
      </c>
      <c r="L1409">
        <v>2750</v>
      </c>
      <c r="M1409">
        <v>2750</v>
      </c>
      <c r="N1409">
        <v>0</v>
      </c>
    </row>
    <row r="1410" spans="1:14" x14ac:dyDescent="0.25">
      <c r="A1410">
        <v>549.69334400000002</v>
      </c>
      <c r="B1410" s="1">
        <f>DATE(2011,11,1) + TIME(16,38,24)</f>
        <v>40848.693333333336</v>
      </c>
      <c r="C1410">
        <v>80</v>
      </c>
      <c r="D1410">
        <v>79.853576660000002</v>
      </c>
      <c r="E1410">
        <v>60</v>
      </c>
      <c r="F1410">
        <v>60.304084778000004</v>
      </c>
      <c r="G1410">
        <v>1329.2750243999999</v>
      </c>
      <c r="H1410">
        <v>1328.0933838000001</v>
      </c>
      <c r="I1410">
        <v>1339.8841553</v>
      </c>
      <c r="J1410">
        <v>1337.0404053</v>
      </c>
      <c r="K1410">
        <v>0</v>
      </c>
      <c r="L1410">
        <v>2750</v>
      </c>
      <c r="M1410">
        <v>2750</v>
      </c>
      <c r="N1410">
        <v>0</v>
      </c>
    </row>
    <row r="1411" spans="1:14" x14ac:dyDescent="0.25">
      <c r="A1411">
        <v>549.74178600000005</v>
      </c>
      <c r="B1411" s="1">
        <f>DATE(2011,11,1) + TIME(17,48,10)</f>
        <v>40848.741782407407</v>
      </c>
      <c r="C1411">
        <v>80</v>
      </c>
      <c r="D1411">
        <v>79.846389771000005</v>
      </c>
      <c r="E1411">
        <v>60</v>
      </c>
      <c r="F1411">
        <v>60.273353577000002</v>
      </c>
      <c r="G1411">
        <v>1329.2697754000001</v>
      </c>
      <c r="H1411">
        <v>1328.0855713000001</v>
      </c>
      <c r="I1411">
        <v>1339.8865966999999</v>
      </c>
      <c r="J1411">
        <v>1337.0426024999999</v>
      </c>
      <c r="K1411">
        <v>0</v>
      </c>
      <c r="L1411">
        <v>2750</v>
      </c>
      <c r="M1411">
        <v>2750</v>
      </c>
      <c r="N1411">
        <v>0</v>
      </c>
    </row>
    <row r="1412" spans="1:14" x14ac:dyDescent="0.25">
      <c r="A1412">
        <v>549.79242599999998</v>
      </c>
      <c r="B1412" s="1">
        <f>DATE(2011,11,1) + TIME(19,1,5)</f>
        <v>40848.79241898148</v>
      </c>
      <c r="C1412">
        <v>80</v>
      </c>
      <c r="D1412">
        <v>79.838951111</v>
      </c>
      <c r="E1412">
        <v>60</v>
      </c>
      <c r="F1412">
        <v>60.244338988999999</v>
      </c>
      <c r="G1412">
        <v>1329.2644043</v>
      </c>
      <c r="H1412">
        <v>1328.0773925999999</v>
      </c>
      <c r="I1412">
        <v>1339.8898925999999</v>
      </c>
      <c r="J1412">
        <v>1337.0452881000001</v>
      </c>
      <c r="K1412">
        <v>0</v>
      </c>
      <c r="L1412">
        <v>2750</v>
      </c>
      <c r="M1412">
        <v>2750</v>
      </c>
      <c r="N1412">
        <v>0</v>
      </c>
    </row>
    <row r="1413" spans="1:14" x14ac:dyDescent="0.25">
      <c r="A1413">
        <v>549.84546599999999</v>
      </c>
      <c r="B1413" s="1">
        <f>DATE(2011,11,1) + TIME(20,17,28)</f>
        <v>40848.845462962963</v>
      </c>
      <c r="C1413">
        <v>80</v>
      </c>
      <c r="D1413">
        <v>79.831237793</v>
      </c>
      <c r="E1413">
        <v>60</v>
      </c>
      <c r="F1413">
        <v>60.217014313</v>
      </c>
      <c r="G1413">
        <v>1329.2589111</v>
      </c>
      <c r="H1413">
        <v>1328.0690918</v>
      </c>
      <c r="I1413">
        <v>1339.8937988</v>
      </c>
      <c r="J1413">
        <v>1337.0484618999999</v>
      </c>
      <c r="K1413">
        <v>0</v>
      </c>
      <c r="L1413">
        <v>2750</v>
      </c>
      <c r="M1413">
        <v>2750</v>
      </c>
      <c r="N1413">
        <v>0</v>
      </c>
    </row>
    <row r="1414" spans="1:14" x14ac:dyDescent="0.25">
      <c r="A1414">
        <v>549.90114000000005</v>
      </c>
      <c r="B1414" s="1">
        <f>DATE(2011,11,1) + TIME(21,37,38)</f>
        <v>40848.901134259257</v>
      </c>
      <c r="C1414">
        <v>80</v>
      </c>
      <c r="D1414">
        <v>79.823226929</v>
      </c>
      <c r="E1414">
        <v>60</v>
      </c>
      <c r="F1414">
        <v>60.191349029999998</v>
      </c>
      <c r="G1414">
        <v>1329.2532959</v>
      </c>
      <c r="H1414">
        <v>1328.0605469</v>
      </c>
      <c r="I1414">
        <v>1339.8984375</v>
      </c>
      <c r="J1414">
        <v>1337.052124</v>
      </c>
      <c r="K1414">
        <v>0</v>
      </c>
      <c r="L1414">
        <v>2750</v>
      </c>
      <c r="M1414">
        <v>2750</v>
      </c>
      <c r="N1414">
        <v>0</v>
      </c>
    </row>
    <row r="1415" spans="1:14" x14ac:dyDescent="0.25">
      <c r="A1415">
        <v>549.95970199999999</v>
      </c>
      <c r="B1415" s="1">
        <f>DATE(2011,11,1) + TIME(23,1,58)</f>
        <v>40848.959699074076</v>
      </c>
      <c r="C1415">
        <v>80</v>
      </c>
      <c r="D1415">
        <v>79.814887999999996</v>
      </c>
      <c r="E1415">
        <v>60</v>
      </c>
      <c r="F1415">
        <v>60.167327880999999</v>
      </c>
      <c r="G1415">
        <v>1329.2474365</v>
      </c>
      <c r="H1415">
        <v>1328.0516356999999</v>
      </c>
      <c r="I1415">
        <v>1339.9035644999999</v>
      </c>
      <c r="J1415">
        <v>1337.0560303</v>
      </c>
      <c r="K1415">
        <v>0</v>
      </c>
      <c r="L1415">
        <v>2750</v>
      </c>
      <c r="M1415">
        <v>2750</v>
      </c>
      <c r="N1415">
        <v>0</v>
      </c>
    </row>
    <row r="1416" spans="1:14" x14ac:dyDescent="0.25">
      <c r="A1416">
        <v>550.02145399999995</v>
      </c>
      <c r="B1416" s="1">
        <f>DATE(2011,11,2) + TIME(0,30,53)</f>
        <v>40849.02144675926</v>
      </c>
      <c r="C1416">
        <v>80</v>
      </c>
      <c r="D1416">
        <v>79.806190490999995</v>
      </c>
      <c r="E1416">
        <v>60</v>
      </c>
      <c r="F1416">
        <v>60.144920349000003</v>
      </c>
      <c r="G1416">
        <v>1329.2413329999999</v>
      </c>
      <c r="H1416">
        <v>1328.0424805</v>
      </c>
      <c r="I1416">
        <v>1339.9091797000001</v>
      </c>
      <c r="J1416">
        <v>1337.0603027</v>
      </c>
      <c r="K1416">
        <v>0</v>
      </c>
      <c r="L1416">
        <v>2750</v>
      </c>
      <c r="M1416">
        <v>2750</v>
      </c>
      <c r="N1416">
        <v>0</v>
      </c>
    </row>
    <row r="1417" spans="1:14" x14ac:dyDescent="0.25">
      <c r="A1417">
        <v>550.08675000000005</v>
      </c>
      <c r="B1417" s="1">
        <f>DATE(2011,11,2) + TIME(2,4,55)</f>
        <v>40849.086747685185</v>
      </c>
      <c r="C1417">
        <v>80</v>
      </c>
      <c r="D1417">
        <v>79.797088622999993</v>
      </c>
      <c r="E1417">
        <v>60</v>
      </c>
      <c r="F1417">
        <v>60.124095916999998</v>
      </c>
      <c r="G1417">
        <v>1329.2349853999999</v>
      </c>
      <c r="H1417">
        <v>1328.0329589999999</v>
      </c>
      <c r="I1417">
        <v>1339.9151611</v>
      </c>
      <c r="J1417">
        <v>1337.0648193</v>
      </c>
      <c r="K1417">
        <v>0</v>
      </c>
      <c r="L1417">
        <v>2750</v>
      </c>
      <c r="M1417">
        <v>2750</v>
      </c>
      <c r="N1417">
        <v>0</v>
      </c>
    </row>
    <row r="1418" spans="1:14" x14ac:dyDescent="0.25">
      <c r="A1418">
        <v>550.15599299999997</v>
      </c>
      <c r="B1418" s="1">
        <f>DATE(2011,11,2) + TIME(3,44,37)</f>
        <v>40849.1559837963</v>
      </c>
      <c r="C1418">
        <v>80</v>
      </c>
      <c r="D1418">
        <v>79.787551879999995</v>
      </c>
      <c r="E1418">
        <v>60</v>
      </c>
      <c r="F1418">
        <v>60.104827880999999</v>
      </c>
      <c r="G1418">
        <v>1329.2285156</v>
      </c>
      <c r="H1418">
        <v>1328.0231934000001</v>
      </c>
      <c r="I1418">
        <v>1339.9215088000001</v>
      </c>
      <c r="J1418">
        <v>1337.0694579999999</v>
      </c>
      <c r="K1418">
        <v>0</v>
      </c>
      <c r="L1418">
        <v>2750</v>
      </c>
      <c r="M1418">
        <v>2750</v>
      </c>
      <c r="N1418">
        <v>0</v>
      </c>
    </row>
    <row r="1419" spans="1:14" x14ac:dyDescent="0.25">
      <c r="A1419">
        <v>550.22965499999998</v>
      </c>
      <c r="B1419" s="1">
        <f>DATE(2011,11,2) + TIME(5,30,42)</f>
        <v>40849.22965277778</v>
      </c>
      <c r="C1419">
        <v>80</v>
      </c>
      <c r="D1419">
        <v>79.777519225999995</v>
      </c>
      <c r="E1419">
        <v>60</v>
      </c>
      <c r="F1419">
        <v>60.087089538999997</v>
      </c>
      <c r="G1419">
        <v>1329.2216797000001</v>
      </c>
      <c r="H1419">
        <v>1328.0128173999999</v>
      </c>
      <c r="I1419">
        <v>1339.9281006000001</v>
      </c>
      <c r="J1419">
        <v>1337.0743408000001</v>
      </c>
      <c r="K1419">
        <v>0</v>
      </c>
      <c r="L1419">
        <v>2750</v>
      </c>
      <c r="M1419">
        <v>2750</v>
      </c>
      <c r="N1419">
        <v>0</v>
      </c>
    </row>
    <row r="1420" spans="1:14" x14ac:dyDescent="0.25">
      <c r="A1420">
        <v>550.30829300000005</v>
      </c>
      <c r="B1420" s="1">
        <f>DATE(2011,11,2) + TIME(7,23,56)</f>
        <v>40849.308287037034</v>
      </c>
      <c r="C1420">
        <v>80</v>
      </c>
      <c r="D1420">
        <v>79.766937256000006</v>
      </c>
      <c r="E1420">
        <v>60</v>
      </c>
      <c r="F1420">
        <v>60.070850372000002</v>
      </c>
      <c r="G1420">
        <v>1329.2144774999999</v>
      </c>
      <c r="H1420">
        <v>1328.0020752</v>
      </c>
      <c r="I1420">
        <v>1339.9346923999999</v>
      </c>
      <c r="J1420">
        <v>1337.0793457</v>
      </c>
      <c r="K1420">
        <v>0</v>
      </c>
      <c r="L1420">
        <v>2750</v>
      </c>
      <c r="M1420">
        <v>2750</v>
      </c>
      <c r="N1420">
        <v>0</v>
      </c>
    </row>
    <row r="1421" spans="1:14" x14ac:dyDescent="0.25">
      <c r="A1421">
        <v>550.39256999999998</v>
      </c>
      <c r="B1421" s="1">
        <f>DATE(2011,11,2) + TIME(9,25,18)</f>
        <v>40849.392569444448</v>
      </c>
      <c r="C1421">
        <v>80</v>
      </c>
      <c r="D1421">
        <v>79.755737304999997</v>
      </c>
      <c r="E1421">
        <v>60</v>
      </c>
      <c r="F1421">
        <v>60.056079865000001</v>
      </c>
      <c r="G1421">
        <v>1329.2070312000001</v>
      </c>
      <c r="H1421">
        <v>1327.9908447</v>
      </c>
      <c r="I1421">
        <v>1339.9414062000001</v>
      </c>
      <c r="J1421">
        <v>1337.0843506000001</v>
      </c>
      <c r="K1421">
        <v>0</v>
      </c>
      <c r="L1421">
        <v>2750</v>
      </c>
      <c r="M1421">
        <v>2750</v>
      </c>
      <c r="N1421">
        <v>0</v>
      </c>
    </row>
    <row r="1422" spans="1:14" x14ac:dyDescent="0.25">
      <c r="A1422">
        <v>550.48328400000003</v>
      </c>
      <c r="B1422" s="1">
        <f>DATE(2011,11,2) + TIME(11,35,55)</f>
        <v>40849.483275462961</v>
      </c>
      <c r="C1422">
        <v>80</v>
      </c>
      <c r="D1422">
        <v>79.743835449000002</v>
      </c>
      <c r="E1422">
        <v>60</v>
      </c>
      <c r="F1422">
        <v>60.042736052999999</v>
      </c>
      <c r="G1422">
        <v>1329.1990966999999</v>
      </c>
      <c r="H1422">
        <v>1327.9790039</v>
      </c>
      <c r="I1422">
        <v>1339.9479980000001</v>
      </c>
      <c r="J1422">
        <v>1337.0893555</v>
      </c>
      <c r="K1422">
        <v>0</v>
      </c>
      <c r="L1422">
        <v>2750</v>
      </c>
      <c r="M1422">
        <v>2750</v>
      </c>
      <c r="N1422">
        <v>0</v>
      </c>
    </row>
    <row r="1423" spans="1:14" x14ac:dyDescent="0.25">
      <c r="A1423">
        <v>550.58140800000001</v>
      </c>
      <c r="B1423" s="1">
        <f>DATE(2011,11,2) + TIME(13,57,13)</f>
        <v>40849.581400462965</v>
      </c>
      <c r="C1423">
        <v>80</v>
      </c>
      <c r="D1423">
        <v>79.731140136999997</v>
      </c>
      <c r="E1423">
        <v>60</v>
      </c>
      <c r="F1423">
        <v>60.030788422000001</v>
      </c>
      <c r="G1423">
        <v>1329.1906738</v>
      </c>
      <c r="H1423">
        <v>1327.9664307</v>
      </c>
      <c r="I1423">
        <v>1339.9544678</v>
      </c>
      <c r="J1423">
        <v>1337.0942382999999</v>
      </c>
      <c r="K1423">
        <v>0</v>
      </c>
      <c r="L1423">
        <v>2750</v>
      </c>
      <c r="M1423">
        <v>2750</v>
      </c>
      <c r="N1423">
        <v>0</v>
      </c>
    </row>
    <row r="1424" spans="1:14" x14ac:dyDescent="0.25">
      <c r="A1424">
        <v>550.68814199999997</v>
      </c>
      <c r="B1424" s="1">
        <f>DATE(2011,11,2) + TIME(16,30,55)</f>
        <v>40849.688136574077</v>
      </c>
      <c r="C1424">
        <v>80</v>
      </c>
      <c r="D1424">
        <v>79.717521667</v>
      </c>
      <c r="E1424">
        <v>60</v>
      </c>
      <c r="F1424">
        <v>60.020187378000003</v>
      </c>
      <c r="G1424">
        <v>1329.1816406</v>
      </c>
      <c r="H1424">
        <v>1327.953125</v>
      </c>
      <c r="I1424">
        <v>1339.9605713000001</v>
      </c>
      <c r="J1424">
        <v>1337.098999</v>
      </c>
      <c r="K1424">
        <v>0</v>
      </c>
      <c r="L1424">
        <v>2750</v>
      </c>
      <c r="M1424">
        <v>2750</v>
      </c>
      <c r="N1424">
        <v>0</v>
      </c>
    </row>
    <row r="1425" spans="1:14" x14ac:dyDescent="0.25">
      <c r="A1425">
        <v>550.79708500000004</v>
      </c>
      <c r="B1425" s="1">
        <f>DATE(2011,11,2) + TIME(19,7,48)</f>
        <v>40849.797083333331</v>
      </c>
      <c r="C1425">
        <v>80</v>
      </c>
      <c r="D1425">
        <v>79.703712463000002</v>
      </c>
      <c r="E1425">
        <v>60</v>
      </c>
      <c r="F1425">
        <v>60.011394500999998</v>
      </c>
      <c r="G1425">
        <v>1329.1722411999999</v>
      </c>
      <c r="H1425">
        <v>1327.9392089999999</v>
      </c>
      <c r="I1425">
        <v>1339.9671631000001</v>
      </c>
      <c r="J1425">
        <v>1337.1040039</v>
      </c>
      <c r="K1425">
        <v>0</v>
      </c>
      <c r="L1425">
        <v>2750</v>
      </c>
      <c r="M1425">
        <v>2750</v>
      </c>
      <c r="N1425">
        <v>0</v>
      </c>
    </row>
    <row r="1426" spans="1:14" x14ac:dyDescent="0.25">
      <c r="A1426">
        <v>550.90718500000003</v>
      </c>
      <c r="B1426" s="1">
        <f>DATE(2011,11,2) + TIME(21,46,20)</f>
        <v>40849.907175925924</v>
      </c>
      <c r="C1426">
        <v>80</v>
      </c>
      <c r="D1426">
        <v>79.689834594999994</v>
      </c>
      <c r="E1426">
        <v>60</v>
      </c>
      <c r="F1426">
        <v>60.004188538000001</v>
      </c>
      <c r="G1426">
        <v>1329.1628418</v>
      </c>
      <c r="H1426">
        <v>1327.9251709</v>
      </c>
      <c r="I1426">
        <v>1339.9729004000001</v>
      </c>
      <c r="J1426">
        <v>1337.1085204999999</v>
      </c>
      <c r="K1426">
        <v>0</v>
      </c>
      <c r="L1426">
        <v>2750</v>
      </c>
      <c r="M1426">
        <v>2750</v>
      </c>
      <c r="N1426">
        <v>0</v>
      </c>
    </row>
    <row r="1427" spans="1:14" x14ac:dyDescent="0.25">
      <c r="A1427">
        <v>551.01894300000004</v>
      </c>
      <c r="B1427" s="1">
        <f>DATE(2011,11,3) + TIME(0,27,16)</f>
        <v>40850.018935185188</v>
      </c>
      <c r="C1427">
        <v>80</v>
      </c>
      <c r="D1427">
        <v>79.675827025999993</v>
      </c>
      <c r="E1427">
        <v>60</v>
      </c>
      <c r="F1427">
        <v>59.998275757000002</v>
      </c>
      <c r="G1427">
        <v>1329.1533202999999</v>
      </c>
      <c r="H1427">
        <v>1327.9111327999999</v>
      </c>
      <c r="I1427">
        <v>1339.9775391000001</v>
      </c>
      <c r="J1427">
        <v>1337.1123047000001</v>
      </c>
      <c r="K1427">
        <v>0</v>
      </c>
      <c r="L1427">
        <v>2750</v>
      </c>
      <c r="M1427">
        <v>2750</v>
      </c>
      <c r="N1427">
        <v>0</v>
      </c>
    </row>
    <row r="1428" spans="1:14" x14ac:dyDescent="0.25">
      <c r="A1428">
        <v>551.13280699999996</v>
      </c>
      <c r="B1428" s="1">
        <f>DATE(2011,11,3) + TIME(3,11,14)</f>
        <v>40850.132800925923</v>
      </c>
      <c r="C1428">
        <v>80</v>
      </c>
      <c r="D1428">
        <v>79.661643982000001</v>
      </c>
      <c r="E1428">
        <v>60</v>
      </c>
      <c r="F1428">
        <v>59.993419647000003</v>
      </c>
      <c r="G1428">
        <v>1329.1437988</v>
      </c>
      <c r="H1428">
        <v>1327.8970947</v>
      </c>
      <c r="I1428">
        <v>1339.9812012</v>
      </c>
      <c r="J1428">
        <v>1337.1154785000001</v>
      </c>
      <c r="K1428">
        <v>0</v>
      </c>
      <c r="L1428">
        <v>2750</v>
      </c>
      <c r="M1428">
        <v>2750</v>
      </c>
      <c r="N1428">
        <v>0</v>
      </c>
    </row>
    <row r="1429" spans="1:14" x14ac:dyDescent="0.25">
      <c r="A1429">
        <v>551.24924599999997</v>
      </c>
      <c r="B1429" s="1">
        <f>DATE(2011,11,3) + TIME(5,58,54)</f>
        <v>40850.249236111114</v>
      </c>
      <c r="C1429">
        <v>80</v>
      </c>
      <c r="D1429">
        <v>79.647232056000007</v>
      </c>
      <c r="E1429">
        <v>60</v>
      </c>
      <c r="F1429">
        <v>59.989437103</v>
      </c>
      <c r="G1429">
        <v>1329.1341553</v>
      </c>
      <c r="H1429">
        <v>1327.8828125</v>
      </c>
      <c r="I1429">
        <v>1339.9838867000001</v>
      </c>
      <c r="J1429">
        <v>1337.1179199000001</v>
      </c>
      <c r="K1429">
        <v>0</v>
      </c>
      <c r="L1429">
        <v>2750</v>
      </c>
      <c r="M1429">
        <v>2750</v>
      </c>
      <c r="N1429">
        <v>0</v>
      </c>
    </row>
    <row r="1430" spans="1:14" x14ac:dyDescent="0.25">
      <c r="A1430">
        <v>551.36873100000003</v>
      </c>
      <c r="B1430" s="1">
        <f>DATE(2011,11,3) + TIME(8,50,58)</f>
        <v>40850.368726851855</v>
      </c>
      <c r="C1430">
        <v>80</v>
      </c>
      <c r="D1430">
        <v>79.632545471</v>
      </c>
      <c r="E1430">
        <v>60</v>
      </c>
      <c r="F1430">
        <v>59.986175537000001</v>
      </c>
      <c r="G1430">
        <v>1329.1243896000001</v>
      </c>
      <c r="H1430">
        <v>1327.8685303</v>
      </c>
      <c r="I1430">
        <v>1339.9857178</v>
      </c>
      <c r="J1430">
        <v>1337.1198730000001</v>
      </c>
      <c r="K1430">
        <v>0</v>
      </c>
      <c r="L1430">
        <v>2750</v>
      </c>
      <c r="M1430">
        <v>2750</v>
      </c>
      <c r="N1430">
        <v>0</v>
      </c>
    </row>
    <row r="1431" spans="1:14" x14ac:dyDescent="0.25">
      <c r="A1431">
        <v>551.49175300000002</v>
      </c>
      <c r="B1431" s="1">
        <f>DATE(2011,11,3) + TIME(11,48,7)</f>
        <v>40850.491747685184</v>
      </c>
      <c r="C1431">
        <v>80</v>
      </c>
      <c r="D1431">
        <v>79.617523192999997</v>
      </c>
      <c r="E1431">
        <v>60</v>
      </c>
      <c r="F1431">
        <v>59.983512877999999</v>
      </c>
      <c r="G1431">
        <v>1329.1145019999999</v>
      </c>
      <c r="H1431">
        <v>1327.8540039</v>
      </c>
      <c r="I1431">
        <v>1339.9865723</v>
      </c>
      <c r="J1431">
        <v>1337.1213379000001</v>
      </c>
      <c r="K1431">
        <v>0</v>
      </c>
      <c r="L1431">
        <v>2750</v>
      </c>
      <c r="M1431">
        <v>2750</v>
      </c>
      <c r="N1431">
        <v>0</v>
      </c>
    </row>
    <row r="1432" spans="1:14" x14ac:dyDescent="0.25">
      <c r="A1432">
        <v>551.61822600000005</v>
      </c>
      <c r="B1432" s="1">
        <f>DATE(2011,11,3) + TIME(14,50,14)</f>
        <v>40850.618217592593</v>
      </c>
      <c r="C1432">
        <v>80</v>
      </c>
      <c r="D1432">
        <v>79.60218811</v>
      </c>
      <c r="E1432">
        <v>60</v>
      </c>
      <c r="F1432">
        <v>59.981353759999998</v>
      </c>
      <c r="G1432">
        <v>1329.1044922000001</v>
      </c>
      <c r="H1432">
        <v>1327.8392334</v>
      </c>
      <c r="I1432">
        <v>1339.9868164</v>
      </c>
      <c r="J1432">
        <v>1337.1221923999999</v>
      </c>
      <c r="K1432">
        <v>0</v>
      </c>
      <c r="L1432">
        <v>2750</v>
      </c>
      <c r="M1432">
        <v>2750</v>
      </c>
      <c r="N1432">
        <v>0</v>
      </c>
    </row>
    <row r="1433" spans="1:14" x14ac:dyDescent="0.25">
      <c r="A1433">
        <v>551.74767399999996</v>
      </c>
      <c r="B1433" s="1">
        <f>DATE(2011,11,3) + TIME(17,56,39)</f>
        <v>40850.747673611113</v>
      </c>
      <c r="C1433">
        <v>80</v>
      </c>
      <c r="D1433">
        <v>79.586585998999993</v>
      </c>
      <c r="E1433">
        <v>60</v>
      </c>
      <c r="F1433">
        <v>59.979618072999997</v>
      </c>
      <c r="G1433">
        <v>1329.0942382999999</v>
      </c>
      <c r="H1433">
        <v>1327.8242187999999</v>
      </c>
      <c r="I1433">
        <v>1339.9863281</v>
      </c>
      <c r="J1433">
        <v>1337.1226807</v>
      </c>
      <c r="K1433">
        <v>0</v>
      </c>
      <c r="L1433">
        <v>2750</v>
      </c>
      <c r="M1433">
        <v>2750</v>
      </c>
      <c r="N1433">
        <v>0</v>
      </c>
    </row>
    <row r="1434" spans="1:14" x14ac:dyDescent="0.25">
      <c r="A1434">
        <v>551.88056500000005</v>
      </c>
      <c r="B1434" s="1">
        <f>DATE(2011,11,3) + TIME(21,8,0)</f>
        <v>40850.880555555559</v>
      </c>
      <c r="C1434">
        <v>80</v>
      </c>
      <c r="D1434">
        <v>79.570663452000005</v>
      </c>
      <c r="E1434">
        <v>60</v>
      </c>
      <c r="F1434">
        <v>59.978225707999997</v>
      </c>
      <c r="G1434">
        <v>1329.0839844</v>
      </c>
      <c r="H1434">
        <v>1327.809082</v>
      </c>
      <c r="I1434">
        <v>1339.9851074000001</v>
      </c>
      <c r="J1434">
        <v>1337.1226807</v>
      </c>
      <c r="K1434">
        <v>0</v>
      </c>
      <c r="L1434">
        <v>2750</v>
      </c>
      <c r="M1434">
        <v>2750</v>
      </c>
      <c r="N1434">
        <v>0</v>
      </c>
    </row>
    <row r="1435" spans="1:14" x14ac:dyDescent="0.25">
      <c r="A1435">
        <v>552.01735499999995</v>
      </c>
      <c r="B1435" s="1">
        <f>DATE(2011,11,4) + TIME(0,24,59)</f>
        <v>40851.01734953704</v>
      </c>
      <c r="C1435">
        <v>80</v>
      </c>
      <c r="D1435">
        <v>79.554382324000002</v>
      </c>
      <c r="E1435">
        <v>60</v>
      </c>
      <c r="F1435">
        <v>59.977108002000001</v>
      </c>
      <c r="G1435">
        <v>1329.0734863</v>
      </c>
      <c r="H1435">
        <v>1327.7937012</v>
      </c>
      <c r="I1435">
        <v>1339.9832764</v>
      </c>
      <c r="J1435">
        <v>1337.1223144999999</v>
      </c>
      <c r="K1435">
        <v>0</v>
      </c>
      <c r="L1435">
        <v>2750</v>
      </c>
      <c r="M1435">
        <v>2750</v>
      </c>
      <c r="N1435">
        <v>0</v>
      </c>
    </row>
    <row r="1436" spans="1:14" x14ac:dyDescent="0.25">
      <c r="A1436">
        <v>552.15855299999998</v>
      </c>
      <c r="B1436" s="1">
        <f>DATE(2011,11,4) + TIME(3,48,18)</f>
        <v>40851.158541666664</v>
      </c>
      <c r="C1436">
        <v>80</v>
      </c>
      <c r="D1436">
        <v>79.537689209000007</v>
      </c>
      <c r="E1436">
        <v>60</v>
      </c>
      <c r="F1436">
        <v>59.976219176999997</v>
      </c>
      <c r="G1436">
        <v>1329.0627440999999</v>
      </c>
      <c r="H1436">
        <v>1327.7780762</v>
      </c>
      <c r="I1436">
        <v>1339.9808350000001</v>
      </c>
      <c r="J1436">
        <v>1337.121582</v>
      </c>
      <c r="K1436">
        <v>0</v>
      </c>
      <c r="L1436">
        <v>2750</v>
      </c>
      <c r="M1436">
        <v>2750</v>
      </c>
      <c r="N1436">
        <v>0</v>
      </c>
    </row>
    <row r="1437" spans="1:14" x14ac:dyDescent="0.25">
      <c r="A1437">
        <v>552.30478000000005</v>
      </c>
      <c r="B1437" s="1">
        <f>DATE(2011,11,4) + TIME(7,18,52)</f>
        <v>40851.304768518516</v>
      </c>
      <c r="C1437">
        <v>80</v>
      </c>
      <c r="D1437">
        <v>79.520523071</v>
      </c>
      <c r="E1437">
        <v>60</v>
      </c>
      <c r="F1437">
        <v>59.975513458000002</v>
      </c>
      <c r="G1437">
        <v>1329.0517577999999</v>
      </c>
      <c r="H1437">
        <v>1327.7620850000001</v>
      </c>
      <c r="I1437">
        <v>1339.9777832</v>
      </c>
      <c r="J1437">
        <v>1337.1203613</v>
      </c>
      <c r="K1437">
        <v>0</v>
      </c>
      <c r="L1437">
        <v>2750</v>
      </c>
      <c r="M1437">
        <v>2750</v>
      </c>
      <c r="N1437">
        <v>0</v>
      </c>
    </row>
    <row r="1438" spans="1:14" x14ac:dyDescent="0.25">
      <c r="A1438">
        <v>552.45671400000003</v>
      </c>
      <c r="B1438" s="1">
        <f>DATE(2011,11,4) + TIME(10,57,40)</f>
        <v>40851.456712962965</v>
      </c>
      <c r="C1438">
        <v>80</v>
      </c>
      <c r="D1438">
        <v>79.502822875999996</v>
      </c>
      <c r="E1438">
        <v>60</v>
      </c>
      <c r="F1438">
        <v>59.974956511999999</v>
      </c>
      <c r="G1438">
        <v>1329.0406493999999</v>
      </c>
      <c r="H1438">
        <v>1327.7457274999999</v>
      </c>
      <c r="I1438">
        <v>1339.9741211</v>
      </c>
      <c r="J1438">
        <v>1337.1188964999999</v>
      </c>
      <c r="K1438">
        <v>0</v>
      </c>
      <c r="L1438">
        <v>2750</v>
      </c>
      <c r="M1438">
        <v>2750</v>
      </c>
      <c r="N1438">
        <v>0</v>
      </c>
    </row>
    <row r="1439" spans="1:14" x14ac:dyDescent="0.25">
      <c r="A1439">
        <v>552.61509899999999</v>
      </c>
      <c r="B1439" s="1">
        <f>DATE(2011,11,4) + TIME(14,45,44)</f>
        <v>40851.61509259259</v>
      </c>
      <c r="C1439">
        <v>80</v>
      </c>
      <c r="D1439">
        <v>79.484519958000007</v>
      </c>
      <c r="E1439">
        <v>60</v>
      </c>
      <c r="F1439">
        <v>59.974514008</v>
      </c>
      <c r="G1439">
        <v>1329.0290527</v>
      </c>
      <c r="H1439">
        <v>1327.7290039</v>
      </c>
      <c r="I1439">
        <v>1339.9700928</v>
      </c>
      <c r="J1439">
        <v>1337.1171875</v>
      </c>
      <c r="K1439">
        <v>0</v>
      </c>
      <c r="L1439">
        <v>2750</v>
      </c>
      <c r="M1439">
        <v>2750</v>
      </c>
      <c r="N1439">
        <v>0</v>
      </c>
    </row>
    <row r="1440" spans="1:14" x14ac:dyDescent="0.25">
      <c r="A1440">
        <v>552.78079600000001</v>
      </c>
      <c r="B1440" s="1">
        <f>DATE(2011,11,4) + TIME(18,44,20)</f>
        <v>40851.780787037038</v>
      </c>
      <c r="C1440">
        <v>80</v>
      </c>
      <c r="D1440">
        <v>79.465530396000005</v>
      </c>
      <c r="E1440">
        <v>60</v>
      </c>
      <c r="F1440">
        <v>59.974166869999998</v>
      </c>
      <c r="G1440">
        <v>1329.0172118999999</v>
      </c>
      <c r="H1440">
        <v>1327.7116699000001</v>
      </c>
      <c r="I1440">
        <v>1339.9654541</v>
      </c>
      <c r="J1440">
        <v>1337.1149902</v>
      </c>
      <c r="K1440">
        <v>0</v>
      </c>
      <c r="L1440">
        <v>2750</v>
      </c>
      <c r="M1440">
        <v>2750</v>
      </c>
      <c r="N1440">
        <v>0</v>
      </c>
    </row>
    <row r="1441" spans="1:14" x14ac:dyDescent="0.25">
      <c r="A1441">
        <v>552.95467399999995</v>
      </c>
      <c r="B1441" s="1">
        <f>DATE(2011,11,4) + TIME(22,54,43)</f>
        <v>40851.954664351855</v>
      </c>
      <c r="C1441">
        <v>80</v>
      </c>
      <c r="D1441">
        <v>79.445777892999999</v>
      </c>
      <c r="E1441">
        <v>60</v>
      </c>
      <c r="F1441">
        <v>59.973892212000003</v>
      </c>
      <c r="G1441">
        <v>1329.0050048999999</v>
      </c>
      <c r="H1441">
        <v>1327.6938477000001</v>
      </c>
      <c r="I1441">
        <v>1339.9602050999999</v>
      </c>
      <c r="J1441">
        <v>1337.1125488</v>
      </c>
      <c r="K1441">
        <v>0</v>
      </c>
      <c r="L1441">
        <v>2750</v>
      </c>
      <c r="M1441">
        <v>2750</v>
      </c>
      <c r="N1441">
        <v>0</v>
      </c>
    </row>
    <row r="1442" spans="1:14" x14ac:dyDescent="0.25">
      <c r="A1442">
        <v>553.13516300000003</v>
      </c>
      <c r="B1442" s="1">
        <f>DATE(2011,11,5) + TIME(3,14,38)</f>
        <v>40852.135162037041</v>
      </c>
      <c r="C1442">
        <v>80</v>
      </c>
      <c r="D1442">
        <v>79.425399780000006</v>
      </c>
      <c r="E1442">
        <v>60</v>
      </c>
      <c r="F1442">
        <v>59.973682404000002</v>
      </c>
      <c r="G1442">
        <v>1328.9923096</v>
      </c>
      <c r="H1442">
        <v>1327.6754149999999</v>
      </c>
      <c r="I1442">
        <v>1339.9547118999999</v>
      </c>
      <c r="J1442">
        <v>1337.1098632999999</v>
      </c>
      <c r="K1442">
        <v>0</v>
      </c>
      <c r="L1442">
        <v>2750</v>
      </c>
      <c r="M1442">
        <v>2750</v>
      </c>
      <c r="N1442">
        <v>0</v>
      </c>
    </row>
    <row r="1443" spans="1:14" x14ac:dyDescent="0.25">
      <c r="A1443">
        <v>553.32330999999999</v>
      </c>
      <c r="B1443" s="1">
        <f>DATE(2011,11,5) + TIME(7,45,33)</f>
        <v>40852.323298611111</v>
      </c>
      <c r="C1443">
        <v>80</v>
      </c>
      <c r="D1443">
        <v>79.404319763000004</v>
      </c>
      <c r="E1443">
        <v>60</v>
      </c>
      <c r="F1443">
        <v>59.973518372000001</v>
      </c>
      <c r="G1443">
        <v>1328.9792480000001</v>
      </c>
      <c r="H1443">
        <v>1327.6566161999999</v>
      </c>
      <c r="I1443">
        <v>1339.9486084</v>
      </c>
      <c r="J1443">
        <v>1337.1069336</v>
      </c>
      <c r="K1443">
        <v>0</v>
      </c>
      <c r="L1443">
        <v>2750</v>
      </c>
      <c r="M1443">
        <v>2750</v>
      </c>
      <c r="N1443">
        <v>0</v>
      </c>
    </row>
    <row r="1444" spans="1:14" x14ac:dyDescent="0.25">
      <c r="A1444">
        <v>553.52005299999996</v>
      </c>
      <c r="B1444" s="1">
        <f>DATE(2011,11,5) + TIME(12,28,52)</f>
        <v>40852.520046296297</v>
      </c>
      <c r="C1444">
        <v>80</v>
      </c>
      <c r="D1444">
        <v>79.382438660000005</v>
      </c>
      <c r="E1444">
        <v>60</v>
      </c>
      <c r="F1444">
        <v>59.973388671999999</v>
      </c>
      <c r="G1444">
        <v>1328.9658202999999</v>
      </c>
      <c r="H1444">
        <v>1327.6370850000001</v>
      </c>
      <c r="I1444">
        <v>1339.9422606999999</v>
      </c>
      <c r="J1444">
        <v>1337.1038818</v>
      </c>
      <c r="K1444">
        <v>0</v>
      </c>
      <c r="L1444">
        <v>2750</v>
      </c>
      <c r="M1444">
        <v>2750</v>
      </c>
      <c r="N1444">
        <v>0</v>
      </c>
    </row>
    <row r="1445" spans="1:14" x14ac:dyDescent="0.25">
      <c r="A1445">
        <v>553.726496</v>
      </c>
      <c r="B1445" s="1">
        <f>DATE(2011,11,5) + TIME(17,26,9)</f>
        <v>40852.726493055554</v>
      </c>
      <c r="C1445">
        <v>80</v>
      </c>
      <c r="D1445">
        <v>79.359680175999998</v>
      </c>
      <c r="E1445">
        <v>60</v>
      </c>
      <c r="F1445">
        <v>59.973285675</v>
      </c>
      <c r="G1445">
        <v>1328.9519043</v>
      </c>
      <c r="H1445">
        <v>1327.6169434000001</v>
      </c>
      <c r="I1445">
        <v>1339.9354248</v>
      </c>
      <c r="J1445">
        <v>1337.1004639</v>
      </c>
      <c r="K1445">
        <v>0</v>
      </c>
      <c r="L1445">
        <v>2750</v>
      </c>
      <c r="M1445">
        <v>2750</v>
      </c>
      <c r="N1445">
        <v>0</v>
      </c>
    </row>
    <row r="1446" spans="1:14" x14ac:dyDescent="0.25">
      <c r="A1446">
        <v>553.94393600000001</v>
      </c>
      <c r="B1446" s="1">
        <f>DATE(2011,11,5) + TIME(22,39,16)</f>
        <v>40852.943935185183</v>
      </c>
      <c r="C1446">
        <v>80</v>
      </c>
      <c r="D1446">
        <v>79.335929871000005</v>
      </c>
      <c r="E1446">
        <v>60</v>
      </c>
      <c r="F1446">
        <v>59.973205565999997</v>
      </c>
      <c r="G1446">
        <v>1328.9375</v>
      </c>
      <c r="H1446">
        <v>1327.5961914</v>
      </c>
      <c r="I1446">
        <v>1339.9283447</v>
      </c>
      <c r="J1446">
        <v>1337.0968018000001</v>
      </c>
      <c r="K1446">
        <v>0</v>
      </c>
      <c r="L1446">
        <v>2750</v>
      </c>
      <c r="M1446">
        <v>2750</v>
      </c>
      <c r="N1446">
        <v>0</v>
      </c>
    </row>
    <row r="1447" spans="1:14" x14ac:dyDescent="0.25">
      <c r="A1447">
        <v>554.16882399999997</v>
      </c>
      <c r="B1447" s="1">
        <f>DATE(2011,11,6) + TIME(4,3,6)</f>
        <v>40853.168819444443</v>
      </c>
      <c r="C1447">
        <v>80</v>
      </c>
      <c r="D1447">
        <v>79.311470032000003</v>
      </c>
      <c r="E1447">
        <v>60</v>
      </c>
      <c r="F1447">
        <v>59.973136902</v>
      </c>
      <c r="G1447">
        <v>1328.9226074000001</v>
      </c>
      <c r="H1447">
        <v>1327.5745850000001</v>
      </c>
      <c r="I1447">
        <v>1339.9207764</v>
      </c>
      <c r="J1447">
        <v>1337.0930175999999</v>
      </c>
      <c r="K1447">
        <v>0</v>
      </c>
      <c r="L1447">
        <v>2750</v>
      </c>
      <c r="M1447">
        <v>2750</v>
      </c>
      <c r="N1447">
        <v>0</v>
      </c>
    </row>
    <row r="1448" spans="1:14" x14ac:dyDescent="0.25">
      <c r="A1448">
        <v>554.39871700000003</v>
      </c>
      <c r="B1448" s="1">
        <f>DATE(2011,11,6) + TIME(9,34,9)</f>
        <v>40853.398715277777</v>
      </c>
      <c r="C1448">
        <v>80</v>
      </c>
      <c r="D1448">
        <v>79.286537170000003</v>
      </c>
      <c r="E1448">
        <v>60</v>
      </c>
      <c r="F1448">
        <v>59.973079681000002</v>
      </c>
      <c r="G1448">
        <v>1328.9072266000001</v>
      </c>
      <c r="H1448">
        <v>1327.5526123</v>
      </c>
      <c r="I1448">
        <v>1339.9130858999999</v>
      </c>
      <c r="J1448">
        <v>1337.0891113</v>
      </c>
      <c r="K1448">
        <v>0</v>
      </c>
      <c r="L1448">
        <v>2750</v>
      </c>
      <c r="M1448">
        <v>2750</v>
      </c>
      <c r="N1448">
        <v>0</v>
      </c>
    </row>
    <row r="1449" spans="1:14" x14ac:dyDescent="0.25">
      <c r="A1449">
        <v>554.63031999999998</v>
      </c>
      <c r="B1449" s="1">
        <f>DATE(2011,11,6) + TIME(15,7,39)</f>
        <v>40853.630312499998</v>
      </c>
      <c r="C1449">
        <v>80</v>
      </c>
      <c r="D1449">
        <v>79.261421204000001</v>
      </c>
      <c r="E1449">
        <v>60</v>
      </c>
      <c r="F1449">
        <v>59.973033905000001</v>
      </c>
      <c r="G1449">
        <v>1328.8918457</v>
      </c>
      <c r="H1449">
        <v>1327.5303954999999</v>
      </c>
      <c r="I1449">
        <v>1339.9051514</v>
      </c>
      <c r="J1449">
        <v>1337.0852050999999</v>
      </c>
      <c r="K1449">
        <v>0</v>
      </c>
      <c r="L1449">
        <v>2750</v>
      </c>
      <c r="M1449">
        <v>2750</v>
      </c>
      <c r="N1449">
        <v>0</v>
      </c>
    </row>
    <row r="1450" spans="1:14" x14ac:dyDescent="0.25">
      <c r="A1450">
        <v>554.86419599999999</v>
      </c>
      <c r="B1450" s="1">
        <f>DATE(2011,11,6) + TIME(20,44,26)</f>
        <v>40853.864189814813</v>
      </c>
      <c r="C1450">
        <v>80</v>
      </c>
      <c r="D1450">
        <v>79.236114502000007</v>
      </c>
      <c r="E1450">
        <v>60</v>
      </c>
      <c r="F1450">
        <v>59.972991942999997</v>
      </c>
      <c r="G1450">
        <v>1328.8763428</v>
      </c>
      <c r="H1450">
        <v>1327.5080565999999</v>
      </c>
      <c r="I1450">
        <v>1339.8973389</v>
      </c>
      <c r="J1450">
        <v>1337.0811768000001</v>
      </c>
      <c r="K1450">
        <v>0</v>
      </c>
      <c r="L1450">
        <v>2750</v>
      </c>
      <c r="M1450">
        <v>2750</v>
      </c>
      <c r="N1450">
        <v>0</v>
      </c>
    </row>
    <row r="1451" spans="1:14" x14ac:dyDescent="0.25">
      <c r="A1451">
        <v>555.10124800000006</v>
      </c>
      <c r="B1451" s="1">
        <f>DATE(2011,11,7) + TIME(2,25,47)</f>
        <v>40854.101238425923</v>
      </c>
      <c r="C1451">
        <v>80</v>
      </c>
      <c r="D1451">
        <v>79.210563660000005</v>
      </c>
      <c r="E1451">
        <v>60</v>
      </c>
      <c r="F1451">
        <v>59.972953795999999</v>
      </c>
      <c r="G1451">
        <v>1328.8608397999999</v>
      </c>
      <c r="H1451">
        <v>1327.4858397999999</v>
      </c>
      <c r="I1451">
        <v>1339.8896483999999</v>
      </c>
      <c r="J1451">
        <v>1337.0772704999999</v>
      </c>
      <c r="K1451">
        <v>0</v>
      </c>
      <c r="L1451">
        <v>2750</v>
      </c>
      <c r="M1451">
        <v>2750</v>
      </c>
      <c r="N1451">
        <v>0</v>
      </c>
    </row>
    <row r="1452" spans="1:14" x14ac:dyDescent="0.25">
      <c r="A1452">
        <v>555.34238400000004</v>
      </c>
      <c r="B1452" s="1">
        <f>DATE(2011,11,7) + TIME(8,13,1)</f>
        <v>40854.342372685183</v>
      </c>
      <c r="C1452">
        <v>80</v>
      </c>
      <c r="D1452">
        <v>79.184722899999997</v>
      </c>
      <c r="E1452">
        <v>60</v>
      </c>
      <c r="F1452">
        <v>59.972915649000001</v>
      </c>
      <c r="G1452">
        <v>1328.8452147999999</v>
      </c>
      <c r="H1452">
        <v>1327.4633789</v>
      </c>
      <c r="I1452">
        <v>1339.8819579999999</v>
      </c>
      <c r="J1452">
        <v>1337.0733643000001</v>
      </c>
      <c r="K1452">
        <v>0</v>
      </c>
      <c r="L1452">
        <v>2750</v>
      </c>
      <c r="M1452">
        <v>2750</v>
      </c>
      <c r="N1452">
        <v>0</v>
      </c>
    </row>
    <row r="1453" spans="1:14" x14ac:dyDescent="0.25">
      <c r="A1453">
        <v>555.58887900000002</v>
      </c>
      <c r="B1453" s="1">
        <f>DATE(2011,11,7) + TIME(14,7,59)</f>
        <v>40854.588877314818</v>
      </c>
      <c r="C1453">
        <v>80</v>
      </c>
      <c r="D1453">
        <v>79.158485412999994</v>
      </c>
      <c r="E1453">
        <v>60</v>
      </c>
      <c r="F1453">
        <v>59.972885132000002</v>
      </c>
      <c r="G1453">
        <v>1328.8295897999999</v>
      </c>
      <c r="H1453">
        <v>1327.440918</v>
      </c>
      <c r="I1453">
        <v>1339.8741454999999</v>
      </c>
      <c r="J1453">
        <v>1337.0694579999999</v>
      </c>
      <c r="K1453">
        <v>0</v>
      </c>
      <c r="L1453">
        <v>2750</v>
      </c>
      <c r="M1453">
        <v>2750</v>
      </c>
      <c r="N1453">
        <v>0</v>
      </c>
    </row>
    <row r="1454" spans="1:14" x14ac:dyDescent="0.25">
      <c r="A1454">
        <v>555.84170900000004</v>
      </c>
      <c r="B1454" s="1">
        <f>DATE(2011,11,7) + TIME(20,12,3)</f>
        <v>40854.84170138889</v>
      </c>
      <c r="C1454">
        <v>80</v>
      </c>
      <c r="D1454">
        <v>79.131797790999997</v>
      </c>
      <c r="E1454">
        <v>60</v>
      </c>
      <c r="F1454">
        <v>59.972850800000003</v>
      </c>
      <c r="G1454">
        <v>1328.8135986</v>
      </c>
      <c r="H1454">
        <v>1327.4180908000001</v>
      </c>
      <c r="I1454">
        <v>1339.8664550999999</v>
      </c>
      <c r="J1454">
        <v>1337.0655518000001</v>
      </c>
      <c r="K1454">
        <v>0</v>
      </c>
      <c r="L1454">
        <v>2750</v>
      </c>
      <c r="M1454">
        <v>2750</v>
      </c>
      <c r="N1454">
        <v>0</v>
      </c>
    </row>
    <row r="1455" spans="1:14" x14ac:dyDescent="0.25">
      <c r="A1455">
        <v>556.10201400000005</v>
      </c>
      <c r="B1455" s="1">
        <f>DATE(2011,11,8) + TIME(2,26,54)</f>
        <v>40855.102013888885</v>
      </c>
      <c r="C1455">
        <v>80</v>
      </c>
      <c r="D1455">
        <v>79.104553222999996</v>
      </c>
      <c r="E1455">
        <v>60</v>
      </c>
      <c r="F1455">
        <v>59.972816467000001</v>
      </c>
      <c r="G1455">
        <v>1328.7974853999999</v>
      </c>
      <c r="H1455">
        <v>1327.3948975000001</v>
      </c>
      <c r="I1455">
        <v>1339.8586425999999</v>
      </c>
      <c r="J1455">
        <v>1337.0616454999999</v>
      </c>
      <c r="K1455">
        <v>0</v>
      </c>
      <c r="L1455">
        <v>2750</v>
      </c>
      <c r="M1455">
        <v>2750</v>
      </c>
      <c r="N1455">
        <v>0</v>
      </c>
    </row>
    <row r="1456" spans="1:14" x14ac:dyDescent="0.25">
      <c r="A1456">
        <v>556.371037</v>
      </c>
      <c r="B1456" s="1">
        <f>DATE(2011,11,8) + TIME(8,54,17)</f>
        <v>40855.371030092596</v>
      </c>
      <c r="C1456">
        <v>80</v>
      </c>
      <c r="D1456">
        <v>79.076660156000003</v>
      </c>
      <c r="E1456">
        <v>60</v>
      </c>
      <c r="F1456">
        <v>59.972785950000002</v>
      </c>
      <c r="G1456">
        <v>1328.7811279</v>
      </c>
      <c r="H1456">
        <v>1327.3714600000001</v>
      </c>
      <c r="I1456">
        <v>1339.8508300999999</v>
      </c>
      <c r="J1456">
        <v>1337.0577393000001</v>
      </c>
      <c r="K1456">
        <v>0</v>
      </c>
      <c r="L1456">
        <v>2750</v>
      </c>
      <c r="M1456">
        <v>2750</v>
      </c>
      <c r="N1456">
        <v>0</v>
      </c>
    </row>
    <row r="1457" spans="1:14" x14ac:dyDescent="0.25">
      <c r="A1457">
        <v>556.65016000000003</v>
      </c>
      <c r="B1457" s="1">
        <f>DATE(2011,11,8) + TIME(15,36,13)</f>
        <v>40855.650150462963</v>
      </c>
      <c r="C1457">
        <v>80</v>
      </c>
      <c r="D1457">
        <v>79.048019409000005</v>
      </c>
      <c r="E1457">
        <v>60</v>
      </c>
      <c r="F1457">
        <v>59.972755432</v>
      </c>
      <c r="G1457">
        <v>1328.7642822</v>
      </c>
      <c r="H1457">
        <v>1327.3474120999999</v>
      </c>
      <c r="I1457">
        <v>1339.8430175999999</v>
      </c>
      <c r="J1457">
        <v>1337.0537108999999</v>
      </c>
      <c r="K1457">
        <v>0</v>
      </c>
      <c r="L1457">
        <v>2750</v>
      </c>
      <c r="M1457">
        <v>2750</v>
      </c>
      <c r="N1457">
        <v>0</v>
      </c>
    </row>
    <row r="1458" spans="1:14" x14ac:dyDescent="0.25">
      <c r="A1458">
        <v>556.93482800000004</v>
      </c>
      <c r="B1458" s="1">
        <f>DATE(2011,11,8) + TIME(22,26,9)</f>
        <v>40855.93482638889</v>
      </c>
      <c r="C1458">
        <v>80</v>
      </c>
      <c r="D1458">
        <v>79.018936156999999</v>
      </c>
      <c r="E1458">
        <v>60</v>
      </c>
      <c r="F1458">
        <v>59.972721100000001</v>
      </c>
      <c r="G1458">
        <v>1328.7470702999999</v>
      </c>
      <c r="H1458">
        <v>1327.322876</v>
      </c>
      <c r="I1458">
        <v>1339.8349608999999</v>
      </c>
      <c r="J1458">
        <v>1337.0498047000001</v>
      </c>
      <c r="K1458">
        <v>0</v>
      </c>
      <c r="L1458">
        <v>2750</v>
      </c>
      <c r="M1458">
        <v>2750</v>
      </c>
      <c r="N1458">
        <v>0</v>
      </c>
    </row>
    <row r="1459" spans="1:14" x14ac:dyDescent="0.25">
      <c r="A1459">
        <v>557.22571000000005</v>
      </c>
      <c r="B1459" s="1">
        <f>DATE(2011,11,9) + TIME(5,25,1)</f>
        <v>40856.225706018522</v>
      </c>
      <c r="C1459">
        <v>80</v>
      </c>
      <c r="D1459">
        <v>78.989402771000002</v>
      </c>
      <c r="E1459">
        <v>60</v>
      </c>
      <c r="F1459">
        <v>59.972690581999998</v>
      </c>
      <c r="G1459">
        <v>1328.7297363</v>
      </c>
      <c r="H1459">
        <v>1327.2979736</v>
      </c>
      <c r="I1459">
        <v>1339.8270264</v>
      </c>
      <c r="J1459">
        <v>1337.0457764</v>
      </c>
      <c r="K1459">
        <v>0</v>
      </c>
      <c r="L1459">
        <v>2750</v>
      </c>
      <c r="M1459">
        <v>2750</v>
      </c>
      <c r="N1459">
        <v>0</v>
      </c>
    </row>
    <row r="1460" spans="1:14" x14ac:dyDescent="0.25">
      <c r="A1460">
        <v>557.52418599999999</v>
      </c>
      <c r="B1460" s="1">
        <f>DATE(2011,11,9) + TIME(12,34,49)</f>
        <v>40856.524178240739</v>
      </c>
      <c r="C1460">
        <v>80</v>
      </c>
      <c r="D1460">
        <v>78.959327697999996</v>
      </c>
      <c r="E1460">
        <v>60</v>
      </c>
      <c r="F1460">
        <v>59.972660064999999</v>
      </c>
      <c r="G1460">
        <v>1328.7120361</v>
      </c>
      <c r="H1460">
        <v>1327.2728271000001</v>
      </c>
      <c r="I1460">
        <v>1339.8192139</v>
      </c>
      <c r="J1460">
        <v>1337.0418701000001</v>
      </c>
      <c r="K1460">
        <v>0</v>
      </c>
      <c r="L1460">
        <v>2750</v>
      </c>
      <c r="M1460">
        <v>2750</v>
      </c>
      <c r="N1460">
        <v>0</v>
      </c>
    </row>
    <row r="1461" spans="1:14" x14ac:dyDescent="0.25">
      <c r="A1461">
        <v>557.83161800000005</v>
      </c>
      <c r="B1461" s="1">
        <f>DATE(2011,11,9) + TIME(19,57,31)</f>
        <v>40856.831608796296</v>
      </c>
      <c r="C1461">
        <v>80</v>
      </c>
      <c r="D1461">
        <v>78.928619385000005</v>
      </c>
      <c r="E1461">
        <v>60</v>
      </c>
      <c r="F1461">
        <v>59.972625731999997</v>
      </c>
      <c r="G1461">
        <v>1328.6942139</v>
      </c>
      <c r="H1461">
        <v>1327.2473144999999</v>
      </c>
      <c r="I1461">
        <v>1339.8112793</v>
      </c>
      <c r="J1461">
        <v>1337.0379639</v>
      </c>
      <c r="K1461">
        <v>0</v>
      </c>
      <c r="L1461">
        <v>2750</v>
      </c>
      <c r="M1461">
        <v>2750</v>
      </c>
      <c r="N1461">
        <v>0</v>
      </c>
    </row>
    <row r="1462" spans="1:14" x14ac:dyDescent="0.25">
      <c r="A1462">
        <v>558.14941099999999</v>
      </c>
      <c r="B1462" s="1">
        <f>DATE(2011,11,10) + TIME(3,35,9)</f>
        <v>40857.149409722224</v>
      </c>
      <c r="C1462">
        <v>80</v>
      </c>
      <c r="D1462">
        <v>78.897186278999996</v>
      </c>
      <c r="E1462">
        <v>60</v>
      </c>
      <c r="F1462">
        <v>59.972595214999998</v>
      </c>
      <c r="G1462">
        <v>1328.6759033000001</v>
      </c>
      <c r="H1462">
        <v>1327.2214355000001</v>
      </c>
      <c r="I1462">
        <v>1339.8033447</v>
      </c>
      <c r="J1462">
        <v>1337.0341797000001</v>
      </c>
      <c r="K1462">
        <v>0</v>
      </c>
      <c r="L1462">
        <v>2750</v>
      </c>
      <c r="M1462">
        <v>2750</v>
      </c>
      <c r="N1462">
        <v>0</v>
      </c>
    </row>
    <row r="1463" spans="1:14" x14ac:dyDescent="0.25">
      <c r="A1463">
        <v>558.47911999999997</v>
      </c>
      <c r="B1463" s="1">
        <f>DATE(2011,11,10) + TIME(11,29,55)</f>
        <v>40857.479108796295</v>
      </c>
      <c r="C1463">
        <v>80</v>
      </c>
      <c r="D1463">
        <v>78.864906310999999</v>
      </c>
      <c r="E1463">
        <v>60</v>
      </c>
      <c r="F1463">
        <v>59.972564697000003</v>
      </c>
      <c r="G1463">
        <v>1328.6572266000001</v>
      </c>
      <c r="H1463">
        <v>1327.1948242000001</v>
      </c>
      <c r="I1463">
        <v>1339.7954102000001</v>
      </c>
      <c r="J1463">
        <v>1337.0302733999999</v>
      </c>
      <c r="K1463">
        <v>0</v>
      </c>
      <c r="L1463">
        <v>2750</v>
      </c>
      <c r="M1463">
        <v>2750</v>
      </c>
      <c r="N1463">
        <v>0</v>
      </c>
    </row>
    <row r="1464" spans="1:14" x14ac:dyDescent="0.25">
      <c r="A1464">
        <v>558.82252900000003</v>
      </c>
      <c r="B1464" s="1">
        <f>DATE(2011,11,10) + TIME(19,44,26)</f>
        <v>40857.822523148148</v>
      </c>
      <c r="C1464">
        <v>80</v>
      </c>
      <c r="D1464">
        <v>78.831649780000006</v>
      </c>
      <c r="E1464">
        <v>60</v>
      </c>
      <c r="F1464">
        <v>59.972530364999997</v>
      </c>
      <c r="G1464">
        <v>1328.6381836</v>
      </c>
      <c r="H1464">
        <v>1327.1676024999999</v>
      </c>
      <c r="I1464">
        <v>1339.7874756000001</v>
      </c>
      <c r="J1464">
        <v>1337.0263672000001</v>
      </c>
      <c r="K1464">
        <v>0</v>
      </c>
      <c r="L1464">
        <v>2750</v>
      </c>
      <c r="M1464">
        <v>2750</v>
      </c>
      <c r="N1464">
        <v>0</v>
      </c>
    </row>
    <row r="1465" spans="1:14" x14ac:dyDescent="0.25">
      <c r="A1465">
        <v>559.17989</v>
      </c>
      <c r="B1465" s="1">
        <f>DATE(2011,11,11) + TIME(4,19,2)</f>
        <v>40858.179884259262</v>
      </c>
      <c r="C1465">
        <v>80</v>
      </c>
      <c r="D1465">
        <v>78.797386169000006</v>
      </c>
      <c r="E1465">
        <v>60</v>
      </c>
      <c r="F1465">
        <v>59.972499847000002</v>
      </c>
      <c r="G1465">
        <v>1328.6184082</v>
      </c>
      <c r="H1465">
        <v>1327.1396483999999</v>
      </c>
      <c r="I1465">
        <v>1339.7792969</v>
      </c>
      <c r="J1465">
        <v>1337.0224608999999</v>
      </c>
      <c r="K1465">
        <v>0</v>
      </c>
      <c r="L1465">
        <v>2750</v>
      </c>
      <c r="M1465">
        <v>2750</v>
      </c>
      <c r="N1465">
        <v>0</v>
      </c>
    </row>
    <row r="1466" spans="1:14" x14ac:dyDescent="0.25">
      <c r="A1466">
        <v>559.54092200000002</v>
      </c>
      <c r="B1466" s="1">
        <f>DATE(2011,11,11) + TIME(12,58,55)</f>
        <v>40858.540914351855</v>
      </c>
      <c r="C1466">
        <v>80</v>
      </c>
      <c r="D1466">
        <v>78.762748717999997</v>
      </c>
      <c r="E1466">
        <v>60</v>
      </c>
      <c r="F1466">
        <v>59.972465515000003</v>
      </c>
      <c r="G1466">
        <v>1328.5982666</v>
      </c>
      <c r="H1466">
        <v>1327.1110839999999</v>
      </c>
      <c r="I1466">
        <v>1339.7711182</v>
      </c>
      <c r="J1466">
        <v>1337.0184326000001</v>
      </c>
      <c r="K1466">
        <v>0</v>
      </c>
      <c r="L1466">
        <v>2750</v>
      </c>
      <c r="M1466">
        <v>2750</v>
      </c>
      <c r="N1466">
        <v>0</v>
      </c>
    </row>
    <row r="1467" spans="1:14" x14ac:dyDescent="0.25">
      <c r="A1467">
        <v>559.90731500000004</v>
      </c>
      <c r="B1467" s="1">
        <f>DATE(2011,11,11) + TIME(21,46,32)</f>
        <v>40858.907314814816</v>
      </c>
      <c r="C1467">
        <v>80</v>
      </c>
      <c r="D1467">
        <v>78.727729796999995</v>
      </c>
      <c r="E1467">
        <v>60</v>
      </c>
      <c r="F1467">
        <v>59.972434997999997</v>
      </c>
      <c r="G1467">
        <v>1328.5778809000001</v>
      </c>
      <c r="H1467">
        <v>1327.0822754000001</v>
      </c>
      <c r="I1467">
        <v>1339.7630615</v>
      </c>
      <c r="J1467">
        <v>1337.0146483999999</v>
      </c>
      <c r="K1467">
        <v>0</v>
      </c>
      <c r="L1467">
        <v>2750</v>
      </c>
      <c r="M1467">
        <v>2750</v>
      </c>
      <c r="N1467">
        <v>0</v>
      </c>
    </row>
    <row r="1468" spans="1:14" x14ac:dyDescent="0.25">
      <c r="A1468">
        <v>560.28071799999998</v>
      </c>
      <c r="B1468" s="1">
        <f>DATE(2011,11,12) + TIME(6,44,14)</f>
        <v>40859.280717592592</v>
      </c>
      <c r="C1468">
        <v>80</v>
      </c>
      <c r="D1468">
        <v>78.692283630000006</v>
      </c>
      <c r="E1468">
        <v>60</v>
      </c>
      <c r="F1468">
        <v>59.972400665000002</v>
      </c>
      <c r="G1468">
        <v>1328.5574951000001</v>
      </c>
      <c r="H1468">
        <v>1327.0532227000001</v>
      </c>
      <c r="I1468">
        <v>1339.7551269999999</v>
      </c>
      <c r="J1468">
        <v>1337.0108643000001</v>
      </c>
      <c r="K1468">
        <v>0</v>
      </c>
      <c r="L1468">
        <v>2750</v>
      </c>
      <c r="M1468">
        <v>2750</v>
      </c>
      <c r="N1468">
        <v>0</v>
      </c>
    </row>
    <row r="1469" spans="1:14" x14ac:dyDescent="0.25">
      <c r="A1469">
        <v>560.66172200000005</v>
      </c>
      <c r="B1469" s="1">
        <f>DATE(2011,11,12) + TIME(15,52,52)</f>
        <v>40859.661712962959</v>
      </c>
      <c r="C1469">
        <v>80</v>
      </c>
      <c r="D1469">
        <v>78.656387328999998</v>
      </c>
      <c r="E1469">
        <v>60</v>
      </c>
      <c r="F1469">
        <v>59.972370148000003</v>
      </c>
      <c r="G1469">
        <v>1328.5367432</v>
      </c>
      <c r="H1469">
        <v>1327.0240478999999</v>
      </c>
      <c r="I1469">
        <v>1339.7471923999999</v>
      </c>
      <c r="J1469">
        <v>1337.0072021000001</v>
      </c>
      <c r="K1469">
        <v>0</v>
      </c>
      <c r="L1469">
        <v>2750</v>
      </c>
      <c r="M1469">
        <v>2750</v>
      </c>
      <c r="N1469">
        <v>0</v>
      </c>
    </row>
    <row r="1470" spans="1:14" x14ac:dyDescent="0.25">
      <c r="A1470">
        <v>561.05075599999998</v>
      </c>
      <c r="B1470" s="1">
        <f>DATE(2011,11,13) + TIME(1,13,5)</f>
        <v>40860.050752314812</v>
      </c>
      <c r="C1470">
        <v>80</v>
      </c>
      <c r="D1470">
        <v>78.620025635000005</v>
      </c>
      <c r="E1470">
        <v>60</v>
      </c>
      <c r="F1470">
        <v>59.972335815000001</v>
      </c>
      <c r="G1470">
        <v>1328.5158690999999</v>
      </c>
      <c r="H1470">
        <v>1326.9945068</v>
      </c>
      <c r="I1470">
        <v>1339.7393798999999</v>
      </c>
      <c r="J1470">
        <v>1337.003418</v>
      </c>
      <c r="K1470">
        <v>0</v>
      </c>
      <c r="L1470">
        <v>2750</v>
      </c>
      <c r="M1470">
        <v>2750</v>
      </c>
      <c r="N1470">
        <v>0</v>
      </c>
    </row>
    <row r="1471" spans="1:14" x14ac:dyDescent="0.25">
      <c r="A1471">
        <v>561.44950500000004</v>
      </c>
      <c r="B1471" s="1">
        <f>DATE(2011,11,13) + TIME(10,47,17)</f>
        <v>40860.449502314812</v>
      </c>
      <c r="C1471">
        <v>80</v>
      </c>
      <c r="D1471">
        <v>78.583106994999994</v>
      </c>
      <c r="E1471">
        <v>60</v>
      </c>
      <c r="F1471">
        <v>59.972305298000002</v>
      </c>
      <c r="G1471">
        <v>1328.494751</v>
      </c>
      <c r="H1471">
        <v>1326.9647216999999</v>
      </c>
      <c r="I1471">
        <v>1339.7316894999999</v>
      </c>
      <c r="J1471">
        <v>1336.9998779</v>
      </c>
      <c r="K1471">
        <v>0</v>
      </c>
      <c r="L1471">
        <v>2750</v>
      </c>
      <c r="M1471">
        <v>2750</v>
      </c>
      <c r="N1471">
        <v>0</v>
      </c>
    </row>
    <row r="1472" spans="1:14" x14ac:dyDescent="0.25">
      <c r="A1472">
        <v>561.85982200000001</v>
      </c>
      <c r="B1472" s="1">
        <f>DATE(2011,11,13) + TIME(20,38,8)</f>
        <v>40860.859814814816</v>
      </c>
      <c r="C1472">
        <v>80</v>
      </c>
      <c r="D1472">
        <v>78.545509338000002</v>
      </c>
      <c r="E1472">
        <v>60</v>
      </c>
      <c r="F1472">
        <v>59.972274779999999</v>
      </c>
      <c r="G1472">
        <v>1328.4733887</v>
      </c>
      <c r="H1472">
        <v>1326.9344481999999</v>
      </c>
      <c r="I1472">
        <v>1339.7238769999999</v>
      </c>
      <c r="J1472">
        <v>1336.9963379000001</v>
      </c>
      <c r="K1472">
        <v>0</v>
      </c>
      <c r="L1472">
        <v>2750</v>
      </c>
      <c r="M1472">
        <v>2750</v>
      </c>
      <c r="N1472">
        <v>0</v>
      </c>
    </row>
    <row r="1473" spans="1:14" x14ac:dyDescent="0.25">
      <c r="A1473">
        <v>562.27607399999999</v>
      </c>
      <c r="B1473" s="1">
        <f>DATE(2011,11,14) + TIME(6,37,32)</f>
        <v>40861.276064814818</v>
      </c>
      <c r="C1473">
        <v>80</v>
      </c>
      <c r="D1473">
        <v>78.507537842000005</v>
      </c>
      <c r="E1473">
        <v>60</v>
      </c>
      <c r="F1473">
        <v>59.972244263</v>
      </c>
      <c r="G1473">
        <v>1328.4516602000001</v>
      </c>
      <c r="H1473">
        <v>1326.9038086</v>
      </c>
      <c r="I1473">
        <v>1339.7161865</v>
      </c>
      <c r="J1473">
        <v>1336.9926757999999</v>
      </c>
      <c r="K1473">
        <v>0</v>
      </c>
      <c r="L1473">
        <v>2750</v>
      </c>
      <c r="M1473">
        <v>2750</v>
      </c>
      <c r="N1473">
        <v>0</v>
      </c>
    </row>
    <row r="1474" spans="1:14" x14ac:dyDescent="0.25">
      <c r="A1474">
        <v>562.69955800000002</v>
      </c>
      <c r="B1474" s="1">
        <f>DATE(2011,11,14) + TIME(16,47,21)</f>
        <v>40861.699548611112</v>
      </c>
      <c r="C1474">
        <v>80</v>
      </c>
      <c r="D1474">
        <v>78.469154357999997</v>
      </c>
      <c r="E1474">
        <v>60</v>
      </c>
      <c r="F1474">
        <v>59.972213744999998</v>
      </c>
      <c r="G1474">
        <v>1328.4298096</v>
      </c>
      <c r="H1474">
        <v>1326.8730469</v>
      </c>
      <c r="I1474">
        <v>1339.7084961</v>
      </c>
      <c r="J1474">
        <v>1336.9892577999999</v>
      </c>
      <c r="K1474">
        <v>0</v>
      </c>
      <c r="L1474">
        <v>2750</v>
      </c>
      <c r="M1474">
        <v>2750</v>
      </c>
      <c r="N1474">
        <v>0</v>
      </c>
    </row>
    <row r="1475" spans="1:14" x14ac:dyDescent="0.25">
      <c r="A1475">
        <v>563.13197500000001</v>
      </c>
      <c r="B1475" s="1">
        <f>DATE(2011,11,15) + TIME(3,10,2)</f>
        <v>40862.131967592592</v>
      </c>
      <c r="C1475">
        <v>80</v>
      </c>
      <c r="D1475">
        <v>78.430305481000005</v>
      </c>
      <c r="E1475">
        <v>60</v>
      </c>
      <c r="F1475">
        <v>59.972179412999999</v>
      </c>
      <c r="G1475">
        <v>1328.4077147999999</v>
      </c>
      <c r="H1475">
        <v>1326.8420410000001</v>
      </c>
      <c r="I1475">
        <v>1339.7009277</v>
      </c>
      <c r="J1475">
        <v>1336.9858397999999</v>
      </c>
      <c r="K1475">
        <v>0</v>
      </c>
      <c r="L1475">
        <v>2750</v>
      </c>
      <c r="M1475">
        <v>2750</v>
      </c>
      <c r="N1475">
        <v>0</v>
      </c>
    </row>
    <row r="1476" spans="1:14" x14ac:dyDescent="0.25">
      <c r="A1476">
        <v>563.575152</v>
      </c>
      <c r="B1476" s="1">
        <f>DATE(2011,11,15) + TIME(13,48,13)</f>
        <v>40862.575150462966</v>
      </c>
      <c r="C1476">
        <v>80</v>
      </c>
      <c r="D1476">
        <v>78.390869140999996</v>
      </c>
      <c r="E1476">
        <v>60</v>
      </c>
      <c r="F1476">
        <v>59.972148894999997</v>
      </c>
      <c r="G1476">
        <v>1328.385376</v>
      </c>
      <c r="H1476">
        <v>1326.8106689000001</v>
      </c>
      <c r="I1476">
        <v>1339.6934814000001</v>
      </c>
      <c r="J1476">
        <v>1336.9824219</v>
      </c>
      <c r="K1476">
        <v>0</v>
      </c>
      <c r="L1476">
        <v>2750</v>
      </c>
      <c r="M1476">
        <v>2750</v>
      </c>
      <c r="N1476">
        <v>0</v>
      </c>
    </row>
    <row r="1477" spans="1:14" x14ac:dyDescent="0.25">
      <c r="A1477">
        <v>564.03101200000003</v>
      </c>
      <c r="B1477" s="1">
        <f>DATE(2011,11,16) + TIME(0,44,39)</f>
        <v>40863.031006944446</v>
      </c>
      <c r="C1477">
        <v>80</v>
      </c>
      <c r="D1477">
        <v>78.350730896000002</v>
      </c>
      <c r="E1477">
        <v>60</v>
      </c>
      <c r="F1477">
        <v>59.972118377999998</v>
      </c>
      <c r="G1477">
        <v>1328.362793</v>
      </c>
      <c r="H1477">
        <v>1326.7788086</v>
      </c>
      <c r="I1477">
        <v>1339.6859131000001</v>
      </c>
      <c r="J1477">
        <v>1336.9790039</v>
      </c>
      <c r="K1477">
        <v>0</v>
      </c>
      <c r="L1477">
        <v>2750</v>
      </c>
      <c r="M1477">
        <v>2750</v>
      </c>
      <c r="N1477">
        <v>0</v>
      </c>
    </row>
    <row r="1478" spans="1:14" x14ac:dyDescent="0.25">
      <c r="A1478">
        <v>564.50185299999998</v>
      </c>
      <c r="B1478" s="1">
        <f>DATE(2011,11,16) + TIME(12,2,40)</f>
        <v>40863.501851851855</v>
      </c>
      <c r="C1478">
        <v>80</v>
      </c>
      <c r="D1478">
        <v>78.309730529999996</v>
      </c>
      <c r="E1478">
        <v>60</v>
      </c>
      <c r="F1478">
        <v>59.972087860000002</v>
      </c>
      <c r="G1478">
        <v>1328.3398437999999</v>
      </c>
      <c r="H1478">
        <v>1326.746582</v>
      </c>
      <c r="I1478">
        <v>1339.6784668</v>
      </c>
      <c r="J1478">
        <v>1336.9757079999999</v>
      </c>
      <c r="K1478">
        <v>0</v>
      </c>
      <c r="L1478">
        <v>2750</v>
      </c>
      <c r="M1478">
        <v>2750</v>
      </c>
      <c r="N1478">
        <v>0</v>
      </c>
    </row>
    <row r="1479" spans="1:14" x14ac:dyDescent="0.25">
      <c r="A1479">
        <v>564.98813700000005</v>
      </c>
      <c r="B1479" s="1">
        <f>DATE(2011,11,16) + TIME(23,42,55)</f>
        <v>40863.988136574073</v>
      </c>
      <c r="C1479">
        <v>80</v>
      </c>
      <c r="D1479">
        <v>78.267807007000002</v>
      </c>
      <c r="E1479">
        <v>60</v>
      </c>
      <c r="F1479">
        <v>59.972057343000003</v>
      </c>
      <c r="G1479">
        <v>1328.3164062000001</v>
      </c>
      <c r="H1479">
        <v>1326.7136230000001</v>
      </c>
      <c r="I1479">
        <v>1339.6708983999999</v>
      </c>
      <c r="J1479">
        <v>1336.9724120999999</v>
      </c>
      <c r="K1479">
        <v>0</v>
      </c>
      <c r="L1479">
        <v>2750</v>
      </c>
      <c r="M1479">
        <v>2750</v>
      </c>
      <c r="N1479">
        <v>0</v>
      </c>
    </row>
    <row r="1480" spans="1:14" x14ac:dyDescent="0.25">
      <c r="A1480">
        <v>565.48352799999998</v>
      </c>
      <c r="B1480" s="1">
        <f>DATE(2011,11,17) + TIME(11,36,16)</f>
        <v>40864.483518518522</v>
      </c>
      <c r="C1480">
        <v>80</v>
      </c>
      <c r="D1480">
        <v>78.225219726999995</v>
      </c>
      <c r="E1480">
        <v>60</v>
      </c>
      <c r="F1480">
        <v>59.972026825</v>
      </c>
      <c r="G1480">
        <v>1328.2924805</v>
      </c>
      <c r="H1480">
        <v>1326.6801757999999</v>
      </c>
      <c r="I1480">
        <v>1339.6633300999999</v>
      </c>
      <c r="J1480">
        <v>1336.9689940999999</v>
      </c>
      <c r="K1480">
        <v>0</v>
      </c>
      <c r="L1480">
        <v>2750</v>
      </c>
      <c r="M1480">
        <v>2750</v>
      </c>
      <c r="N1480">
        <v>0</v>
      </c>
    </row>
    <row r="1481" spans="1:14" x14ac:dyDescent="0.25">
      <c r="A1481">
        <v>565.98537499999998</v>
      </c>
      <c r="B1481" s="1">
        <f>DATE(2011,11,17) + TIME(23,38,56)</f>
        <v>40864.98537037037</v>
      </c>
      <c r="C1481">
        <v>80</v>
      </c>
      <c r="D1481">
        <v>78.182182311999995</v>
      </c>
      <c r="E1481">
        <v>60</v>
      </c>
      <c r="F1481">
        <v>59.971996306999998</v>
      </c>
      <c r="G1481">
        <v>1328.2683105000001</v>
      </c>
      <c r="H1481">
        <v>1326.6463623</v>
      </c>
      <c r="I1481">
        <v>1339.6558838000001</v>
      </c>
      <c r="J1481">
        <v>1336.9656981999999</v>
      </c>
      <c r="K1481">
        <v>0</v>
      </c>
      <c r="L1481">
        <v>2750</v>
      </c>
      <c r="M1481">
        <v>2750</v>
      </c>
      <c r="N1481">
        <v>0</v>
      </c>
    </row>
    <row r="1482" spans="1:14" x14ac:dyDescent="0.25">
      <c r="A1482">
        <v>566.49600599999997</v>
      </c>
      <c r="B1482" s="1">
        <f>DATE(2011,11,18) + TIME(11,54,14)</f>
        <v>40865.495995370373</v>
      </c>
      <c r="C1482">
        <v>80</v>
      </c>
      <c r="D1482">
        <v>78.138679503999995</v>
      </c>
      <c r="E1482">
        <v>60</v>
      </c>
      <c r="F1482">
        <v>59.971969604000002</v>
      </c>
      <c r="G1482">
        <v>1328.2440185999999</v>
      </c>
      <c r="H1482">
        <v>1326.6123047000001</v>
      </c>
      <c r="I1482">
        <v>1339.6484375</v>
      </c>
      <c r="J1482">
        <v>1336.9625243999999</v>
      </c>
      <c r="K1482">
        <v>0</v>
      </c>
      <c r="L1482">
        <v>2750</v>
      </c>
      <c r="M1482">
        <v>2750</v>
      </c>
      <c r="N1482">
        <v>0</v>
      </c>
    </row>
    <row r="1483" spans="1:14" x14ac:dyDescent="0.25">
      <c r="A1483">
        <v>567.01775699999996</v>
      </c>
      <c r="B1483" s="1">
        <f>DATE(2011,11,19) + TIME(0,25,34)</f>
        <v>40866.017754629633</v>
      </c>
      <c r="C1483">
        <v>80</v>
      </c>
      <c r="D1483">
        <v>78.094612122000001</v>
      </c>
      <c r="E1483">
        <v>60</v>
      </c>
      <c r="F1483">
        <v>59.971939087000003</v>
      </c>
      <c r="G1483">
        <v>1328.2194824000001</v>
      </c>
      <c r="H1483">
        <v>1326.578125</v>
      </c>
      <c r="I1483">
        <v>1339.6411132999999</v>
      </c>
      <c r="J1483">
        <v>1336.9593506000001</v>
      </c>
      <c r="K1483">
        <v>0</v>
      </c>
      <c r="L1483">
        <v>2750</v>
      </c>
      <c r="M1483">
        <v>2750</v>
      </c>
      <c r="N1483">
        <v>0</v>
      </c>
    </row>
    <row r="1484" spans="1:14" x14ac:dyDescent="0.25">
      <c r="A1484">
        <v>567.55310699999995</v>
      </c>
      <c r="B1484" s="1">
        <f>DATE(2011,11,19) + TIME(13,16,28)</f>
        <v>40866.553101851852</v>
      </c>
      <c r="C1484">
        <v>80</v>
      </c>
      <c r="D1484">
        <v>78.049827575999998</v>
      </c>
      <c r="E1484">
        <v>60</v>
      </c>
      <c r="F1484">
        <v>59.971908569</v>
      </c>
      <c r="G1484">
        <v>1328.1947021000001</v>
      </c>
      <c r="H1484">
        <v>1326.5435791</v>
      </c>
      <c r="I1484">
        <v>1339.6337891000001</v>
      </c>
      <c r="J1484">
        <v>1336.9562988</v>
      </c>
      <c r="K1484">
        <v>0</v>
      </c>
      <c r="L1484">
        <v>2750</v>
      </c>
      <c r="M1484">
        <v>2750</v>
      </c>
      <c r="N1484">
        <v>0</v>
      </c>
    </row>
    <row r="1485" spans="1:14" x14ac:dyDescent="0.25">
      <c r="A1485">
        <v>568.10490100000004</v>
      </c>
      <c r="B1485" s="1">
        <f>DATE(2011,11,20) + TIME(2,31,3)</f>
        <v>40867.104895833334</v>
      </c>
      <c r="C1485">
        <v>80</v>
      </c>
      <c r="D1485">
        <v>78.004158020000006</v>
      </c>
      <c r="E1485">
        <v>60</v>
      </c>
      <c r="F1485">
        <v>59.971878052000001</v>
      </c>
      <c r="G1485">
        <v>1328.1696777</v>
      </c>
      <c r="H1485">
        <v>1326.5085449000001</v>
      </c>
      <c r="I1485">
        <v>1339.6264647999999</v>
      </c>
      <c r="J1485">
        <v>1336.953125</v>
      </c>
      <c r="K1485">
        <v>0</v>
      </c>
      <c r="L1485">
        <v>2750</v>
      </c>
      <c r="M1485">
        <v>2750</v>
      </c>
      <c r="N1485">
        <v>0</v>
      </c>
    </row>
    <row r="1486" spans="1:14" x14ac:dyDescent="0.25">
      <c r="A1486">
        <v>568.67212400000005</v>
      </c>
      <c r="B1486" s="1">
        <f>DATE(2011,11,20) + TIME(16,7,51)</f>
        <v>40867.672118055554</v>
      </c>
      <c r="C1486">
        <v>80</v>
      </c>
      <c r="D1486">
        <v>77.957565308</v>
      </c>
      <c r="E1486">
        <v>60</v>
      </c>
      <c r="F1486">
        <v>59.971851348999998</v>
      </c>
      <c r="G1486">
        <v>1328.1441649999999</v>
      </c>
      <c r="H1486">
        <v>1326.4729004000001</v>
      </c>
      <c r="I1486">
        <v>1339.6191406</v>
      </c>
      <c r="J1486">
        <v>1336.9500731999999</v>
      </c>
      <c r="K1486">
        <v>0</v>
      </c>
      <c r="L1486">
        <v>2750</v>
      </c>
      <c r="M1486">
        <v>2750</v>
      </c>
      <c r="N1486">
        <v>0</v>
      </c>
    </row>
    <row r="1487" spans="1:14" x14ac:dyDescent="0.25">
      <c r="A1487">
        <v>569.24242200000003</v>
      </c>
      <c r="B1487" s="1">
        <f>DATE(2011,11,21) + TIME(5,49,5)</f>
        <v>40868.242418981485</v>
      </c>
      <c r="C1487">
        <v>80</v>
      </c>
      <c r="D1487">
        <v>77.910560607999997</v>
      </c>
      <c r="E1487">
        <v>60</v>
      </c>
      <c r="F1487">
        <v>59.971820831000002</v>
      </c>
      <c r="G1487">
        <v>1328.1181641000001</v>
      </c>
      <c r="H1487">
        <v>1326.4368896000001</v>
      </c>
      <c r="I1487">
        <v>1339.6118164</v>
      </c>
      <c r="J1487">
        <v>1336.9470214999999</v>
      </c>
      <c r="K1487">
        <v>0</v>
      </c>
      <c r="L1487">
        <v>2750</v>
      </c>
      <c r="M1487">
        <v>2750</v>
      </c>
      <c r="N1487">
        <v>0</v>
      </c>
    </row>
    <row r="1488" spans="1:14" x14ac:dyDescent="0.25">
      <c r="A1488">
        <v>569.81959400000005</v>
      </c>
      <c r="B1488" s="1">
        <f>DATE(2011,11,21) + TIME(19,40,12)</f>
        <v>40868.81958333333</v>
      </c>
      <c r="C1488">
        <v>80</v>
      </c>
      <c r="D1488">
        <v>77.863174438000001</v>
      </c>
      <c r="E1488">
        <v>60</v>
      </c>
      <c r="F1488">
        <v>59.971790314000003</v>
      </c>
      <c r="G1488">
        <v>1328.0922852000001</v>
      </c>
      <c r="H1488">
        <v>1326.4007568</v>
      </c>
      <c r="I1488">
        <v>1339.6046143000001</v>
      </c>
      <c r="J1488">
        <v>1336.9439697</v>
      </c>
      <c r="K1488">
        <v>0</v>
      </c>
      <c r="L1488">
        <v>2750</v>
      </c>
      <c r="M1488">
        <v>2750</v>
      </c>
      <c r="N1488">
        <v>0</v>
      </c>
    </row>
    <row r="1489" spans="1:14" x14ac:dyDescent="0.25">
      <c r="A1489">
        <v>570.40636700000005</v>
      </c>
      <c r="B1489" s="1">
        <f>DATE(2011,11,22) + TIME(9,45,10)</f>
        <v>40869.406365740739</v>
      </c>
      <c r="C1489">
        <v>80</v>
      </c>
      <c r="D1489">
        <v>77.815345764</v>
      </c>
      <c r="E1489">
        <v>60</v>
      </c>
      <c r="F1489">
        <v>59.971763611</v>
      </c>
      <c r="G1489">
        <v>1328.0662841999999</v>
      </c>
      <c r="H1489">
        <v>1326.364624</v>
      </c>
      <c r="I1489">
        <v>1339.5975341999999</v>
      </c>
      <c r="J1489">
        <v>1336.9410399999999</v>
      </c>
      <c r="K1489">
        <v>0</v>
      </c>
      <c r="L1489">
        <v>2750</v>
      </c>
      <c r="M1489">
        <v>2750</v>
      </c>
      <c r="N1489">
        <v>0</v>
      </c>
    </row>
    <row r="1490" spans="1:14" x14ac:dyDescent="0.25">
      <c r="A1490">
        <v>571.00523199999998</v>
      </c>
      <c r="B1490" s="1">
        <f>DATE(2011,11,23) + TIME(0,7,32)</f>
        <v>40870.005231481482</v>
      </c>
      <c r="C1490">
        <v>80</v>
      </c>
      <c r="D1490">
        <v>77.766929626000007</v>
      </c>
      <c r="E1490">
        <v>60</v>
      </c>
      <c r="F1490">
        <v>59.971736907999997</v>
      </c>
      <c r="G1490">
        <v>1328.0401611</v>
      </c>
      <c r="H1490">
        <v>1326.3283690999999</v>
      </c>
      <c r="I1490">
        <v>1339.5904541</v>
      </c>
      <c r="J1490">
        <v>1336.9382324000001</v>
      </c>
      <c r="K1490">
        <v>0</v>
      </c>
      <c r="L1490">
        <v>2750</v>
      </c>
      <c r="M1490">
        <v>2750</v>
      </c>
      <c r="N1490">
        <v>0</v>
      </c>
    </row>
    <row r="1491" spans="1:14" x14ac:dyDescent="0.25">
      <c r="A1491">
        <v>571.61886800000002</v>
      </c>
      <c r="B1491" s="1">
        <f>DATE(2011,11,23) + TIME(14,51,10)</f>
        <v>40870.61886574074</v>
      </c>
      <c r="C1491">
        <v>80</v>
      </c>
      <c r="D1491">
        <v>77.717758179</v>
      </c>
      <c r="E1491">
        <v>60</v>
      </c>
      <c r="F1491">
        <v>59.971706390000001</v>
      </c>
      <c r="G1491">
        <v>1328.0139160000001</v>
      </c>
      <c r="H1491">
        <v>1326.2917480000001</v>
      </c>
      <c r="I1491">
        <v>1339.5834961</v>
      </c>
      <c r="J1491">
        <v>1336.9353027</v>
      </c>
      <c r="K1491">
        <v>0</v>
      </c>
      <c r="L1491">
        <v>2750</v>
      </c>
      <c r="M1491">
        <v>2750</v>
      </c>
      <c r="N1491">
        <v>0</v>
      </c>
    </row>
    <row r="1492" spans="1:14" x14ac:dyDescent="0.25">
      <c r="A1492">
        <v>572.25011700000005</v>
      </c>
      <c r="B1492" s="1">
        <f>DATE(2011,11,24) + TIME(6,0,10)</f>
        <v>40871.250115740739</v>
      </c>
      <c r="C1492">
        <v>80</v>
      </c>
      <c r="D1492">
        <v>77.667617797999995</v>
      </c>
      <c r="E1492">
        <v>60</v>
      </c>
      <c r="F1492">
        <v>59.971679688000002</v>
      </c>
      <c r="G1492">
        <v>1327.9871826000001</v>
      </c>
      <c r="H1492">
        <v>1326.2547606999999</v>
      </c>
      <c r="I1492">
        <v>1339.5764160000001</v>
      </c>
      <c r="J1492">
        <v>1336.9324951000001</v>
      </c>
      <c r="K1492">
        <v>0</v>
      </c>
      <c r="L1492">
        <v>2750</v>
      </c>
      <c r="M1492">
        <v>2750</v>
      </c>
      <c r="N1492">
        <v>0</v>
      </c>
    </row>
    <row r="1493" spans="1:14" x14ac:dyDescent="0.25">
      <c r="A1493">
        <v>572.90239999999994</v>
      </c>
      <c r="B1493" s="1">
        <f>DATE(2011,11,24) + TIME(21,39,27)</f>
        <v>40871.902395833335</v>
      </c>
      <c r="C1493">
        <v>80</v>
      </c>
      <c r="D1493">
        <v>77.616279602000006</v>
      </c>
      <c r="E1493">
        <v>60</v>
      </c>
      <c r="F1493">
        <v>59.971652984999999</v>
      </c>
      <c r="G1493">
        <v>1327.9600829999999</v>
      </c>
      <c r="H1493">
        <v>1326.2171631000001</v>
      </c>
      <c r="I1493">
        <v>1339.5694579999999</v>
      </c>
      <c r="J1493">
        <v>1336.9296875</v>
      </c>
      <c r="K1493">
        <v>0</v>
      </c>
      <c r="L1493">
        <v>2750</v>
      </c>
      <c r="M1493">
        <v>2750</v>
      </c>
      <c r="N1493">
        <v>0</v>
      </c>
    </row>
    <row r="1494" spans="1:14" x14ac:dyDescent="0.25">
      <c r="A1494">
        <v>573.56969200000003</v>
      </c>
      <c r="B1494" s="1">
        <f>DATE(2011,11,25) + TIME(13,40,21)</f>
        <v>40872.569687499999</v>
      </c>
      <c r="C1494">
        <v>80</v>
      </c>
      <c r="D1494">
        <v>77.563842773000005</v>
      </c>
      <c r="E1494">
        <v>60</v>
      </c>
      <c r="F1494">
        <v>59.971626282000003</v>
      </c>
      <c r="G1494">
        <v>1327.9324951000001</v>
      </c>
      <c r="H1494">
        <v>1326.1789550999999</v>
      </c>
      <c r="I1494">
        <v>1339.5623779</v>
      </c>
      <c r="J1494">
        <v>1336.9268798999999</v>
      </c>
      <c r="K1494">
        <v>0</v>
      </c>
      <c r="L1494">
        <v>2750</v>
      </c>
      <c r="M1494">
        <v>2750</v>
      </c>
      <c r="N1494">
        <v>0</v>
      </c>
    </row>
    <row r="1495" spans="1:14" x14ac:dyDescent="0.25">
      <c r="A1495">
        <v>574.25234399999999</v>
      </c>
      <c r="B1495" s="1">
        <f>DATE(2011,11,26) + TIME(6,3,22)</f>
        <v>40873.252337962964</v>
      </c>
      <c r="C1495">
        <v>80</v>
      </c>
      <c r="D1495">
        <v>77.510353088000002</v>
      </c>
      <c r="E1495">
        <v>60</v>
      </c>
      <c r="F1495">
        <v>59.971599578999999</v>
      </c>
      <c r="G1495">
        <v>1327.9045410000001</v>
      </c>
      <c r="H1495">
        <v>1326.1403809000001</v>
      </c>
      <c r="I1495">
        <v>1339.5552978999999</v>
      </c>
      <c r="J1495">
        <v>1336.9240723</v>
      </c>
      <c r="K1495">
        <v>0</v>
      </c>
      <c r="L1495">
        <v>2750</v>
      </c>
      <c r="M1495">
        <v>2750</v>
      </c>
      <c r="N1495">
        <v>0</v>
      </c>
    </row>
    <row r="1496" spans="1:14" x14ac:dyDescent="0.25">
      <c r="A1496">
        <v>574.95410400000003</v>
      </c>
      <c r="B1496" s="1">
        <f>DATE(2011,11,26) + TIME(22,53,54)</f>
        <v>40873.954097222224</v>
      </c>
      <c r="C1496">
        <v>80</v>
      </c>
      <c r="D1496">
        <v>77.455688476999995</v>
      </c>
      <c r="E1496">
        <v>60</v>
      </c>
      <c r="F1496">
        <v>59.971572876000003</v>
      </c>
      <c r="G1496">
        <v>1327.8762207</v>
      </c>
      <c r="H1496">
        <v>1326.1011963000001</v>
      </c>
      <c r="I1496">
        <v>1339.5482178</v>
      </c>
      <c r="J1496">
        <v>1336.9212646000001</v>
      </c>
      <c r="K1496">
        <v>0</v>
      </c>
      <c r="L1496">
        <v>2750</v>
      </c>
      <c r="M1496">
        <v>2750</v>
      </c>
      <c r="N1496">
        <v>0</v>
      </c>
    </row>
    <row r="1497" spans="1:14" x14ac:dyDescent="0.25">
      <c r="A1497">
        <v>575.67537700000003</v>
      </c>
      <c r="B1497" s="1">
        <f>DATE(2011,11,27) + TIME(16,12,32)</f>
        <v>40874.675370370373</v>
      </c>
      <c r="C1497">
        <v>80</v>
      </c>
      <c r="D1497">
        <v>77.399765015</v>
      </c>
      <c r="E1497">
        <v>60</v>
      </c>
      <c r="F1497">
        <v>59.971546173</v>
      </c>
      <c r="G1497">
        <v>1327.8475341999999</v>
      </c>
      <c r="H1497">
        <v>1326.0615233999999</v>
      </c>
      <c r="I1497">
        <v>1339.5411377</v>
      </c>
      <c r="J1497">
        <v>1336.9185791</v>
      </c>
      <c r="K1497">
        <v>0</v>
      </c>
      <c r="L1497">
        <v>2750</v>
      </c>
      <c r="M1497">
        <v>2750</v>
      </c>
      <c r="N1497">
        <v>0</v>
      </c>
    </row>
    <row r="1498" spans="1:14" x14ac:dyDescent="0.25">
      <c r="A1498">
        <v>576.40795800000001</v>
      </c>
      <c r="B1498" s="1">
        <f>DATE(2011,11,28) + TIME(9,47,27)</f>
        <v>40875.407951388886</v>
      </c>
      <c r="C1498">
        <v>80</v>
      </c>
      <c r="D1498">
        <v>77.342803954999994</v>
      </c>
      <c r="E1498">
        <v>60</v>
      </c>
      <c r="F1498">
        <v>59.971515656000001</v>
      </c>
      <c r="G1498">
        <v>1327.8183594</v>
      </c>
      <c r="H1498">
        <v>1326.0213623</v>
      </c>
      <c r="I1498">
        <v>1339.5340576000001</v>
      </c>
      <c r="J1498">
        <v>1336.9157714999999</v>
      </c>
      <c r="K1498">
        <v>0</v>
      </c>
      <c r="L1498">
        <v>2750</v>
      </c>
      <c r="M1498">
        <v>2750</v>
      </c>
      <c r="N1498">
        <v>0</v>
      </c>
    </row>
    <row r="1499" spans="1:14" x14ac:dyDescent="0.25">
      <c r="A1499">
        <v>577.14315399999998</v>
      </c>
      <c r="B1499" s="1">
        <f>DATE(2011,11,29) + TIME(3,26,8)</f>
        <v>40876.143148148149</v>
      </c>
      <c r="C1499">
        <v>80</v>
      </c>
      <c r="D1499">
        <v>77.285263061999999</v>
      </c>
      <c r="E1499">
        <v>60</v>
      </c>
      <c r="F1499">
        <v>59.971488952999998</v>
      </c>
      <c r="G1499">
        <v>1327.7891846</v>
      </c>
      <c r="H1499">
        <v>1325.9810791</v>
      </c>
      <c r="I1499">
        <v>1339.5269774999999</v>
      </c>
      <c r="J1499">
        <v>1336.9130858999999</v>
      </c>
      <c r="K1499">
        <v>0</v>
      </c>
      <c r="L1499">
        <v>2750</v>
      </c>
      <c r="M1499">
        <v>2750</v>
      </c>
      <c r="N1499">
        <v>0</v>
      </c>
    </row>
    <row r="1500" spans="1:14" x14ac:dyDescent="0.25">
      <c r="A1500">
        <v>577.88623099999995</v>
      </c>
      <c r="B1500" s="1">
        <f>DATE(2011,11,29) + TIME(21,16,10)</f>
        <v>40876.88622685185</v>
      </c>
      <c r="C1500">
        <v>80</v>
      </c>
      <c r="D1500">
        <v>77.227249146000005</v>
      </c>
      <c r="E1500">
        <v>60</v>
      </c>
      <c r="F1500">
        <v>59.971466063999998</v>
      </c>
      <c r="G1500">
        <v>1327.7600098</v>
      </c>
      <c r="H1500">
        <v>1325.9407959</v>
      </c>
      <c r="I1500">
        <v>1339.5201416</v>
      </c>
      <c r="J1500">
        <v>1336.9104004000001</v>
      </c>
      <c r="K1500">
        <v>0</v>
      </c>
      <c r="L1500">
        <v>2750</v>
      </c>
      <c r="M1500">
        <v>2750</v>
      </c>
      <c r="N1500">
        <v>0</v>
      </c>
    </row>
    <row r="1501" spans="1:14" x14ac:dyDescent="0.25">
      <c r="A1501">
        <v>578.64049299999999</v>
      </c>
      <c r="B1501" s="1">
        <f>DATE(2011,11,30) + TIME(15,22,18)</f>
        <v>40877.640486111108</v>
      </c>
      <c r="C1501">
        <v>80</v>
      </c>
      <c r="D1501">
        <v>77.168624878000003</v>
      </c>
      <c r="E1501">
        <v>60</v>
      </c>
      <c r="F1501">
        <v>59.971439361999998</v>
      </c>
      <c r="G1501">
        <v>1327.7308350000001</v>
      </c>
      <c r="H1501">
        <v>1325.9006348</v>
      </c>
      <c r="I1501">
        <v>1339.5133057</v>
      </c>
      <c r="J1501">
        <v>1336.9078368999999</v>
      </c>
      <c r="K1501">
        <v>0</v>
      </c>
      <c r="L1501">
        <v>2750</v>
      </c>
      <c r="M1501">
        <v>2750</v>
      </c>
      <c r="N1501">
        <v>0</v>
      </c>
    </row>
    <row r="1502" spans="1:14" x14ac:dyDescent="0.25">
      <c r="A1502">
        <v>579</v>
      </c>
      <c r="B1502" s="1">
        <f>DATE(2011,12,1) + TIME(0,0,0)</f>
        <v>40878</v>
      </c>
      <c r="C1502">
        <v>80</v>
      </c>
      <c r="D1502">
        <v>77.128761291999993</v>
      </c>
      <c r="E1502">
        <v>60</v>
      </c>
      <c r="F1502">
        <v>59.971416472999998</v>
      </c>
      <c r="G1502">
        <v>1327.7030029</v>
      </c>
      <c r="H1502">
        <v>1325.8632812000001</v>
      </c>
      <c r="I1502">
        <v>1339.5064697</v>
      </c>
      <c r="J1502">
        <v>1336.9051514</v>
      </c>
      <c r="K1502">
        <v>0</v>
      </c>
      <c r="L1502">
        <v>2750</v>
      </c>
      <c r="M1502">
        <v>2750</v>
      </c>
      <c r="N1502">
        <v>0</v>
      </c>
    </row>
    <row r="1503" spans="1:14" x14ac:dyDescent="0.25">
      <c r="A1503">
        <v>579.768956</v>
      </c>
      <c r="B1503" s="1">
        <f>DATE(2011,12,1) + TIME(18,27,17)</f>
        <v>40878.768946759257</v>
      </c>
      <c r="C1503">
        <v>80</v>
      </c>
      <c r="D1503">
        <v>77.075965881000002</v>
      </c>
      <c r="E1503">
        <v>60</v>
      </c>
      <c r="F1503">
        <v>59.971397400000001</v>
      </c>
      <c r="G1503">
        <v>1327.6851807</v>
      </c>
      <c r="H1503">
        <v>1325.8369141000001</v>
      </c>
      <c r="I1503">
        <v>1339.503418</v>
      </c>
      <c r="J1503">
        <v>1336.9040527</v>
      </c>
      <c r="K1503">
        <v>0</v>
      </c>
      <c r="L1503">
        <v>2750</v>
      </c>
      <c r="M1503">
        <v>2750</v>
      </c>
      <c r="N1503">
        <v>0</v>
      </c>
    </row>
    <row r="1504" spans="1:14" x14ac:dyDescent="0.25">
      <c r="A1504">
        <v>580.56665799999996</v>
      </c>
      <c r="B1504" s="1">
        <f>DATE(2011,12,2) + TIME(13,35,59)</f>
        <v>40879.566655092596</v>
      </c>
      <c r="C1504">
        <v>80</v>
      </c>
      <c r="D1504">
        <v>77.018020629999995</v>
      </c>
      <c r="E1504">
        <v>60</v>
      </c>
      <c r="F1504">
        <v>59.971378326</v>
      </c>
      <c r="G1504">
        <v>1327.6573486</v>
      </c>
      <c r="H1504">
        <v>1325.7991943</v>
      </c>
      <c r="I1504">
        <v>1339.4967041</v>
      </c>
      <c r="J1504">
        <v>1336.9016113</v>
      </c>
      <c r="K1504">
        <v>0</v>
      </c>
      <c r="L1504">
        <v>2750</v>
      </c>
      <c r="M1504">
        <v>2750</v>
      </c>
      <c r="N1504">
        <v>0</v>
      </c>
    </row>
    <row r="1505" spans="1:14" x14ac:dyDescent="0.25">
      <c r="A1505">
        <v>581.38846100000001</v>
      </c>
      <c r="B1505" s="1">
        <f>DATE(2011,12,3) + TIME(9,19,23)</f>
        <v>40880.388460648152</v>
      </c>
      <c r="C1505">
        <v>80</v>
      </c>
      <c r="D1505">
        <v>76.956695557000003</v>
      </c>
      <c r="E1505">
        <v>60</v>
      </c>
      <c r="F1505">
        <v>59.971355438000003</v>
      </c>
      <c r="G1505">
        <v>1327.6281738</v>
      </c>
      <c r="H1505">
        <v>1325.7592772999999</v>
      </c>
      <c r="I1505">
        <v>1339.4899902</v>
      </c>
      <c r="J1505">
        <v>1336.8990478999999</v>
      </c>
      <c r="K1505">
        <v>0</v>
      </c>
      <c r="L1505">
        <v>2750</v>
      </c>
      <c r="M1505">
        <v>2750</v>
      </c>
      <c r="N1505">
        <v>0</v>
      </c>
    </row>
    <row r="1506" spans="1:14" x14ac:dyDescent="0.25">
      <c r="A1506">
        <v>582.23359100000005</v>
      </c>
      <c r="B1506" s="1">
        <f>DATE(2011,12,4) + TIME(5,36,22)</f>
        <v>40881.233587962961</v>
      </c>
      <c r="C1506">
        <v>80</v>
      </c>
      <c r="D1506">
        <v>76.892868042000003</v>
      </c>
      <c r="E1506">
        <v>60</v>
      </c>
      <c r="F1506">
        <v>59.971328735</v>
      </c>
      <c r="G1506">
        <v>1327.5981445</v>
      </c>
      <c r="H1506">
        <v>1325.7182617000001</v>
      </c>
      <c r="I1506">
        <v>1339.4831543</v>
      </c>
      <c r="J1506">
        <v>1336.8966064000001</v>
      </c>
      <c r="K1506">
        <v>0</v>
      </c>
      <c r="L1506">
        <v>2750</v>
      </c>
      <c r="M1506">
        <v>2750</v>
      </c>
      <c r="N1506">
        <v>0</v>
      </c>
    </row>
    <row r="1507" spans="1:14" x14ac:dyDescent="0.25">
      <c r="A1507">
        <v>583.09493299999997</v>
      </c>
      <c r="B1507" s="1">
        <f>DATE(2011,12,5) + TIME(2,16,42)</f>
        <v>40882.094930555555</v>
      </c>
      <c r="C1507">
        <v>80</v>
      </c>
      <c r="D1507">
        <v>76.827148437999995</v>
      </c>
      <c r="E1507">
        <v>60</v>
      </c>
      <c r="F1507">
        <v>59.971305846999996</v>
      </c>
      <c r="G1507">
        <v>1327.5675048999999</v>
      </c>
      <c r="H1507">
        <v>1325.6763916</v>
      </c>
      <c r="I1507">
        <v>1339.4763184000001</v>
      </c>
      <c r="J1507">
        <v>1336.894043</v>
      </c>
      <c r="K1507">
        <v>0</v>
      </c>
      <c r="L1507">
        <v>2750</v>
      </c>
      <c r="M1507">
        <v>2750</v>
      </c>
      <c r="N1507">
        <v>0</v>
      </c>
    </row>
    <row r="1508" spans="1:14" x14ac:dyDescent="0.25">
      <c r="A1508">
        <v>583.97727399999997</v>
      </c>
      <c r="B1508" s="1">
        <f>DATE(2011,12,5) + TIME(23,27,16)</f>
        <v>40882.977268518516</v>
      </c>
      <c r="C1508">
        <v>80</v>
      </c>
      <c r="D1508">
        <v>76.759750366000006</v>
      </c>
      <c r="E1508">
        <v>60</v>
      </c>
      <c r="F1508">
        <v>59.971282959</v>
      </c>
      <c r="G1508">
        <v>1327.536499</v>
      </c>
      <c r="H1508">
        <v>1325.6340332</v>
      </c>
      <c r="I1508">
        <v>1339.4696045000001</v>
      </c>
      <c r="J1508">
        <v>1336.8916016000001</v>
      </c>
      <c r="K1508">
        <v>0</v>
      </c>
      <c r="L1508">
        <v>2750</v>
      </c>
      <c r="M1508">
        <v>2750</v>
      </c>
      <c r="N1508">
        <v>0</v>
      </c>
    </row>
    <row r="1509" spans="1:14" x14ac:dyDescent="0.25">
      <c r="A1509">
        <v>584.88551900000004</v>
      </c>
      <c r="B1509" s="1">
        <f>DATE(2011,12,6) + TIME(21,15,8)</f>
        <v>40883.885509259257</v>
      </c>
      <c r="C1509">
        <v>80</v>
      </c>
      <c r="D1509">
        <v>76.690513611</v>
      </c>
      <c r="E1509">
        <v>60</v>
      </c>
      <c r="F1509">
        <v>59.971260071000003</v>
      </c>
      <c r="G1509">
        <v>1327.505249</v>
      </c>
      <c r="H1509">
        <v>1325.5910644999999</v>
      </c>
      <c r="I1509">
        <v>1339.4627685999999</v>
      </c>
      <c r="J1509">
        <v>1336.8890381000001</v>
      </c>
      <c r="K1509">
        <v>0</v>
      </c>
      <c r="L1509">
        <v>2750</v>
      </c>
      <c r="M1509">
        <v>2750</v>
      </c>
      <c r="N1509">
        <v>0</v>
      </c>
    </row>
    <row r="1510" spans="1:14" x14ac:dyDescent="0.25">
      <c r="A1510">
        <v>585.822002</v>
      </c>
      <c r="B1510" s="1">
        <f>DATE(2011,12,7) + TIME(19,43,40)</f>
        <v>40884.82199074074</v>
      </c>
      <c r="C1510">
        <v>80</v>
      </c>
      <c r="D1510">
        <v>76.619224548000005</v>
      </c>
      <c r="E1510">
        <v>60</v>
      </c>
      <c r="F1510">
        <v>59.971237183</v>
      </c>
      <c r="G1510">
        <v>1327.4733887</v>
      </c>
      <c r="H1510">
        <v>1325.5476074000001</v>
      </c>
      <c r="I1510">
        <v>1339.4559326000001</v>
      </c>
      <c r="J1510">
        <v>1336.8865966999999</v>
      </c>
      <c r="K1510">
        <v>0</v>
      </c>
      <c r="L1510">
        <v>2750</v>
      </c>
      <c r="M1510">
        <v>2750</v>
      </c>
      <c r="N1510">
        <v>0</v>
      </c>
    </row>
    <row r="1511" spans="1:14" x14ac:dyDescent="0.25">
      <c r="A1511">
        <v>586.76177299999995</v>
      </c>
      <c r="B1511" s="1">
        <f>DATE(2011,12,8) + TIME(18,16,57)</f>
        <v>40885.761770833335</v>
      </c>
      <c r="C1511">
        <v>80</v>
      </c>
      <c r="D1511">
        <v>76.546424865999995</v>
      </c>
      <c r="E1511">
        <v>60</v>
      </c>
      <c r="F1511">
        <v>59.971214293999999</v>
      </c>
      <c r="G1511">
        <v>1327.4410399999999</v>
      </c>
      <c r="H1511">
        <v>1325.5036620999999</v>
      </c>
      <c r="I1511">
        <v>1339.4489745999999</v>
      </c>
      <c r="J1511">
        <v>1336.8840332</v>
      </c>
      <c r="K1511">
        <v>0</v>
      </c>
      <c r="L1511">
        <v>2750</v>
      </c>
      <c r="M1511">
        <v>2750</v>
      </c>
      <c r="N1511">
        <v>0</v>
      </c>
    </row>
    <row r="1512" spans="1:14" x14ac:dyDescent="0.25">
      <c r="A1512">
        <v>587.71130500000004</v>
      </c>
      <c r="B1512" s="1">
        <f>DATE(2011,12,9) + TIME(17,4,16)</f>
        <v>40886.711296296293</v>
      </c>
      <c r="C1512">
        <v>80</v>
      </c>
      <c r="D1512">
        <v>76.472640991000006</v>
      </c>
      <c r="E1512">
        <v>60</v>
      </c>
      <c r="F1512">
        <v>59.971191406000003</v>
      </c>
      <c r="G1512">
        <v>1327.4089355000001</v>
      </c>
      <c r="H1512">
        <v>1325.4595947</v>
      </c>
      <c r="I1512">
        <v>1339.4422606999999</v>
      </c>
      <c r="J1512">
        <v>1336.8815918</v>
      </c>
      <c r="K1512">
        <v>0</v>
      </c>
      <c r="L1512">
        <v>2750</v>
      </c>
      <c r="M1512">
        <v>2750</v>
      </c>
      <c r="N1512">
        <v>0</v>
      </c>
    </row>
    <row r="1513" spans="1:14" x14ac:dyDescent="0.25">
      <c r="A1513">
        <v>588.67535499999997</v>
      </c>
      <c r="B1513" s="1">
        <f>DATE(2011,12,10) + TIME(16,12,30)</f>
        <v>40887.675347222219</v>
      </c>
      <c r="C1513">
        <v>80</v>
      </c>
      <c r="D1513">
        <v>76.397781371999997</v>
      </c>
      <c r="E1513">
        <v>60</v>
      </c>
      <c r="F1513">
        <v>59.971168517999999</v>
      </c>
      <c r="G1513">
        <v>1327.3767089999999</v>
      </c>
      <c r="H1513">
        <v>1325.4157714999999</v>
      </c>
      <c r="I1513">
        <v>1339.4355469</v>
      </c>
      <c r="J1513">
        <v>1336.8792725000001</v>
      </c>
      <c r="K1513">
        <v>0</v>
      </c>
      <c r="L1513">
        <v>2750</v>
      </c>
      <c r="M1513">
        <v>2750</v>
      </c>
      <c r="N1513">
        <v>0</v>
      </c>
    </row>
    <row r="1514" spans="1:14" x14ac:dyDescent="0.25">
      <c r="A1514">
        <v>589.65881100000001</v>
      </c>
      <c r="B1514" s="1">
        <f>DATE(2011,12,11) + TIME(15,48,41)</f>
        <v>40888.658807870372</v>
      </c>
      <c r="C1514">
        <v>80</v>
      </c>
      <c r="D1514">
        <v>76.321571349999999</v>
      </c>
      <c r="E1514">
        <v>60</v>
      </c>
      <c r="F1514">
        <v>59.971149445000002</v>
      </c>
      <c r="G1514">
        <v>1327.3446045000001</v>
      </c>
      <c r="H1514">
        <v>1325.3718262</v>
      </c>
      <c r="I1514">
        <v>1339.4289550999999</v>
      </c>
      <c r="J1514">
        <v>1336.8768310999999</v>
      </c>
      <c r="K1514">
        <v>0</v>
      </c>
      <c r="L1514">
        <v>2750</v>
      </c>
      <c r="M1514">
        <v>2750</v>
      </c>
      <c r="N1514">
        <v>0</v>
      </c>
    </row>
    <row r="1515" spans="1:14" x14ac:dyDescent="0.25">
      <c r="A1515">
        <v>590.66094699999996</v>
      </c>
      <c r="B1515" s="1">
        <f>DATE(2011,12,12) + TIME(15,51,45)</f>
        <v>40889.660937499997</v>
      </c>
      <c r="C1515">
        <v>80</v>
      </c>
      <c r="D1515">
        <v>76.243804932000003</v>
      </c>
      <c r="E1515">
        <v>60</v>
      </c>
      <c r="F1515">
        <v>59.971126556000002</v>
      </c>
      <c r="G1515">
        <v>1327.3122559000001</v>
      </c>
      <c r="H1515">
        <v>1325.3278809000001</v>
      </c>
      <c r="I1515">
        <v>1339.4222411999999</v>
      </c>
      <c r="J1515">
        <v>1336.8745117000001</v>
      </c>
      <c r="K1515">
        <v>0</v>
      </c>
      <c r="L1515">
        <v>2750</v>
      </c>
      <c r="M1515">
        <v>2750</v>
      </c>
      <c r="N1515">
        <v>0</v>
      </c>
    </row>
    <row r="1516" spans="1:14" x14ac:dyDescent="0.25">
      <c r="A1516">
        <v>591.68459800000005</v>
      </c>
      <c r="B1516" s="1">
        <f>DATE(2011,12,13) + TIME(16,25,49)</f>
        <v>40890.684594907405</v>
      </c>
      <c r="C1516">
        <v>80</v>
      </c>
      <c r="D1516">
        <v>76.164314270000006</v>
      </c>
      <c r="E1516">
        <v>60</v>
      </c>
      <c r="F1516">
        <v>59.971107482999997</v>
      </c>
      <c r="G1516">
        <v>1327.2797852000001</v>
      </c>
      <c r="H1516">
        <v>1325.2835693</v>
      </c>
      <c r="I1516">
        <v>1339.4156493999999</v>
      </c>
      <c r="J1516">
        <v>1336.8721923999999</v>
      </c>
      <c r="K1516">
        <v>0</v>
      </c>
      <c r="L1516">
        <v>2750</v>
      </c>
      <c r="M1516">
        <v>2750</v>
      </c>
      <c r="N1516">
        <v>0</v>
      </c>
    </row>
    <row r="1517" spans="1:14" x14ac:dyDescent="0.25">
      <c r="A1517">
        <v>592.73548400000004</v>
      </c>
      <c r="B1517" s="1">
        <f>DATE(2011,12,14) + TIME(17,39,5)</f>
        <v>40891.735474537039</v>
      </c>
      <c r="C1517">
        <v>80</v>
      </c>
      <c r="D1517">
        <v>76.082817078000005</v>
      </c>
      <c r="E1517">
        <v>60</v>
      </c>
      <c r="F1517">
        <v>59.971088408999996</v>
      </c>
      <c r="G1517">
        <v>1327.2470702999999</v>
      </c>
      <c r="H1517">
        <v>1325.2391356999999</v>
      </c>
      <c r="I1517">
        <v>1339.4090576000001</v>
      </c>
      <c r="J1517">
        <v>1336.869751</v>
      </c>
      <c r="K1517">
        <v>0</v>
      </c>
      <c r="L1517">
        <v>2750</v>
      </c>
      <c r="M1517">
        <v>2750</v>
      </c>
      <c r="N1517">
        <v>0</v>
      </c>
    </row>
    <row r="1518" spans="1:14" x14ac:dyDescent="0.25">
      <c r="A1518">
        <v>593.81901300000004</v>
      </c>
      <c r="B1518" s="1">
        <f>DATE(2011,12,15) + TIME(19,39,22)</f>
        <v>40892.819004629629</v>
      </c>
      <c r="C1518">
        <v>80</v>
      </c>
      <c r="D1518">
        <v>75.998916625999996</v>
      </c>
      <c r="E1518">
        <v>60</v>
      </c>
      <c r="F1518">
        <v>59.971069335999999</v>
      </c>
      <c r="G1518">
        <v>1327.2139893000001</v>
      </c>
      <c r="H1518">
        <v>1325.1942139</v>
      </c>
      <c r="I1518">
        <v>1339.4024658000001</v>
      </c>
      <c r="J1518">
        <v>1336.8674315999999</v>
      </c>
      <c r="K1518">
        <v>0</v>
      </c>
      <c r="L1518">
        <v>2750</v>
      </c>
      <c r="M1518">
        <v>2750</v>
      </c>
      <c r="N1518">
        <v>0</v>
      </c>
    </row>
    <row r="1519" spans="1:14" x14ac:dyDescent="0.25">
      <c r="A1519">
        <v>594.93888300000003</v>
      </c>
      <c r="B1519" s="1">
        <f>DATE(2011,12,16) + TIME(22,31,59)</f>
        <v>40893.938877314817</v>
      </c>
      <c r="C1519">
        <v>80</v>
      </c>
      <c r="D1519">
        <v>75.912200928000004</v>
      </c>
      <c r="E1519">
        <v>60</v>
      </c>
      <c r="F1519">
        <v>59.971050261999999</v>
      </c>
      <c r="G1519">
        <v>1327.1805420000001</v>
      </c>
      <c r="H1519">
        <v>1325.1486815999999</v>
      </c>
      <c r="I1519">
        <v>1339.3957519999999</v>
      </c>
      <c r="J1519">
        <v>1336.8651123</v>
      </c>
      <c r="K1519">
        <v>0</v>
      </c>
      <c r="L1519">
        <v>2750</v>
      </c>
      <c r="M1519">
        <v>2750</v>
      </c>
      <c r="N1519">
        <v>0</v>
      </c>
    </row>
    <row r="1520" spans="1:14" x14ac:dyDescent="0.25">
      <c r="A1520">
        <v>596.08486900000003</v>
      </c>
      <c r="B1520" s="1">
        <f>DATE(2011,12,18) + TIME(2,2,12)</f>
        <v>40895.084861111114</v>
      </c>
      <c r="C1520">
        <v>80</v>
      </c>
      <c r="D1520">
        <v>75.822662354000002</v>
      </c>
      <c r="E1520">
        <v>60</v>
      </c>
      <c r="F1520">
        <v>59.971031189000001</v>
      </c>
      <c r="G1520">
        <v>1327.1463623</v>
      </c>
      <c r="H1520">
        <v>1325.1025391000001</v>
      </c>
      <c r="I1520">
        <v>1339.3889160000001</v>
      </c>
      <c r="J1520">
        <v>1336.8626709</v>
      </c>
      <c r="K1520">
        <v>0</v>
      </c>
      <c r="L1520">
        <v>2750</v>
      </c>
      <c r="M1520">
        <v>2750</v>
      </c>
      <c r="N1520">
        <v>0</v>
      </c>
    </row>
    <row r="1521" spans="1:14" x14ac:dyDescent="0.25">
      <c r="A1521">
        <v>597.26380500000005</v>
      </c>
      <c r="B1521" s="1">
        <f>DATE(2011,12,19) + TIME(6,19,52)</f>
        <v>40896.263796296298</v>
      </c>
      <c r="C1521">
        <v>80</v>
      </c>
      <c r="D1521">
        <v>75.730400084999999</v>
      </c>
      <c r="E1521">
        <v>60</v>
      </c>
      <c r="F1521">
        <v>59.971012115000001</v>
      </c>
      <c r="G1521">
        <v>1327.1119385</v>
      </c>
      <c r="H1521">
        <v>1325.0557861</v>
      </c>
      <c r="I1521">
        <v>1339.3822021000001</v>
      </c>
      <c r="J1521">
        <v>1336.8603516000001</v>
      </c>
      <c r="K1521">
        <v>0</v>
      </c>
      <c r="L1521">
        <v>2750</v>
      </c>
      <c r="M1521">
        <v>2750</v>
      </c>
      <c r="N1521">
        <v>0</v>
      </c>
    </row>
    <row r="1522" spans="1:14" x14ac:dyDescent="0.25">
      <c r="A1522">
        <v>597.85925399999996</v>
      </c>
      <c r="B1522" s="1">
        <f>DATE(2011,12,19) + TIME(20,37,19)</f>
        <v>40896.859247685185</v>
      </c>
      <c r="C1522">
        <v>80</v>
      </c>
      <c r="D1522">
        <v>75.658012389999996</v>
      </c>
      <c r="E1522">
        <v>60</v>
      </c>
      <c r="F1522">
        <v>59.970989226999997</v>
      </c>
      <c r="G1522">
        <v>1327.078125</v>
      </c>
      <c r="H1522">
        <v>1325.0111084</v>
      </c>
      <c r="I1522">
        <v>1339.3752440999999</v>
      </c>
      <c r="J1522">
        <v>1336.8577881000001</v>
      </c>
      <c r="K1522">
        <v>0</v>
      </c>
      <c r="L1522">
        <v>2750</v>
      </c>
      <c r="M1522">
        <v>2750</v>
      </c>
      <c r="N1522">
        <v>0</v>
      </c>
    </row>
    <row r="1523" spans="1:14" x14ac:dyDescent="0.25">
      <c r="A1523">
        <v>599.05015400000002</v>
      </c>
      <c r="B1523" s="1">
        <f>DATE(2011,12,21) + TIME(1,12,13)</f>
        <v>40898.050150462965</v>
      </c>
      <c r="C1523">
        <v>80</v>
      </c>
      <c r="D1523">
        <v>75.580024718999994</v>
      </c>
      <c r="E1523">
        <v>60</v>
      </c>
      <c r="F1523">
        <v>59.970981598000002</v>
      </c>
      <c r="G1523">
        <v>1327.0559082</v>
      </c>
      <c r="H1523">
        <v>1324.9783935999999</v>
      </c>
      <c r="I1523">
        <v>1339.3719481999999</v>
      </c>
      <c r="J1523">
        <v>1336.8566894999999</v>
      </c>
      <c r="K1523">
        <v>0</v>
      </c>
      <c r="L1523">
        <v>2750</v>
      </c>
      <c r="M1523">
        <v>2750</v>
      </c>
      <c r="N1523">
        <v>0</v>
      </c>
    </row>
    <row r="1524" spans="1:14" x14ac:dyDescent="0.25">
      <c r="A1524">
        <v>600.24120200000004</v>
      </c>
      <c r="B1524" s="1">
        <f>DATE(2011,12,22) + TIME(5,47,19)</f>
        <v>40899.24119212963</v>
      </c>
      <c r="C1524">
        <v>80</v>
      </c>
      <c r="D1524">
        <v>75.488990783999995</v>
      </c>
      <c r="E1524">
        <v>60</v>
      </c>
      <c r="F1524">
        <v>59.970966339</v>
      </c>
      <c r="G1524">
        <v>1327.0236815999999</v>
      </c>
      <c r="H1524">
        <v>1324.9357910000001</v>
      </c>
      <c r="I1524">
        <v>1339.3652344</v>
      </c>
      <c r="J1524">
        <v>1336.8543701000001</v>
      </c>
      <c r="K1524">
        <v>0</v>
      </c>
      <c r="L1524">
        <v>2750</v>
      </c>
      <c r="M1524">
        <v>2750</v>
      </c>
      <c r="N1524">
        <v>0</v>
      </c>
    </row>
    <row r="1525" spans="1:14" x14ac:dyDescent="0.25">
      <c r="A1525">
        <v>601.44525299999998</v>
      </c>
      <c r="B1525" s="1">
        <f>DATE(2011,12,23) + TIME(10,41,9)</f>
        <v>40900.445243055554</v>
      </c>
      <c r="C1525">
        <v>80</v>
      </c>
      <c r="D1525">
        <v>75.393348693999997</v>
      </c>
      <c r="E1525">
        <v>60</v>
      </c>
      <c r="F1525">
        <v>59.970951079999999</v>
      </c>
      <c r="G1525">
        <v>1326.9901123</v>
      </c>
      <c r="H1525">
        <v>1324.8907471</v>
      </c>
      <c r="I1525">
        <v>1339.3587646000001</v>
      </c>
      <c r="J1525">
        <v>1336.8520507999999</v>
      </c>
      <c r="K1525">
        <v>0</v>
      </c>
      <c r="L1525">
        <v>2750</v>
      </c>
      <c r="M1525">
        <v>2750</v>
      </c>
      <c r="N1525">
        <v>0</v>
      </c>
    </row>
    <row r="1526" spans="1:14" x14ac:dyDescent="0.25">
      <c r="A1526">
        <v>602.67264899999998</v>
      </c>
      <c r="B1526" s="1">
        <f>DATE(2011,12,24) + TIME(16,8,36)</f>
        <v>40901.672638888886</v>
      </c>
      <c r="C1526">
        <v>80</v>
      </c>
      <c r="D1526">
        <v>75.295051575000002</v>
      </c>
      <c r="E1526">
        <v>60</v>
      </c>
      <c r="F1526">
        <v>59.970935822000001</v>
      </c>
      <c r="G1526">
        <v>1326.9564209</v>
      </c>
      <c r="H1526">
        <v>1324.8450928</v>
      </c>
      <c r="I1526">
        <v>1339.3522949000001</v>
      </c>
      <c r="J1526">
        <v>1336.8498535000001</v>
      </c>
      <c r="K1526">
        <v>0</v>
      </c>
      <c r="L1526">
        <v>2750</v>
      </c>
      <c r="M1526">
        <v>2750</v>
      </c>
      <c r="N1526">
        <v>0</v>
      </c>
    </row>
    <row r="1527" spans="1:14" x14ac:dyDescent="0.25">
      <c r="A1527">
        <v>603.93045800000004</v>
      </c>
      <c r="B1527" s="1">
        <f>DATE(2011,12,25) + TIME(22,19,51)</f>
        <v>40902.930451388886</v>
      </c>
      <c r="C1527">
        <v>80</v>
      </c>
      <c r="D1527">
        <v>75.194206238000007</v>
      </c>
      <c r="E1527">
        <v>60</v>
      </c>
      <c r="F1527">
        <v>59.970920563</v>
      </c>
      <c r="G1527">
        <v>1326.9223632999999</v>
      </c>
      <c r="H1527">
        <v>1324.7990723</v>
      </c>
      <c r="I1527">
        <v>1339.3458252</v>
      </c>
      <c r="J1527">
        <v>1336.8475341999999</v>
      </c>
      <c r="K1527">
        <v>0</v>
      </c>
      <c r="L1527">
        <v>2750</v>
      </c>
      <c r="M1527">
        <v>2750</v>
      </c>
      <c r="N1527">
        <v>0</v>
      </c>
    </row>
    <row r="1528" spans="1:14" x14ac:dyDescent="0.25">
      <c r="A1528">
        <v>605.22640999999999</v>
      </c>
      <c r="B1528" s="1">
        <f>DATE(2011,12,27) + TIME(5,26,1)</f>
        <v>40904.226400462961</v>
      </c>
      <c r="C1528">
        <v>80</v>
      </c>
      <c r="D1528">
        <v>75.090415954999997</v>
      </c>
      <c r="E1528">
        <v>60</v>
      </c>
      <c r="F1528">
        <v>59.970909118999998</v>
      </c>
      <c r="G1528">
        <v>1326.8880615</v>
      </c>
      <c r="H1528">
        <v>1324.7528076000001</v>
      </c>
      <c r="I1528">
        <v>1339.3392334</v>
      </c>
      <c r="J1528">
        <v>1336.8452147999999</v>
      </c>
      <c r="K1528">
        <v>0</v>
      </c>
      <c r="L1528">
        <v>2750</v>
      </c>
      <c r="M1528">
        <v>2750</v>
      </c>
      <c r="N1528">
        <v>0</v>
      </c>
    </row>
    <row r="1529" spans="1:14" x14ac:dyDescent="0.25">
      <c r="A1529">
        <v>606.55783099999996</v>
      </c>
      <c r="B1529" s="1">
        <f>DATE(2011,12,28) + TIME(13,23,16)</f>
        <v>40905.557824074072</v>
      </c>
      <c r="C1529">
        <v>80</v>
      </c>
      <c r="D1529">
        <v>74.983283997000001</v>
      </c>
      <c r="E1529">
        <v>60</v>
      </c>
      <c r="F1529">
        <v>59.970893859999997</v>
      </c>
      <c r="G1529">
        <v>1326.8532714999999</v>
      </c>
      <c r="H1529">
        <v>1324.7059326000001</v>
      </c>
      <c r="I1529">
        <v>1339.3327637</v>
      </c>
      <c r="J1529">
        <v>1336.8428954999999</v>
      </c>
      <c r="K1529">
        <v>0</v>
      </c>
      <c r="L1529">
        <v>2750</v>
      </c>
      <c r="M1529">
        <v>2750</v>
      </c>
      <c r="N1529">
        <v>0</v>
      </c>
    </row>
    <row r="1530" spans="1:14" x14ac:dyDescent="0.25">
      <c r="A1530">
        <v>607.91098999999997</v>
      </c>
      <c r="B1530" s="1">
        <f>DATE(2011,12,29) + TIME(21,51,49)</f>
        <v>40906.910983796297</v>
      </c>
      <c r="C1530">
        <v>80</v>
      </c>
      <c r="D1530">
        <v>74.873001099000007</v>
      </c>
      <c r="E1530">
        <v>60</v>
      </c>
      <c r="F1530">
        <v>59.970882416000002</v>
      </c>
      <c r="G1530">
        <v>1326.8182373</v>
      </c>
      <c r="H1530">
        <v>1324.6585693</v>
      </c>
      <c r="I1530">
        <v>1339.3260498</v>
      </c>
      <c r="J1530">
        <v>1336.8405762</v>
      </c>
      <c r="K1530">
        <v>0</v>
      </c>
      <c r="L1530">
        <v>2750</v>
      </c>
      <c r="M1530">
        <v>2750</v>
      </c>
      <c r="N1530">
        <v>0</v>
      </c>
    </row>
    <row r="1531" spans="1:14" x14ac:dyDescent="0.25">
      <c r="A1531">
        <v>609.29630299999997</v>
      </c>
      <c r="B1531" s="1">
        <f>DATE(2011,12,31) + TIME(7,6,40)</f>
        <v>40908.296296296299</v>
      </c>
      <c r="C1531">
        <v>80</v>
      </c>
      <c r="D1531">
        <v>74.759994507000002</v>
      </c>
      <c r="E1531">
        <v>60</v>
      </c>
      <c r="F1531">
        <v>59.970867157000001</v>
      </c>
      <c r="G1531">
        <v>1326.7829589999999</v>
      </c>
      <c r="H1531">
        <v>1324.6110839999999</v>
      </c>
      <c r="I1531">
        <v>1339.3195800999999</v>
      </c>
      <c r="J1531">
        <v>1336.8382568</v>
      </c>
      <c r="K1531">
        <v>0</v>
      </c>
      <c r="L1531">
        <v>2750</v>
      </c>
      <c r="M1531">
        <v>2750</v>
      </c>
      <c r="N1531">
        <v>0</v>
      </c>
    </row>
    <row r="1532" spans="1:14" x14ac:dyDescent="0.25">
      <c r="A1532">
        <v>610</v>
      </c>
      <c r="B1532" s="1">
        <f>DATE(2012,1,1) + TIME(0,0,0)</f>
        <v>40909</v>
      </c>
      <c r="C1532">
        <v>80</v>
      </c>
      <c r="D1532">
        <v>74.668457031000003</v>
      </c>
      <c r="E1532">
        <v>60</v>
      </c>
      <c r="F1532">
        <v>59.970848083</v>
      </c>
      <c r="G1532">
        <v>1326.7484131000001</v>
      </c>
      <c r="H1532">
        <v>1324.5655518000001</v>
      </c>
      <c r="I1532">
        <v>1339.3128661999999</v>
      </c>
      <c r="J1532">
        <v>1336.8358154</v>
      </c>
      <c r="K1532">
        <v>0</v>
      </c>
      <c r="L1532">
        <v>2750</v>
      </c>
      <c r="M1532">
        <v>2750</v>
      </c>
      <c r="N1532">
        <v>0</v>
      </c>
    </row>
    <row r="1533" spans="1:14" x14ac:dyDescent="0.25">
      <c r="A1533">
        <v>611.43265399999996</v>
      </c>
      <c r="B1533" s="1">
        <f>DATE(2012,1,2) + TIME(10,23,1)</f>
        <v>40910.432650462964</v>
      </c>
      <c r="C1533">
        <v>80</v>
      </c>
      <c r="D1533">
        <v>74.575965881000002</v>
      </c>
      <c r="E1533">
        <v>60</v>
      </c>
      <c r="F1533">
        <v>59.970848083</v>
      </c>
      <c r="G1533">
        <v>1326.7257079999999</v>
      </c>
      <c r="H1533">
        <v>1324.5322266000001</v>
      </c>
      <c r="I1533">
        <v>1339.3096923999999</v>
      </c>
      <c r="J1533">
        <v>1336.8347168</v>
      </c>
      <c r="K1533">
        <v>0</v>
      </c>
      <c r="L1533">
        <v>2750</v>
      </c>
      <c r="M1533">
        <v>2750</v>
      </c>
      <c r="N1533">
        <v>0</v>
      </c>
    </row>
    <row r="1534" spans="1:14" x14ac:dyDescent="0.25">
      <c r="A1534">
        <v>612.89003000000002</v>
      </c>
      <c r="B1534" s="1">
        <f>DATE(2012,1,3) + TIME(21,21,38)</f>
        <v>40911.890023148146</v>
      </c>
      <c r="C1534">
        <v>80</v>
      </c>
      <c r="D1534">
        <v>74.462081909000005</v>
      </c>
      <c r="E1534">
        <v>60</v>
      </c>
      <c r="F1534">
        <v>59.970840453999998</v>
      </c>
      <c r="G1534">
        <v>1326.6926269999999</v>
      </c>
      <c r="H1534">
        <v>1324.4890137</v>
      </c>
      <c r="I1534">
        <v>1339.3029785000001</v>
      </c>
      <c r="J1534">
        <v>1336.8323975000001</v>
      </c>
      <c r="K1534">
        <v>0</v>
      </c>
      <c r="L1534">
        <v>2750</v>
      </c>
      <c r="M1534">
        <v>2750</v>
      </c>
      <c r="N1534">
        <v>0</v>
      </c>
    </row>
    <row r="1535" spans="1:14" x14ac:dyDescent="0.25">
      <c r="A1535">
        <v>614.35547599999995</v>
      </c>
      <c r="B1535" s="1">
        <f>DATE(2012,1,5) + TIME(8,31,53)</f>
        <v>40913.355474537035</v>
      </c>
      <c r="C1535">
        <v>80</v>
      </c>
      <c r="D1535">
        <v>74.340972899999997</v>
      </c>
      <c r="E1535">
        <v>60</v>
      </c>
      <c r="F1535">
        <v>59.970829010000003</v>
      </c>
      <c r="G1535">
        <v>1326.6575928</v>
      </c>
      <c r="H1535">
        <v>1324.4421387</v>
      </c>
      <c r="I1535">
        <v>1339.2963867000001</v>
      </c>
      <c r="J1535">
        <v>1336.8300781</v>
      </c>
      <c r="K1535">
        <v>0</v>
      </c>
      <c r="L1535">
        <v>2750</v>
      </c>
      <c r="M1535">
        <v>2750</v>
      </c>
      <c r="N1535">
        <v>0</v>
      </c>
    </row>
    <row r="1536" spans="1:14" x14ac:dyDescent="0.25">
      <c r="A1536">
        <v>615.84558100000004</v>
      </c>
      <c r="B1536" s="1">
        <f>DATE(2012,1,6) + TIME(20,17,38)</f>
        <v>40914.845578703702</v>
      </c>
      <c r="C1536">
        <v>80</v>
      </c>
      <c r="D1536">
        <v>74.216796875</v>
      </c>
      <c r="E1536">
        <v>60</v>
      </c>
      <c r="F1536">
        <v>59.970821381</v>
      </c>
      <c r="G1536">
        <v>1326.6221923999999</v>
      </c>
      <c r="H1536">
        <v>1324.3946533000001</v>
      </c>
      <c r="I1536">
        <v>1339.2899170000001</v>
      </c>
      <c r="J1536">
        <v>1336.8276367000001</v>
      </c>
      <c r="K1536">
        <v>0</v>
      </c>
      <c r="L1536">
        <v>2750</v>
      </c>
      <c r="M1536">
        <v>2750</v>
      </c>
      <c r="N1536">
        <v>0</v>
      </c>
    </row>
    <row r="1537" spans="1:14" x14ac:dyDescent="0.25">
      <c r="A1537">
        <v>617.37011399999994</v>
      </c>
      <c r="B1537" s="1">
        <f>DATE(2012,1,8) + TIME(8,52,57)</f>
        <v>40916.370104166665</v>
      </c>
      <c r="C1537">
        <v>80</v>
      </c>
      <c r="D1537">
        <v>74.089736938000001</v>
      </c>
      <c r="E1537">
        <v>60</v>
      </c>
      <c r="F1537">
        <v>59.970813751000001</v>
      </c>
      <c r="G1537">
        <v>1326.5866699000001</v>
      </c>
      <c r="H1537">
        <v>1324.3469238</v>
      </c>
      <c r="I1537">
        <v>1339.2834473</v>
      </c>
      <c r="J1537">
        <v>1336.8253173999999</v>
      </c>
      <c r="K1537">
        <v>0</v>
      </c>
      <c r="L1537">
        <v>2750</v>
      </c>
      <c r="M1537">
        <v>2750</v>
      </c>
      <c r="N1537">
        <v>0</v>
      </c>
    </row>
    <row r="1538" spans="1:14" x14ac:dyDescent="0.25">
      <c r="A1538">
        <v>618.93971799999997</v>
      </c>
      <c r="B1538" s="1">
        <f>DATE(2012,1,9) + TIME(22,33,11)</f>
        <v>40917.939710648148</v>
      </c>
      <c r="C1538">
        <v>80</v>
      </c>
      <c r="D1538">
        <v>73.959190368999998</v>
      </c>
      <c r="E1538">
        <v>60</v>
      </c>
      <c r="F1538">
        <v>59.970806121999999</v>
      </c>
      <c r="G1538">
        <v>1326.5510254000001</v>
      </c>
      <c r="H1538">
        <v>1324.2989502</v>
      </c>
      <c r="I1538">
        <v>1339.2769774999999</v>
      </c>
      <c r="J1538">
        <v>1336.8229980000001</v>
      </c>
      <c r="K1538">
        <v>0</v>
      </c>
      <c r="L1538">
        <v>2750</v>
      </c>
      <c r="M1538">
        <v>2750</v>
      </c>
      <c r="N1538">
        <v>0</v>
      </c>
    </row>
    <row r="1539" spans="1:14" x14ac:dyDescent="0.25">
      <c r="A1539">
        <v>620.55966599999999</v>
      </c>
      <c r="B1539" s="1">
        <f>DATE(2012,1,11) + TIME(13,25,55)</f>
        <v>40919.559664351851</v>
      </c>
      <c r="C1539">
        <v>80</v>
      </c>
      <c r="D1539">
        <v>73.824424743999998</v>
      </c>
      <c r="E1539">
        <v>60</v>
      </c>
      <c r="F1539">
        <v>59.970798492</v>
      </c>
      <c r="G1539">
        <v>1326.5148925999999</v>
      </c>
      <c r="H1539">
        <v>1324.2506103999999</v>
      </c>
      <c r="I1539">
        <v>1339.2703856999999</v>
      </c>
      <c r="J1539">
        <v>1336.8205565999999</v>
      </c>
      <c r="K1539">
        <v>0</v>
      </c>
      <c r="L1539">
        <v>2750</v>
      </c>
      <c r="M1539">
        <v>2750</v>
      </c>
      <c r="N1539">
        <v>0</v>
      </c>
    </row>
    <row r="1540" spans="1:14" x14ac:dyDescent="0.25">
      <c r="A1540">
        <v>622.19571900000005</v>
      </c>
      <c r="B1540" s="1">
        <f>DATE(2012,1,13) + TIME(4,41,50)</f>
        <v>40921.195717592593</v>
      </c>
      <c r="C1540">
        <v>80</v>
      </c>
      <c r="D1540">
        <v>73.685653686999999</v>
      </c>
      <c r="E1540">
        <v>60</v>
      </c>
      <c r="F1540">
        <v>59.970790862999998</v>
      </c>
      <c r="G1540">
        <v>1326.4783935999999</v>
      </c>
      <c r="H1540">
        <v>1324.2016602000001</v>
      </c>
      <c r="I1540">
        <v>1339.2636719</v>
      </c>
      <c r="J1540">
        <v>1336.8181152</v>
      </c>
      <c r="K1540">
        <v>0</v>
      </c>
      <c r="L1540">
        <v>2750</v>
      </c>
      <c r="M1540">
        <v>2750</v>
      </c>
      <c r="N1540">
        <v>0</v>
      </c>
    </row>
    <row r="1541" spans="1:14" x14ac:dyDescent="0.25">
      <c r="A1541">
        <v>623.84480799999994</v>
      </c>
      <c r="B1541" s="1">
        <f>DATE(2012,1,14) + TIME(20,16,31)</f>
        <v>40922.84480324074</v>
      </c>
      <c r="C1541">
        <v>80</v>
      </c>
      <c r="D1541">
        <v>73.544563292999996</v>
      </c>
      <c r="E1541">
        <v>60</v>
      </c>
      <c r="F1541">
        <v>59.970787047999998</v>
      </c>
      <c r="G1541">
        <v>1326.4418945</v>
      </c>
      <c r="H1541">
        <v>1324.1527100000001</v>
      </c>
      <c r="I1541">
        <v>1339.2570800999999</v>
      </c>
      <c r="J1541">
        <v>1336.8156738</v>
      </c>
      <c r="K1541">
        <v>0</v>
      </c>
      <c r="L1541">
        <v>2750</v>
      </c>
      <c r="M1541">
        <v>2750</v>
      </c>
      <c r="N1541">
        <v>0</v>
      </c>
    </row>
    <row r="1542" spans="1:14" x14ac:dyDescent="0.25">
      <c r="A1542">
        <v>625.51625200000001</v>
      </c>
      <c r="B1542" s="1">
        <f>DATE(2012,1,16) + TIME(12,23,24)</f>
        <v>40924.516250000001</v>
      </c>
      <c r="C1542">
        <v>80</v>
      </c>
      <c r="D1542">
        <v>73.401535034000005</v>
      </c>
      <c r="E1542">
        <v>60</v>
      </c>
      <c r="F1542">
        <v>59.970779419000003</v>
      </c>
      <c r="G1542">
        <v>1326.4057617000001</v>
      </c>
      <c r="H1542">
        <v>1324.1040039</v>
      </c>
      <c r="I1542">
        <v>1339.2506103999999</v>
      </c>
      <c r="J1542">
        <v>1336.8133545000001</v>
      </c>
      <c r="K1542">
        <v>0</v>
      </c>
      <c r="L1542">
        <v>2750</v>
      </c>
      <c r="M1542">
        <v>2750</v>
      </c>
      <c r="N1542">
        <v>0</v>
      </c>
    </row>
    <row r="1543" spans="1:14" x14ac:dyDescent="0.25">
      <c r="A1543">
        <v>627.22069499999998</v>
      </c>
      <c r="B1543" s="1">
        <f>DATE(2012,1,18) + TIME(5,17,48)</f>
        <v>40926.220694444448</v>
      </c>
      <c r="C1543">
        <v>80</v>
      </c>
      <c r="D1543">
        <v>73.256004333000007</v>
      </c>
      <c r="E1543">
        <v>60</v>
      </c>
      <c r="F1543">
        <v>59.970775604000004</v>
      </c>
      <c r="G1543">
        <v>1326.369751</v>
      </c>
      <c r="H1543">
        <v>1324.0556641000001</v>
      </c>
      <c r="I1543">
        <v>1339.2441406</v>
      </c>
      <c r="J1543">
        <v>1336.8109131000001</v>
      </c>
      <c r="K1543">
        <v>0</v>
      </c>
      <c r="L1543">
        <v>2750</v>
      </c>
      <c r="M1543">
        <v>2750</v>
      </c>
      <c r="N1543">
        <v>0</v>
      </c>
    </row>
    <row r="1544" spans="1:14" x14ac:dyDescent="0.25">
      <c r="A1544">
        <v>628.96106399999996</v>
      </c>
      <c r="B1544" s="1">
        <f>DATE(2012,1,19) + TIME(23,3,55)</f>
        <v>40927.961053240739</v>
      </c>
      <c r="C1544">
        <v>80</v>
      </c>
      <c r="D1544">
        <v>73.107284546000002</v>
      </c>
      <c r="E1544">
        <v>60</v>
      </c>
      <c r="F1544">
        <v>59.970775604000004</v>
      </c>
      <c r="G1544">
        <v>1326.3336182</v>
      </c>
      <c r="H1544">
        <v>1324.0073242000001</v>
      </c>
      <c r="I1544">
        <v>1339.2376709</v>
      </c>
      <c r="J1544">
        <v>1336.8084716999999</v>
      </c>
      <c r="K1544">
        <v>0</v>
      </c>
      <c r="L1544">
        <v>2750</v>
      </c>
      <c r="M1544">
        <v>2750</v>
      </c>
      <c r="N1544">
        <v>0</v>
      </c>
    </row>
    <row r="1545" spans="1:14" x14ac:dyDescent="0.25">
      <c r="A1545">
        <v>630.74550899999997</v>
      </c>
      <c r="B1545" s="1">
        <f>DATE(2012,1,21) + TIME(17,53,31)</f>
        <v>40929.745497685188</v>
      </c>
      <c r="C1545">
        <v>80</v>
      </c>
      <c r="D1545">
        <v>72.954902649000005</v>
      </c>
      <c r="E1545">
        <v>60</v>
      </c>
      <c r="F1545">
        <v>59.970771790000001</v>
      </c>
      <c r="G1545">
        <v>1326.2974853999999</v>
      </c>
      <c r="H1545">
        <v>1323.9588623</v>
      </c>
      <c r="I1545">
        <v>1339.2310791</v>
      </c>
      <c r="J1545">
        <v>1336.8060303</v>
      </c>
      <c r="K1545">
        <v>0</v>
      </c>
      <c r="L1545">
        <v>2750</v>
      </c>
      <c r="M1545">
        <v>2750</v>
      </c>
      <c r="N1545">
        <v>0</v>
      </c>
    </row>
    <row r="1546" spans="1:14" x14ac:dyDescent="0.25">
      <c r="A1546">
        <v>632.58599000000004</v>
      </c>
      <c r="B1546" s="1">
        <f>DATE(2012,1,23) + TIME(14,3,49)</f>
        <v>40931.5859837963</v>
      </c>
      <c r="C1546">
        <v>80</v>
      </c>
      <c r="D1546">
        <v>72.798133849999999</v>
      </c>
      <c r="E1546">
        <v>60</v>
      </c>
      <c r="F1546">
        <v>59.970771790000001</v>
      </c>
      <c r="G1546">
        <v>1326.2612305</v>
      </c>
      <c r="H1546">
        <v>1323.9101562000001</v>
      </c>
      <c r="I1546">
        <v>1339.2246094</v>
      </c>
      <c r="J1546">
        <v>1336.8034668</v>
      </c>
      <c r="K1546">
        <v>0</v>
      </c>
      <c r="L1546">
        <v>2750</v>
      </c>
      <c r="M1546">
        <v>2750</v>
      </c>
      <c r="N1546">
        <v>0</v>
      </c>
    </row>
    <row r="1547" spans="1:14" x14ac:dyDescent="0.25">
      <c r="A1547">
        <v>634.44164699999999</v>
      </c>
      <c r="B1547" s="1">
        <f>DATE(2012,1,25) + TIME(10,35,58)</f>
        <v>40933.441643518519</v>
      </c>
      <c r="C1547">
        <v>80</v>
      </c>
      <c r="D1547">
        <v>72.636917113999999</v>
      </c>
      <c r="E1547">
        <v>60</v>
      </c>
      <c r="F1547">
        <v>59.970771790000001</v>
      </c>
      <c r="G1547">
        <v>1326.2244873</v>
      </c>
      <c r="H1547">
        <v>1323.8610839999999</v>
      </c>
      <c r="I1547">
        <v>1339.2178954999999</v>
      </c>
      <c r="J1547">
        <v>1336.8009033000001</v>
      </c>
      <c r="K1547">
        <v>0</v>
      </c>
      <c r="L1547">
        <v>2750</v>
      </c>
      <c r="M1547">
        <v>2750</v>
      </c>
      <c r="N1547">
        <v>0</v>
      </c>
    </row>
    <row r="1548" spans="1:14" x14ac:dyDescent="0.25">
      <c r="A1548">
        <v>636.33547299999998</v>
      </c>
      <c r="B1548" s="1">
        <f>DATE(2012,1,27) + TIME(8,3,4)</f>
        <v>40935.335462962961</v>
      </c>
      <c r="C1548">
        <v>80</v>
      </c>
      <c r="D1548">
        <v>72.472938537999994</v>
      </c>
      <c r="E1548">
        <v>60</v>
      </c>
      <c r="F1548">
        <v>59.970771790000001</v>
      </c>
      <c r="G1548">
        <v>1326.1878661999999</v>
      </c>
      <c r="H1548">
        <v>1323.8120117000001</v>
      </c>
      <c r="I1548">
        <v>1339.2114257999999</v>
      </c>
      <c r="J1548">
        <v>1336.7983397999999</v>
      </c>
      <c r="K1548">
        <v>0</v>
      </c>
      <c r="L1548">
        <v>2750</v>
      </c>
      <c r="M1548">
        <v>2750</v>
      </c>
      <c r="N1548">
        <v>0</v>
      </c>
    </row>
    <row r="1549" spans="1:14" x14ac:dyDescent="0.25">
      <c r="A1549">
        <v>638.29294000000004</v>
      </c>
      <c r="B1549" s="1">
        <f>DATE(2012,1,29) + TIME(7,1,50)</f>
        <v>40937.292939814812</v>
      </c>
      <c r="C1549">
        <v>80</v>
      </c>
      <c r="D1549">
        <v>72.304924010999997</v>
      </c>
      <c r="E1549">
        <v>60</v>
      </c>
      <c r="F1549">
        <v>59.970775604000004</v>
      </c>
      <c r="G1549">
        <v>1326.1513672000001</v>
      </c>
      <c r="H1549">
        <v>1323.7629394999999</v>
      </c>
      <c r="I1549">
        <v>1339.2048339999999</v>
      </c>
      <c r="J1549">
        <v>1336.7957764</v>
      </c>
      <c r="K1549">
        <v>0</v>
      </c>
      <c r="L1549">
        <v>2750</v>
      </c>
      <c r="M1549">
        <v>2750</v>
      </c>
      <c r="N1549">
        <v>0</v>
      </c>
    </row>
    <row r="1550" spans="1:14" x14ac:dyDescent="0.25">
      <c r="A1550">
        <v>640.30040399999996</v>
      </c>
      <c r="B1550" s="1">
        <f>DATE(2012,1,31) + TIME(7,12,34)</f>
        <v>40939.300393518519</v>
      </c>
      <c r="C1550">
        <v>80</v>
      </c>
      <c r="D1550">
        <v>72.131446838000002</v>
      </c>
      <c r="E1550">
        <v>60</v>
      </c>
      <c r="F1550">
        <v>59.970779419000003</v>
      </c>
      <c r="G1550">
        <v>1326.1143798999999</v>
      </c>
      <c r="H1550">
        <v>1323.713501</v>
      </c>
      <c r="I1550">
        <v>1339.1981201000001</v>
      </c>
      <c r="J1550">
        <v>1336.7932129000001</v>
      </c>
      <c r="K1550">
        <v>0</v>
      </c>
      <c r="L1550">
        <v>2750</v>
      </c>
      <c r="M1550">
        <v>2750</v>
      </c>
      <c r="N1550">
        <v>0</v>
      </c>
    </row>
    <row r="1551" spans="1:14" x14ac:dyDescent="0.25">
      <c r="A1551">
        <v>641</v>
      </c>
      <c r="B1551" s="1">
        <f>DATE(2012,2,1) + TIME(0,0,0)</f>
        <v>40940</v>
      </c>
      <c r="C1551">
        <v>80</v>
      </c>
      <c r="D1551">
        <v>72.000595093000001</v>
      </c>
      <c r="E1551">
        <v>60</v>
      </c>
      <c r="F1551">
        <v>59.970760345000002</v>
      </c>
      <c r="G1551">
        <v>1326.0780029</v>
      </c>
      <c r="H1551">
        <v>1323.6668701000001</v>
      </c>
      <c r="I1551">
        <v>1339.1914062000001</v>
      </c>
      <c r="J1551">
        <v>1336.7904053</v>
      </c>
      <c r="K1551">
        <v>0</v>
      </c>
      <c r="L1551">
        <v>2750</v>
      </c>
      <c r="M1551">
        <v>2750</v>
      </c>
      <c r="N1551">
        <v>0</v>
      </c>
    </row>
    <row r="1552" spans="1:14" x14ac:dyDescent="0.25">
      <c r="A1552">
        <v>643.01555699999994</v>
      </c>
      <c r="B1552" s="1">
        <f>DATE(2012,2,3) + TIME(0,22,24)</f>
        <v>40942.015555555554</v>
      </c>
      <c r="C1552">
        <v>80</v>
      </c>
      <c r="D1552">
        <v>71.878097534000005</v>
      </c>
      <c r="E1552">
        <v>60</v>
      </c>
      <c r="F1552">
        <v>59.970779419000003</v>
      </c>
      <c r="G1552">
        <v>1326.0593262</v>
      </c>
      <c r="H1552">
        <v>1323.637207</v>
      </c>
      <c r="I1552">
        <v>1339.1892089999999</v>
      </c>
      <c r="J1552">
        <v>1336.7895507999999</v>
      </c>
      <c r="K1552">
        <v>0</v>
      </c>
      <c r="L1552">
        <v>2750</v>
      </c>
      <c r="M1552">
        <v>2750</v>
      </c>
      <c r="N1552">
        <v>0</v>
      </c>
    </row>
    <row r="1553" spans="1:14" x14ac:dyDescent="0.25">
      <c r="A1553">
        <v>645.067094</v>
      </c>
      <c r="B1553" s="1">
        <f>DATE(2012,2,5) + TIME(1,36,36)</f>
        <v>40944.067083333335</v>
      </c>
      <c r="C1553">
        <v>80</v>
      </c>
      <c r="D1553">
        <v>71.708404540999993</v>
      </c>
      <c r="E1553">
        <v>60</v>
      </c>
      <c r="F1553">
        <v>59.970787047999998</v>
      </c>
      <c r="G1553">
        <v>1326.0264893000001</v>
      </c>
      <c r="H1553">
        <v>1323.5952147999999</v>
      </c>
      <c r="I1553">
        <v>1339.1826172000001</v>
      </c>
      <c r="J1553">
        <v>1336.7868652</v>
      </c>
      <c r="K1553">
        <v>0</v>
      </c>
      <c r="L1553">
        <v>2750</v>
      </c>
      <c r="M1553">
        <v>2750</v>
      </c>
      <c r="N1553">
        <v>0</v>
      </c>
    </row>
    <row r="1554" spans="1:14" x14ac:dyDescent="0.25">
      <c r="A1554">
        <v>647.14630399999999</v>
      </c>
      <c r="B1554" s="1">
        <f>DATE(2012,2,7) + TIME(3,30,40)</f>
        <v>40946.146296296298</v>
      </c>
      <c r="C1554">
        <v>80</v>
      </c>
      <c r="D1554">
        <v>71.526794433999996</v>
      </c>
      <c r="E1554">
        <v>60</v>
      </c>
      <c r="F1554">
        <v>59.970794677999997</v>
      </c>
      <c r="G1554">
        <v>1325.9907227000001</v>
      </c>
      <c r="H1554">
        <v>1323.5478516000001</v>
      </c>
      <c r="I1554">
        <v>1339.1760254000001</v>
      </c>
      <c r="J1554">
        <v>1336.7841797000001</v>
      </c>
      <c r="K1554">
        <v>0</v>
      </c>
      <c r="L1554">
        <v>2750</v>
      </c>
      <c r="M1554">
        <v>2750</v>
      </c>
      <c r="N1554">
        <v>0</v>
      </c>
    </row>
    <row r="1555" spans="1:14" x14ac:dyDescent="0.25">
      <c r="A1555">
        <v>649.26770499999998</v>
      </c>
      <c r="B1555" s="1">
        <f>DATE(2012,2,9) + TIME(6,25,29)</f>
        <v>40948.267696759256</v>
      </c>
      <c r="C1555">
        <v>80</v>
      </c>
      <c r="D1555">
        <v>71.340339661000002</v>
      </c>
      <c r="E1555">
        <v>60</v>
      </c>
      <c r="F1555">
        <v>59.970802307</v>
      </c>
      <c r="G1555">
        <v>1325.9547118999999</v>
      </c>
      <c r="H1555">
        <v>1323.4995117000001</v>
      </c>
      <c r="I1555">
        <v>1339.1694336</v>
      </c>
      <c r="J1555">
        <v>1336.7814940999999</v>
      </c>
      <c r="K1555">
        <v>0</v>
      </c>
      <c r="L1555">
        <v>2750</v>
      </c>
      <c r="M1555">
        <v>2750</v>
      </c>
      <c r="N1555">
        <v>0</v>
      </c>
    </row>
    <row r="1556" spans="1:14" x14ac:dyDescent="0.25">
      <c r="A1556">
        <v>651.43174699999997</v>
      </c>
      <c r="B1556" s="1">
        <f>DATE(2012,2,11) + TIME(10,21,42)</f>
        <v>40950.43173611111</v>
      </c>
      <c r="C1556">
        <v>80</v>
      </c>
      <c r="D1556">
        <v>71.149475097999996</v>
      </c>
      <c r="E1556">
        <v>60</v>
      </c>
      <c r="F1556">
        <v>59.970809936999999</v>
      </c>
      <c r="G1556">
        <v>1325.918457</v>
      </c>
      <c r="H1556">
        <v>1323.4510498</v>
      </c>
      <c r="I1556">
        <v>1339.1628418</v>
      </c>
      <c r="J1556">
        <v>1336.7788086</v>
      </c>
      <c r="K1556">
        <v>0</v>
      </c>
      <c r="L1556">
        <v>2750</v>
      </c>
      <c r="M1556">
        <v>2750</v>
      </c>
      <c r="N1556">
        <v>0</v>
      </c>
    </row>
    <row r="1557" spans="1:14" x14ac:dyDescent="0.25">
      <c r="A1557">
        <v>653.67702999999995</v>
      </c>
      <c r="B1557" s="1">
        <f>DATE(2012,2,13) + TIME(16,14,55)</f>
        <v>40952.677025462966</v>
      </c>
      <c r="C1557">
        <v>80</v>
      </c>
      <c r="D1557">
        <v>70.953651428000001</v>
      </c>
      <c r="E1557">
        <v>60</v>
      </c>
      <c r="F1557">
        <v>59.970821381</v>
      </c>
      <c r="G1557">
        <v>1325.8822021000001</v>
      </c>
      <c r="H1557">
        <v>1323.4024658000001</v>
      </c>
      <c r="I1557">
        <v>1339.1563721</v>
      </c>
      <c r="J1557">
        <v>1336.776001</v>
      </c>
      <c r="K1557">
        <v>0</v>
      </c>
      <c r="L1557">
        <v>2750</v>
      </c>
      <c r="M1557">
        <v>2750</v>
      </c>
      <c r="N1557">
        <v>0</v>
      </c>
    </row>
    <row r="1558" spans="1:14" x14ac:dyDescent="0.25">
      <c r="A1558">
        <v>656.01574000000005</v>
      </c>
      <c r="B1558" s="1">
        <f>DATE(2012,2,16) + TIME(0,22,39)</f>
        <v>40955.015729166669</v>
      </c>
      <c r="C1558">
        <v>80</v>
      </c>
      <c r="D1558">
        <v>70.750282287999994</v>
      </c>
      <c r="E1558">
        <v>60</v>
      </c>
      <c r="F1558">
        <v>59.970832825000002</v>
      </c>
      <c r="G1558">
        <v>1325.8455810999999</v>
      </c>
      <c r="H1558">
        <v>1323.3533935999999</v>
      </c>
      <c r="I1558">
        <v>1339.1496582</v>
      </c>
      <c r="J1558">
        <v>1336.7731934000001</v>
      </c>
      <c r="K1558">
        <v>0</v>
      </c>
      <c r="L1558">
        <v>2750</v>
      </c>
      <c r="M1558">
        <v>2750</v>
      </c>
      <c r="N1558">
        <v>0</v>
      </c>
    </row>
    <row r="1559" spans="1:14" x14ac:dyDescent="0.25">
      <c r="A1559">
        <v>658.39030600000001</v>
      </c>
      <c r="B1559" s="1">
        <f>DATE(2012,2,18) + TIME(9,22,2)</f>
        <v>40957.390300925923</v>
      </c>
      <c r="C1559">
        <v>80</v>
      </c>
      <c r="D1559">
        <v>70.539070128999995</v>
      </c>
      <c r="E1559">
        <v>60</v>
      </c>
      <c r="F1559">
        <v>59.970844268999997</v>
      </c>
      <c r="G1559">
        <v>1325.8082274999999</v>
      </c>
      <c r="H1559">
        <v>1323.3034668</v>
      </c>
      <c r="I1559">
        <v>1339.1427002</v>
      </c>
      <c r="J1559">
        <v>1336.7702637</v>
      </c>
      <c r="K1559">
        <v>0</v>
      </c>
      <c r="L1559">
        <v>2750</v>
      </c>
      <c r="M1559">
        <v>2750</v>
      </c>
      <c r="N1559">
        <v>0</v>
      </c>
    </row>
    <row r="1560" spans="1:14" x14ac:dyDescent="0.25">
      <c r="A1560">
        <v>660.79309899999998</v>
      </c>
      <c r="B1560" s="1">
        <f>DATE(2012,2,20) + TIME(19,2,3)</f>
        <v>40959.793090277781</v>
      </c>
      <c r="C1560">
        <v>80</v>
      </c>
      <c r="D1560">
        <v>70.323287964000002</v>
      </c>
      <c r="E1560">
        <v>60</v>
      </c>
      <c r="F1560">
        <v>59.970855712999999</v>
      </c>
      <c r="G1560">
        <v>1325.770874</v>
      </c>
      <c r="H1560">
        <v>1323.253418</v>
      </c>
      <c r="I1560">
        <v>1339.1358643000001</v>
      </c>
      <c r="J1560">
        <v>1336.7673339999999</v>
      </c>
      <c r="K1560">
        <v>0</v>
      </c>
      <c r="L1560">
        <v>2750</v>
      </c>
      <c r="M1560">
        <v>2750</v>
      </c>
      <c r="N1560">
        <v>0</v>
      </c>
    </row>
    <row r="1561" spans="1:14" x14ac:dyDescent="0.25">
      <c r="A1561">
        <v>663.22934699999996</v>
      </c>
      <c r="B1561" s="1">
        <f>DATE(2012,2,23) + TIME(5,30,15)</f>
        <v>40962.22934027778</v>
      </c>
      <c r="C1561">
        <v>80</v>
      </c>
      <c r="D1561">
        <v>70.104049683</v>
      </c>
      <c r="E1561">
        <v>60</v>
      </c>
      <c r="F1561">
        <v>59.970870972</v>
      </c>
      <c r="G1561">
        <v>1325.7337646000001</v>
      </c>
      <c r="H1561">
        <v>1323.2036132999999</v>
      </c>
      <c r="I1561">
        <v>1339.1290283000001</v>
      </c>
      <c r="J1561">
        <v>1336.7642822</v>
      </c>
      <c r="K1561">
        <v>0</v>
      </c>
      <c r="L1561">
        <v>2750</v>
      </c>
      <c r="M1561">
        <v>2750</v>
      </c>
      <c r="N1561">
        <v>0</v>
      </c>
    </row>
    <row r="1562" spans="1:14" x14ac:dyDescent="0.25">
      <c r="A1562">
        <v>665.68701299999998</v>
      </c>
      <c r="B1562" s="1">
        <f>DATE(2012,2,25) + TIME(16,29,17)</f>
        <v>40964.687002314815</v>
      </c>
      <c r="C1562">
        <v>80</v>
      </c>
      <c r="D1562">
        <v>69.880920410000002</v>
      </c>
      <c r="E1562">
        <v>60</v>
      </c>
      <c r="F1562">
        <v>59.970886229999998</v>
      </c>
      <c r="G1562">
        <v>1325.6970214999999</v>
      </c>
      <c r="H1562">
        <v>1323.1542969</v>
      </c>
      <c r="I1562">
        <v>1339.1223144999999</v>
      </c>
      <c r="J1562">
        <v>1336.7612305</v>
      </c>
      <c r="K1562">
        <v>0</v>
      </c>
      <c r="L1562">
        <v>2750</v>
      </c>
      <c r="M1562">
        <v>2750</v>
      </c>
      <c r="N1562">
        <v>0</v>
      </c>
    </row>
    <row r="1563" spans="1:14" x14ac:dyDescent="0.25">
      <c r="A1563">
        <v>668.17986499999995</v>
      </c>
      <c r="B1563" s="1">
        <f>DATE(2012,2,28) + TIME(4,19,0)</f>
        <v>40967.179861111108</v>
      </c>
      <c r="C1563">
        <v>80</v>
      </c>
      <c r="D1563">
        <v>69.654632567999997</v>
      </c>
      <c r="E1563">
        <v>60</v>
      </c>
      <c r="F1563">
        <v>59.970901488999999</v>
      </c>
      <c r="G1563">
        <v>1325.6606445</v>
      </c>
      <c r="H1563">
        <v>1323.1053466999999</v>
      </c>
      <c r="I1563">
        <v>1339.1156006000001</v>
      </c>
      <c r="J1563">
        <v>1336.7583007999999</v>
      </c>
      <c r="K1563">
        <v>0</v>
      </c>
      <c r="L1563">
        <v>2750</v>
      </c>
      <c r="M1563">
        <v>2750</v>
      </c>
      <c r="N1563">
        <v>0</v>
      </c>
    </row>
    <row r="1564" spans="1:14" x14ac:dyDescent="0.25">
      <c r="A1564">
        <v>670</v>
      </c>
      <c r="B1564" s="1">
        <f>DATE(2012,3,1) + TIME(0,0,0)</f>
        <v>40969</v>
      </c>
      <c r="C1564">
        <v>80</v>
      </c>
      <c r="D1564">
        <v>69.437301636000001</v>
      </c>
      <c r="E1564">
        <v>60</v>
      </c>
      <c r="F1564">
        <v>59.970905303999999</v>
      </c>
      <c r="G1564">
        <v>1325.6246338000001</v>
      </c>
      <c r="H1564">
        <v>1323.0576172000001</v>
      </c>
      <c r="I1564">
        <v>1339.1088867000001</v>
      </c>
      <c r="J1564">
        <v>1336.7551269999999</v>
      </c>
      <c r="K1564">
        <v>0</v>
      </c>
      <c r="L1564">
        <v>2750</v>
      </c>
      <c r="M1564">
        <v>2750</v>
      </c>
      <c r="N1564">
        <v>0</v>
      </c>
    </row>
    <row r="1565" spans="1:14" x14ac:dyDescent="0.25">
      <c r="A1565">
        <v>672.52430300000003</v>
      </c>
      <c r="B1565" s="1">
        <f>DATE(2012,3,3) + TIME(12,34,59)</f>
        <v>40971.524293981478</v>
      </c>
      <c r="C1565">
        <v>80</v>
      </c>
      <c r="D1565">
        <v>69.247604370000005</v>
      </c>
      <c r="E1565">
        <v>60</v>
      </c>
      <c r="F1565">
        <v>59.970932007000002</v>
      </c>
      <c r="G1565">
        <v>1325.5960693</v>
      </c>
      <c r="H1565">
        <v>1323.0172118999999</v>
      </c>
      <c r="I1565">
        <v>1339.1040039</v>
      </c>
      <c r="J1565">
        <v>1336.7529297000001</v>
      </c>
      <c r="K1565">
        <v>0</v>
      </c>
      <c r="L1565">
        <v>2750</v>
      </c>
      <c r="M1565">
        <v>2750</v>
      </c>
      <c r="N1565">
        <v>0</v>
      </c>
    </row>
    <row r="1566" spans="1:14" x14ac:dyDescent="0.25">
      <c r="A1566">
        <v>675.15111000000002</v>
      </c>
      <c r="B1566" s="1">
        <f>DATE(2012,3,6) + TIME(3,37,35)</f>
        <v>40974.151099537034</v>
      </c>
      <c r="C1566">
        <v>80</v>
      </c>
      <c r="D1566">
        <v>69.018035889000004</v>
      </c>
      <c r="E1566">
        <v>60</v>
      </c>
      <c r="F1566">
        <v>59.970954894999998</v>
      </c>
      <c r="G1566">
        <v>1325.5631103999999</v>
      </c>
      <c r="H1566">
        <v>1322.973999</v>
      </c>
      <c r="I1566">
        <v>1339.0974120999999</v>
      </c>
      <c r="J1566">
        <v>1336.7498779</v>
      </c>
      <c r="K1566">
        <v>0</v>
      </c>
      <c r="L1566">
        <v>2750</v>
      </c>
      <c r="M1566">
        <v>2750</v>
      </c>
      <c r="N1566">
        <v>0</v>
      </c>
    </row>
    <row r="1567" spans="1:14" x14ac:dyDescent="0.25">
      <c r="A1567">
        <v>677.86123699999996</v>
      </c>
      <c r="B1567" s="1">
        <f>DATE(2012,3,8) + TIME(20,40,10)</f>
        <v>40976.861226851855</v>
      </c>
      <c r="C1567">
        <v>80</v>
      </c>
      <c r="D1567">
        <v>68.773590088000006</v>
      </c>
      <c r="E1567">
        <v>60</v>
      </c>
      <c r="F1567">
        <v>59.970973968999999</v>
      </c>
      <c r="G1567">
        <v>1325.5280762</v>
      </c>
      <c r="H1567">
        <v>1322.927124</v>
      </c>
      <c r="I1567">
        <v>1339.0906981999999</v>
      </c>
      <c r="J1567">
        <v>1336.7467041</v>
      </c>
      <c r="K1567">
        <v>0</v>
      </c>
      <c r="L1567">
        <v>2750</v>
      </c>
      <c r="M1567">
        <v>2750</v>
      </c>
      <c r="N1567">
        <v>0</v>
      </c>
    </row>
    <row r="1568" spans="1:14" x14ac:dyDescent="0.25">
      <c r="A1568">
        <v>680.64946299999997</v>
      </c>
      <c r="B1568" s="1">
        <f>DATE(2012,3,11) + TIME(15,35,13)</f>
        <v>40979.649456018517</v>
      </c>
      <c r="C1568">
        <v>80</v>
      </c>
      <c r="D1568">
        <v>68.519371032999999</v>
      </c>
      <c r="E1568">
        <v>60</v>
      </c>
      <c r="F1568">
        <v>59.970996857000003</v>
      </c>
      <c r="G1568">
        <v>1325.4924315999999</v>
      </c>
      <c r="H1568">
        <v>1322.8792725000001</v>
      </c>
      <c r="I1568">
        <v>1339.0838623</v>
      </c>
      <c r="J1568">
        <v>1336.7434082</v>
      </c>
      <c r="K1568">
        <v>0</v>
      </c>
      <c r="L1568">
        <v>2750</v>
      </c>
      <c r="M1568">
        <v>2750</v>
      </c>
      <c r="N1568">
        <v>0</v>
      </c>
    </row>
    <row r="1569" spans="1:14" x14ac:dyDescent="0.25">
      <c r="A1569">
        <v>683.49289699999997</v>
      </c>
      <c r="B1569" s="1">
        <f>DATE(2012,3,14) + TIME(11,49,46)</f>
        <v>40982.492893518516</v>
      </c>
      <c r="C1569">
        <v>80</v>
      </c>
      <c r="D1569">
        <v>68.256530761999997</v>
      </c>
      <c r="E1569">
        <v>60</v>
      </c>
      <c r="F1569">
        <v>59.971023559999999</v>
      </c>
      <c r="G1569">
        <v>1325.4566649999999</v>
      </c>
      <c r="H1569">
        <v>1322.8310547000001</v>
      </c>
      <c r="I1569">
        <v>1339.0769043</v>
      </c>
      <c r="J1569">
        <v>1336.7401123</v>
      </c>
      <c r="K1569">
        <v>0</v>
      </c>
      <c r="L1569">
        <v>2750</v>
      </c>
      <c r="M1569">
        <v>2750</v>
      </c>
      <c r="N1569">
        <v>0</v>
      </c>
    </row>
    <row r="1570" spans="1:14" x14ac:dyDescent="0.25">
      <c r="A1570">
        <v>686.39049399999999</v>
      </c>
      <c r="B1570" s="1">
        <f>DATE(2012,3,17) + TIME(9,22,18)</f>
        <v>40985.390486111108</v>
      </c>
      <c r="C1570">
        <v>80</v>
      </c>
      <c r="D1570">
        <v>67.986824036000002</v>
      </c>
      <c r="E1570">
        <v>60</v>
      </c>
      <c r="F1570">
        <v>59.971046448000003</v>
      </c>
      <c r="G1570">
        <v>1325.4208983999999</v>
      </c>
      <c r="H1570">
        <v>1322.7829589999999</v>
      </c>
      <c r="I1570">
        <v>1339.0699463000001</v>
      </c>
      <c r="J1570">
        <v>1336.7366943</v>
      </c>
      <c r="K1570">
        <v>0</v>
      </c>
      <c r="L1570">
        <v>2750</v>
      </c>
      <c r="M1570">
        <v>2750</v>
      </c>
      <c r="N1570">
        <v>0</v>
      </c>
    </row>
    <row r="1571" spans="1:14" x14ac:dyDescent="0.25">
      <c r="A1571">
        <v>689.35786099999996</v>
      </c>
      <c r="B1571" s="1">
        <f>DATE(2012,3,20) + TIME(8,35,19)</f>
        <v>40988.357858796298</v>
      </c>
      <c r="C1571">
        <v>80</v>
      </c>
      <c r="D1571">
        <v>67.710151671999995</v>
      </c>
      <c r="E1571">
        <v>60</v>
      </c>
      <c r="F1571">
        <v>59.971076965000002</v>
      </c>
      <c r="G1571">
        <v>1325.3854980000001</v>
      </c>
      <c r="H1571">
        <v>1322.7351074000001</v>
      </c>
      <c r="I1571">
        <v>1339.0629882999999</v>
      </c>
      <c r="J1571">
        <v>1336.7332764</v>
      </c>
      <c r="K1571">
        <v>0</v>
      </c>
      <c r="L1571">
        <v>2750</v>
      </c>
      <c r="M1571">
        <v>2750</v>
      </c>
      <c r="N1571">
        <v>0</v>
      </c>
    </row>
    <row r="1572" spans="1:14" x14ac:dyDescent="0.25">
      <c r="A1572">
        <v>692.43780800000002</v>
      </c>
      <c r="B1572" s="1">
        <f>DATE(2012,3,23) + TIME(10,30,26)</f>
        <v>40991.437800925924</v>
      </c>
      <c r="C1572">
        <v>80</v>
      </c>
      <c r="D1572">
        <v>67.424972534000005</v>
      </c>
      <c r="E1572">
        <v>60</v>
      </c>
      <c r="F1572">
        <v>59.971103667999998</v>
      </c>
      <c r="G1572">
        <v>1325.3502197</v>
      </c>
      <c r="H1572">
        <v>1322.6873779</v>
      </c>
      <c r="I1572">
        <v>1339.0559082</v>
      </c>
      <c r="J1572">
        <v>1336.7297363</v>
      </c>
      <c r="K1572">
        <v>0</v>
      </c>
      <c r="L1572">
        <v>2750</v>
      </c>
      <c r="M1572">
        <v>2750</v>
      </c>
      <c r="N1572">
        <v>0</v>
      </c>
    </row>
    <row r="1573" spans="1:14" x14ac:dyDescent="0.25">
      <c r="A1573">
        <v>695.52279499999997</v>
      </c>
      <c r="B1573" s="1">
        <f>DATE(2012,3,26) + TIME(12,32,49)</f>
        <v>40994.522789351853</v>
      </c>
      <c r="C1573">
        <v>80</v>
      </c>
      <c r="D1573">
        <v>67.129104613999999</v>
      </c>
      <c r="E1573">
        <v>60</v>
      </c>
      <c r="F1573">
        <v>59.971134186</v>
      </c>
      <c r="G1573">
        <v>1325.3148193</v>
      </c>
      <c r="H1573">
        <v>1322.6396483999999</v>
      </c>
      <c r="I1573">
        <v>1339.0487060999999</v>
      </c>
      <c r="J1573">
        <v>1336.7261963000001</v>
      </c>
      <c r="K1573">
        <v>0</v>
      </c>
      <c r="L1573">
        <v>2750</v>
      </c>
      <c r="M1573">
        <v>2750</v>
      </c>
      <c r="N1573">
        <v>0</v>
      </c>
    </row>
    <row r="1574" spans="1:14" x14ac:dyDescent="0.25">
      <c r="A1574">
        <v>698.62604499999998</v>
      </c>
      <c r="B1574" s="1">
        <f>DATE(2012,3,29) + TIME(15,1,30)</f>
        <v>40997.62604166667</v>
      </c>
      <c r="C1574">
        <v>80</v>
      </c>
      <c r="D1574">
        <v>66.829948424999998</v>
      </c>
      <c r="E1574">
        <v>60</v>
      </c>
      <c r="F1574">
        <v>59.971164702999999</v>
      </c>
      <c r="G1574">
        <v>1325.2801514</v>
      </c>
      <c r="H1574">
        <v>1322.5925293</v>
      </c>
      <c r="I1574">
        <v>1339.041626</v>
      </c>
      <c r="J1574">
        <v>1336.7225341999999</v>
      </c>
      <c r="K1574">
        <v>0</v>
      </c>
      <c r="L1574">
        <v>2750</v>
      </c>
      <c r="M1574">
        <v>2750</v>
      </c>
      <c r="N1574">
        <v>0</v>
      </c>
    </row>
    <row r="1575" spans="1:14" x14ac:dyDescent="0.25">
      <c r="A1575">
        <v>701</v>
      </c>
      <c r="B1575" s="1">
        <f>DATE(2012,4,1) + TIME(0,0,0)</f>
        <v>41000</v>
      </c>
      <c r="C1575">
        <v>80</v>
      </c>
      <c r="D1575">
        <v>66.538932799999998</v>
      </c>
      <c r="E1575">
        <v>60</v>
      </c>
      <c r="F1575">
        <v>59.971179962000001</v>
      </c>
      <c r="G1575">
        <v>1325.2463379000001</v>
      </c>
      <c r="H1575">
        <v>1322.5469971</v>
      </c>
      <c r="I1575">
        <v>1339.0345459</v>
      </c>
      <c r="J1575">
        <v>1336.7188721</v>
      </c>
      <c r="K1575">
        <v>0</v>
      </c>
      <c r="L1575">
        <v>2750</v>
      </c>
      <c r="M1575">
        <v>2750</v>
      </c>
      <c r="N1575">
        <v>0</v>
      </c>
    </row>
    <row r="1576" spans="1:14" x14ac:dyDescent="0.25">
      <c r="A1576">
        <v>704.15207999999996</v>
      </c>
      <c r="B1576" s="1">
        <f>DATE(2012,4,4) + TIME(3,38,59)</f>
        <v>41003.152071759258</v>
      </c>
      <c r="C1576">
        <v>80</v>
      </c>
      <c r="D1576">
        <v>66.286445618000002</v>
      </c>
      <c r="E1576">
        <v>60</v>
      </c>
      <c r="F1576">
        <v>59.971218108999999</v>
      </c>
      <c r="G1576">
        <v>1325.2191161999999</v>
      </c>
      <c r="H1576">
        <v>1322.5081786999999</v>
      </c>
      <c r="I1576">
        <v>1339.0292969</v>
      </c>
      <c r="J1576">
        <v>1336.7160644999999</v>
      </c>
      <c r="K1576">
        <v>0</v>
      </c>
      <c r="L1576">
        <v>2750</v>
      </c>
      <c r="M1576">
        <v>2750</v>
      </c>
      <c r="N1576">
        <v>0</v>
      </c>
    </row>
    <row r="1577" spans="1:14" x14ac:dyDescent="0.25">
      <c r="A1577">
        <v>707.45364300000006</v>
      </c>
      <c r="B1577" s="1">
        <f>DATE(2012,4,7) + TIME(10,53,14)</f>
        <v>41006.453634259262</v>
      </c>
      <c r="C1577">
        <v>80</v>
      </c>
      <c r="D1577">
        <v>65.981971740999995</v>
      </c>
      <c r="E1577">
        <v>60</v>
      </c>
      <c r="F1577">
        <v>59.971256255999997</v>
      </c>
      <c r="G1577">
        <v>1325.1887207</v>
      </c>
      <c r="H1577">
        <v>1322.4677733999999</v>
      </c>
      <c r="I1577">
        <v>1339.0223389</v>
      </c>
      <c r="J1577">
        <v>1336.7124022999999</v>
      </c>
      <c r="K1577">
        <v>0</v>
      </c>
      <c r="L1577">
        <v>2750</v>
      </c>
      <c r="M1577">
        <v>2750</v>
      </c>
      <c r="N1577">
        <v>0</v>
      </c>
    </row>
    <row r="1578" spans="1:14" x14ac:dyDescent="0.25">
      <c r="A1578">
        <v>710.83786099999998</v>
      </c>
      <c r="B1578" s="1">
        <f>DATE(2012,4,10) + TIME(20,6,31)</f>
        <v>41009.837858796294</v>
      </c>
      <c r="C1578">
        <v>80</v>
      </c>
      <c r="D1578">
        <v>65.658134459999999</v>
      </c>
      <c r="E1578">
        <v>60</v>
      </c>
      <c r="F1578">
        <v>59.971294403000002</v>
      </c>
      <c r="G1578">
        <v>1325.1567382999999</v>
      </c>
      <c r="H1578">
        <v>1322.4244385</v>
      </c>
      <c r="I1578">
        <v>1339.0152588000001</v>
      </c>
      <c r="J1578">
        <v>1336.7086182</v>
      </c>
      <c r="K1578">
        <v>0</v>
      </c>
      <c r="L1578">
        <v>2750</v>
      </c>
      <c r="M1578">
        <v>2750</v>
      </c>
      <c r="N1578">
        <v>0</v>
      </c>
    </row>
    <row r="1579" spans="1:14" x14ac:dyDescent="0.25">
      <c r="A1579">
        <v>714.33893699999999</v>
      </c>
      <c r="B1579" s="1">
        <f>DATE(2012,4,14) + TIME(8,8,4)</f>
        <v>41013.338935185187</v>
      </c>
      <c r="C1579">
        <v>80</v>
      </c>
      <c r="D1579">
        <v>65.324180603000002</v>
      </c>
      <c r="E1579">
        <v>60</v>
      </c>
      <c r="F1579">
        <v>59.97133255</v>
      </c>
      <c r="G1579">
        <v>1325.1248779</v>
      </c>
      <c r="H1579">
        <v>1322.3809814000001</v>
      </c>
      <c r="I1579">
        <v>1339.0079346</v>
      </c>
      <c r="J1579">
        <v>1336.7047118999999</v>
      </c>
      <c r="K1579">
        <v>0</v>
      </c>
      <c r="L1579">
        <v>2750</v>
      </c>
      <c r="M1579">
        <v>2750</v>
      </c>
      <c r="N1579">
        <v>0</v>
      </c>
    </row>
    <row r="1580" spans="1:14" x14ac:dyDescent="0.25">
      <c r="A1580">
        <v>717.94408199999998</v>
      </c>
      <c r="B1580" s="1">
        <f>DATE(2012,4,17) + TIME(22,39,28)</f>
        <v>41016.944074074076</v>
      </c>
      <c r="C1580">
        <v>80</v>
      </c>
      <c r="D1580">
        <v>64.978469849000007</v>
      </c>
      <c r="E1580">
        <v>60</v>
      </c>
      <c r="F1580">
        <v>59.971370696999998</v>
      </c>
      <c r="G1580">
        <v>1325.0932617000001</v>
      </c>
      <c r="H1580">
        <v>1322.3377685999999</v>
      </c>
      <c r="I1580">
        <v>1339.0006103999999</v>
      </c>
      <c r="J1580">
        <v>1336.7006836</v>
      </c>
      <c r="K1580">
        <v>0</v>
      </c>
      <c r="L1580">
        <v>2750</v>
      </c>
      <c r="M1580">
        <v>2750</v>
      </c>
      <c r="N1580">
        <v>0</v>
      </c>
    </row>
    <row r="1581" spans="1:14" x14ac:dyDescent="0.25">
      <c r="A1581">
        <v>721.66099199999996</v>
      </c>
      <c r="B1581" s="1">
        <f>DATE(2012,4,21) + TIME(15,51,49)</f>
        <v>41020.660983796297</v>
      </c>
      <c r="C1581">
        <v>80</v>
      </c>
      <c r="D1581">
        <v>64.623748778999996</v>
      </c>
      <c r="E1581">
        <v>60</v>
      </c>
      <c r="F1581">
        <v>59.971416472999998</v>
      </c>
      <c r="G1581">
        <v>1325.0621338000001</v>
      </c>
      <c r="H1581">
        <v>1322.2951660000001</v>
      </c>
      <c r="I1581">
        <v>1338.9931641000001</v>
      </c>
      <c r="J1581">
        <v>1336.6965332</v>
      </c>
      <c r="K1581">
        <v>0</v>
      </c>
      <c r="L1581">
        <v>2750</v>
      </c>
      <c r="M1581">
        <v>2750</v>
      </c>
      <c r="N1581">
        <v>0</v>
      </c>
    </row>
    <row r="1582" spans="1:14" x14ac:dyDescent="0.25">
      <c r="A1582">
        <v>723.56108900000004</v>
      </c>
      <c r="B1582" s="1">
        <f>DATE(2012,4,23) + TIME(13,27,58)</f>
        <v>41022.56108796296</v>
      </c>
      <c r="C1582">
        <v>80</v>
      </c>
      <c r="D1582">
        <v>64.294265746999997</v>
      </c>
      <c r="E1582">
        <v>60</v>
      </c>
      <c r="F1582">
        <v>59.971420287999997</v>
      </c>
      <c r="G1582">
        <v>1325.0313721</v>
      </c>
      <c r="H1582">
        <v>1322.2541504000001</v>
      </c>
      <c r="I1582">
        <v>1338.9855957</v>
      </c>
      <c r="J1582">
        <v>1336.6922606999999</v>
      </c>
      <c r="K1582">
        <v>0</v>
      </c>
      <c r="L1582">
        <v>2750</v>
      </c>
      <c r="M1582">
        <v>2750</v>
      </c>
      <c r="N1582">
        <v>0</v>
      </c>
    </row>
    <row r="1583" spans="1:14" x14ac:dyDescent="0.25">
      <c r="A1583">
        <v>727.33524899999998</v>
      </c>
      <c r="B1583" s="1">
        <f>DATE(2012,4,27) + TIME(8,2,45)</f>
        <v>41026.335243055553</v>
      </c>
      <c r="C1583">
        <v>80</v>
      </c>
      <c r="D1583">
        <v>64.057868958</v>
      </c>
      <c r="E1583">
        <v>60</v>
      </c>
      <c r="F1583">
        <v>59.971477509000003</v>
      </c>
      <c r="G1583">
        <v>1325.0126952999999</v>
      </c>
      <c r="H1583">
        <v>1322.2247314000001</v>
      </c>
      <c r="I1583">
        <v>1338.9818115</v>
      </c>
      <c r="J1583">
        <v>1336.6900635</v>
      </c>
      <c r="K1583">
        <v>0</v>
      </c>
      <c r="L1583">
        <v>2750</v>
      </c>
      <c r="M1583">
        <v>2750</v>
      </c>
      <c r="N1583">
        <v>0</v>
      </c>
    </row>
    <row r="1584" spans="1:14" x14ac:dyDescent="0.25">
      <c r="A1584">
        <v>731</v>
      </c>
      <c r="B1584" s="1">
        <f>DATE(2012,5,1) + TIME(0,0,0)</f>
        <v>41030</v>
      </c>
      <c r="C1584">
        <v>80</v>
      </c>
      <c r="D1584">
        <v>63.706787108999997</v>
      </c>
      <c r="E1584">
        <v>60</v>
      </c>
      <c r="F1584">
        <v>59.971523285000004</v>
      </c>
      <c r="G1584">
        <v>1324.9873047000001</v>
      </c>
      <c r="H1584">
        <v>1322.1917725000001</v>
      </c>
      <c r="I1584">
        <v>1338.9742432</v>
      </c>
      <c r="J1584">
        <v>1336.6857910000001</v>
      </c>
      <c r="K1584">
        <v>0</v>
      </c>
      <c r="L1584">
        <v>2750</v>
      </c>
      <c r="M1584">
        <v>2750</v>
      </c>
      <c r="N1584">
        <v>0</v>
      </c>
    </row>
    <row r="1585" spans="1:14" x14ac:dyDescent="0.25">
      <c r="A1585">
        <v>731.000001</v>
      </c>
      <c r="B1585" s="1">
        <f>DATE(2012,5,1) + TIME(0,0,0)</f>
        <v>41030</v>
      </c>
      <c r="C1585">
        <v>80</v>
      </c>
      <c r="D1585">
        <v>63.706966399999999</v>
      </c>
      <c r="E1585">
        <v>60</v>
      </c>
      <c r="F1585">
        <v>59.971427917</v>
      </c>
      <c r="G1585">
        <v>1328.7453613</v>
      </c>
      <c r="H1585">
        <v>1326.0772704999999</v>
      </c>
      <c r="I1585">
        <v>1335.9630127</v>
      </c>
      <c r="J1585">
        <v>1334.4815673999999</v>
      </c>
      <c r="K1585">
        <v>2750</v>
      </c>
      <c r="L1585">
        <v>0</v>
      </c>
      <c r="M1585">
        <v>0</v>
      </c>
      <c r="N1585">
        <v>2750</v>
      </c>
    </row>
    <row r="1586" spans="1:14" x14ac:dyDescent="0.25">
      <c r="A1586">
        <v>731.00000399999999</v>
      </c>
      <c r="B1586" s="1">
        <f>DATE(2012,5,1) + TIME(0,0,0)</f>
        <v>41030</v>
      </c>
      <c r="C1586">
        <v>80</v>
      </c>
      <c r="D1586">
        <v>63.707267760999997</v>
      </c>
      <c r="E1586">
        <v>60</v>
      </c>
      <c r="F1586">
        <v>59.971286773999999</v>
      </c>
      <c r="G1586">
        <v>1330.1318358999999</v>
      </c>
      <c r="H1586">
        <v>1327.5986327999999</v>
      </c>
      <c r="I1586">
        <v>1334.8977050999999</v>
      </c>
      <c r="J1586">
        <v>1333.4163818</v>
      </c>
      <c r="K1586">
        <v>2750</v>
      </c>
      <c r="L1586">
        <v>0</v>
      </c>
      <c r="M1586">
        <v>0</v>
      </c>
      <c r="N1586">
        <v>2750</v>
      </c>
    </row>
    <row r="1587" spans="1:14" x14ac:dyDescent="0.25">
      <c r="A1587">
        <v>731.00001299999997</v>
      </c>
      <c r="B1587" s="1">
        <f>DATE(2012,5,1) + TIME(0,0,1)</f>
        <v>41030.000011574077</v>
      </c>
      <c r="C1587">
        <v>80</v>
      </c>
      <c r="D1587">
        <v>63.707778931</v>
      </c>
      <c r="E1587">
        <v>60</v>
      </c>
      <c r="F1587">
        <v>59.971134186</v>
      </c>
      <c r="G1587">
        <v>1331.8016356999999</v>
      </c>
      <c r="H1587">
        <v>1329.2414550999999</v>
      </c>
      <c r="I1587">
        <v>1333.7413329999999</v>
      </c>
      <c r="J1587">
        <v>1332.2597656</v>
      </c>
      <c r="K1587">
        <v>2750</v>
      </c>
      <c r="L1587">
        <v>0</v>
      </c>
      <c r="M1587">
        <v>0</v>
      </c>
      <c r="N1587">
        <v>2750</v>
      </c>
    </row>
    <row r="1588" spans="1:14" x14ac:dyDescent="0.25">
      <c r="A1588">
        <v>731.00004000000001</v>
      </c>
      <c r="B1588" s="1">
        <f>DATE(2012,5,1) + TIME(0,0,3)</f>
        <v>41030.000034722223</v>
      </c>
      <c r="C1588">
        <v>80</v>
      </c>
      <c r="D1588">
        <v>63.708896637000002</v>
      </c>
      <c r="E1588">
        <v>60</v>
      </c>
      <c r="F1588">
        <v>59.970981598000002</v>
      </c>
      <c r="G1588">
        <v>1333.4940185999999</v>
      </c>
      <c r="H1588">
        <v>1330.8653564000001</v>
      </c>
      <c r="I1588">
        <v>1332.6190185999999</v>
      </c>
      <c r="J1588">
        <v>1331.1319579999999</v>
      </c>
      <c r="K1588">
        <v>2750</v>
      </c>
      <c r="L1588">
        <v>0</v>
      </c>
      <c r="M1588">
        <v>0</v>
      </c>
      <c r="N1588">
        <v>2750</v>
      </c>
    </row>
    <row r="1589" spans="1:14" x14ac:dyDescent="0.25">
      <c r="A1589">
        <v>731.00012100000004</v>
      </c>
      <c r="B1589" s="1">
        <f>DATE(2012,5,1) + TIME(0,0,10)</f>
        <v>41030.000115740739</v>
      </c>
      <c r="C1589">
        <v>80</v>
      </c>
      <c r="D1589">
        <v>63.711872100999997</v>
      </c>
      <c r="E1589">
        <v>60</v>
      </c>
      <c r="F1589">
        <v>59.970821381</v>
      </c>
      <c r="G1589">
        <v>1335.1520995999999</v>
      </c>
      <c r="H1589">
        <v>1332.4572754000001</v>
      </c>
      <c r="I1589">
        <v>1331.4967041</v>
      </c>
      <c r="J1589">
        <v>1329.9869385</v>
      </c>
      <c r="K1589">
        <v>2750</v>
      </c>
      <c r="L1589">
        <v>0</v>
      </c>
      <c r="M1589">
        <v>0</v>
      </c>
      <c r="N1589">
        <v>2750</v>
      </c>
    </row>
    <row r="1590" spans="1:14" x14ac:dyDescent="0.25">
      <c r="A1590">
        <v>731.00036399999999</v>
      </c>
      <c r="B1590" s="1">
        <f>DATE(2012,5,1) + TIME(0,0,31)</f>
        <v>41030.000358796293</v>
      </c>
      <c r="C1590">
        <v>80</v>
      </c>
      <c r="D1590">
        <v>63.720584869</v>
      </c>
      <c r="E1590">
        <v>60</v>
      </c>
      <c r="F1590">
        <v>59.970634459999999</v>
      </c>
      <c r="G1590">
        <v>1336.7764893000001</v>
      </c>
      <c r="H1590">
        <v>1334.0117187999999</v>
      </c>
      <c r="I1590">
        <v>1330.3192139</v>
      </c>
      <c r="J1590">
        <v>1328.7620850000001</v>
      </c>
      <c r="K1590">
        <v>2750</v>
      </c>
      <c r="L1590">
        <v>0</v>
      </c>
      <c r="M1590">
        <v>0</v>
      </c>
      <c r="N1590">
        <v>2750</v>
      </c>
    </row>
    <row r="1591" spans="1:14" x14ac:dyDescent="0.25">
      <c r="A1591">
        <v>731.00109299999997</v>
      </c>
      <c r="B1591" s="1">
        <f>DATE(2012,5,1) + TIME(0,1,34)</f>
        <v>41030.001087962963</v>
      </c>
      <c r="C1591">
        <v>80</v>
      </c>
      <c r="D1591">
        <v>63.746871947999999</v>
      </c>
      <c r="E1591">
        <v>60</v>
      </c>
      <c r="F1591">
        <v>59.970371245999999</v>
      </c>
      <c r="G1591">
        <v>1338.2484131000001</v>
      </c>
      <c r="H1591">
        <v>1335.4167480000001</v>
      </c>
      <c r="I1591">
        <v>1329.1313477000001</v>
      </c>
      <c r="J1591">
        <v>1327.5212402</v>
      </c>
      <c r="K1591">
        <v>2750</v>
      </c>
      <c r="L1591">
        <v>0</v>
      </c>
      <c r="M1591">
        <v>0</v>
      </c>
      <c r="N1591">
        <v>2750</v>
      </c>
    </row>
    <row r="1592" spans="1:14" x14ac:dyDescent="0.25">
      <c r="A1592">
        <v>731.00328000000002</v>
      </c>
      <c r="B1592" s="1">
        <f>DATE(2012,5,1) + TIME(0,4,43)</f>
        <v>41030.003275462965</v>
      </c>
      <c r="C1592">
        <v>80</v>
      </c>
      <c r="D1592">
        <v>63.826137543000002</v>
      </c>
      <c r="E1592">
        <v>60</v>
      </c>
      <c r="F1592">
        <v>59.969917297000002</v>
      </c>
      <c r="G1592">
        <v>1339.3204346</v>
      </c>
      <c r="H1592">
        <v>1336.4482422000001</v>
      </c>
      <c r="I1592">
        <v>1328.1623535000001</v>
      </c>
      <c r="J1592">
        <v>1326.5214844</v>
      </c>
      <c r="K1592">
        <v>2750</v>
      </c>
      <c r="L1592">
        <v>0</v>
      </c>
      <c r="M1592">
        <v>0</v>
      </c>
      <c r="N1592">
        <v>2750</v>
      </c>
    </row>
    <row r="1593" spans="1:14" x14ac:dyDescent="0.25">
      <c r="A1593">
        <v>731.00984100000005</v>
      </c>
      <c r="B1593" s="1">
        <f>DATE(2012,5,1) + TIME(0,14,10)</f>
        <v>41030.009837962964</v>
      </c>
      <c r="C1593">
        <v>80</v>
      </c>
      <c r="D1593">
        <v>64.061264038000004</v>
      </c>
      <c r="E1593">
        <v>60</v>
      </c>
      <c r="F1593">
        <v>59.968879700000002</v>
      </c>
      <c r="G1593">
        <v>1339.8615723</v>
      </c>
      <c r="H1593">
        <v>1336.9851074000001</v>
      </c>
      <c r="I1593">
        <v>1327.6505127</v>
      </c>
      <c r="J1593">
        <v>1325.9996338000001</v>
      </c>
      <c r="K1593">
        <v>2750</v>
      </c>
      <c r="L1593">
        <v>0</v>
      </c>
      <c r="M1593">
        <v>0</v>
      </c>
      <c r="N1593">
        <v>2750</v>
      </c>
    </row>
    <row r="1594" spans="1:14" x14ac:dyDescent="0.25">
      <c r="A1594">
        <v>731.02672299999995</v>
      </c>
      <c r="B1594" s="1">
        <f>DATE(2012,5,1) + TIME(0,38,28)</f>
        <v>41030.026712962965</v>
      </c>
      <c r="C1594">
        <v>80</v>
      </c>
      <c r="D1594">
        <v>64.643653869999994</v>
      </c>
      <c r="E1594">
        <v>60</v>
      </c>
      <c r="F1594">
        <v>59.966400145999998</v>
      </c>
      <c r="G1594">
        <v>1339.9846190999999</v>
      </c>
      <c r="H1594">
        <v>1337.1331786999999</v>
      </c>
      <c r="I1594">
        <v>1327.53125</v>
      </c>
      <c r="J1594">
        <v>1325.8785399999999</v>
      </c>
      <c r="K1594">
        <v>2750</v>
      </c>
      <c r="L1594">
        <v>0</v>
      </c>
      <c r="M1594">
        <v>0</v>
      </c>
      <c r="N1594">
        <v>2750</v>
      </c>
    </row>
    <row r="1595" spans="1:14" x14ac:dyDescent="0.25">
      <c r="A1595">
        <v>731.04390899999999</v>
      </c>
      <c r="B1595" s="1">
        <f>DATE(2012,5,1) + TIME(1,3,13)</f>
        <v>41030.043900462966</v>
      </c>
      <c r="C1595">
        <v>80</v>
      </c>
      <c r="D1595">
        <v>65.216629028</v>
      </c>
      <c r="E1595">
        <v>60</v>
      </c>
      <c r="F1595">
        <v>59.963909149000003</v>
      </c>
      <c r="G1595">
        <v>1339.9997559000001</v>
      </c>
      <c r="H1595">
        <v>1337.1608887</v>
      </c>
      <c r="I1595">
        <v>1327.5229492000001</v>
      </c>
      <c r="J1595">
        <v>1325.8699951000001</v>
      </c>
      <c r="K1595">
        <v>2750</v>
      </c>
      <c r="L1595">
        <v>0</v>
      </c>
      <c r="M1595">
        <v>0</v>
      </c>
      <c r="N1595">
        <v>2750</v>
      </c>
    </row>
    <row r="1596" spans="1:14" x14ac:dyDescent="0.25">
      <c r="A1596">
        <v>731.06143099999997</v>
      </c>
      <c r="B1596" s="1">
        <f>DATE(2012,5,1) + TIME(1,28,27)</f>
        <v>41030.061423611114</v>
      </c>
      <c r="C1596">
        <v>80</v>
      </c>
      <c r="D1596">
        <v>65.780792235999996</v>
      </c>
      <c r="E1596">
        <v>60</v>
      </c>
      <c r="F1596">
        <v>59.961383820000002</v>
      </c>
      <c r="G1596">
        <v>1339.9960937999999</v>
      </c>
      <c r="H1596">
        <v>1337.1690673999999</v>
      </c>
      <c r="I1596">
        <v>1327.5234375</v>
      </c>
      <c r="J1596">
        <v>1325.8704834</v>
      </c>
      <c r="K1596">
        <v>2750</v>
      </c>
      <c r="L1596">
        <v>0</v>
      </c>
      <c r="M1596">
        <v>0</v>
      </c>
      <c r="N1596">
        <v>2750</v>
      </c>
    </row>
    <row r="1597" spans="1:14" x14ac:dyDescent="0.25">
      <c r="A1597">
        <v>731.07930499999998</v>
      </c>
      <c r="B1597" s="1">
        <f>DATE(2012,5,1) + TIME(1,54,11)</f>
        <v>41030.079293981478</v>
      </c>
      <c r="C1597">
        <v>80</v>
      </c>
      <c r="D1597">
        <v>66.336059570000003</v>
      </c>
      <c r="E1597">
        <v>60</v>
      </c>
      <c r="F1597">
        <v>59.958827972000002</v>
      </c>
      <c r="G1597">
        <v>1339.9910889</v>
      </c>
      <c r="H1597">
        <v>1337.1748047000001</v>
      </c>
      <c r="I1597">
        <v>1327.5239257999999</v>
      </c>
      <c r="J1597">
        <v>1325.8708495999999</v>
      </c>
      <c r="K1597">
        <v>2750</v>
      </c>
      <c r="L1597">
        <v>0</v>
      </c>
      <c r="M1597">
        <v>0</v>
      </c>
      <c r="N1597">
        <v>2750</v>
      </c>
    </row>
    <row r="1598" spans="1:14" x14ac:dyDescent="0.25">
      <c r="A1598">
        <v>731.09754499999997</v>
      </c>
      <c r="B1598" s="1">
        <f>DATE(2012,5,1) + TIME(2,20,27)</f>
        <v>41030.097534722219</v>
      </c>
      <c r="C1598">
        <v>80</v>
      </c>
      <c r="D1598">
        <v>66.882438660000005</v>
      </c>
      <c r="E1598">
        <v>60</v>
      </c>
      <c r="F1598">
        <v>59.956237793</v>
      </c>
      <c r="G1598">
        <v>1339.987793</v>
      </c>
      <c r="H1598">
        <v>1337.1810303</v>
      </c>
      <c r="I1598">
        <v>1327.5241699000001</v>
      </c>
      <c r="J1598">
        <v>1325.8709716999999</v>
      </c>
      <c r="K1598">
        <v>2750</v>
      </c>
      <c r="L1598">
        <v>0</v>
      </c>
      <c r="M1598">
        <v>0</v>
      </c>
      <c r="N1598">
        <v>2750</v>
      </c>
    </row>
    <row r="1599" spans="1:14" x14ac:dyDescent="0.25">
      <c r="A1599">
        <v>731.11617100000001</v>
      </c>
      <c r="B1599" s="1">
        <f>DATE(2012,5,1) + TIME(2,47,17)</f>
        <v>41030.116168981483</v>
      </c>
      <c r="C1599">
        <v>80</v>
      </c>
      <c r="D1599">
        <v>67.419898986999996</v>
      </c>
      <c r="E1599">
        <v>60</v>
      </c>
      <c r="F1599">
        <v>59.953609467</v>
      </c>
      <c r="G1599">
        <v>1339.9865723</v>
      </c>
      <c r="H1599">
        <v>1337.1883545000001</v>
      </c>
      <c r="I1599">
        <v>1327.5241699000001</v>
      </c>
      <c r="J1599">
        <v>1325.8709716999999</v>
      </c>
      <c r="K1599">
        <v>2750</v>
      </c>
      <c r="L1599">
        <v>0</v>
      </c>
      <c r="M1599">
        <v>0</v>
      </c>
      <c r="N1599">
        <v>2750</v>
      </c>
    </row>
    <row r="1600" spans="1:14" x14ac:dyDescent="0.25">
      <c r="A1600">
        <v>731.13520000000005</v>
      </c>
      <c r="B1600" s="1">
        <f>DATE(2012,5,1) + TIME(3,14,41)</f>
        <v>41030.135196759256</v>
      </c>
      <c r="C1600">
        <v>80</v>
      </c>
      <c r="D1600">
        <v>67.948402404999996</v>
      </c>
      <c r="E1600">
        <v>60</v>
      </c>
      <c r="F1600">
        <v>59.950942992999998</v>
      </c>
      <c r="G1600">
        <v>1339.9875488</v>
      </c>
      <c r="H1600">
        <v>1337.1967772999999</v>
      </c>
      <c r="I1600">
        <v>1327.5242920000001</v>
      </c>
      <c r="J1600">
        <v>1325.8709716999999</v>
      </c>
      <c r="K1600">
        <v>2750</v>
      </c>
      <c r="L1600">
        <v>0</v>
      </c>
      <c r="M1600">
        <v>0</v>
      </c>
      <c r="N1600">
        <v>2750</v>
      </c>
    </row>
    <row r="1601" spans="1:14" x14ac:dyDescent="0.25">
      <c r="A1601">
        <v>731.15465099999994</v>
      </c>
      <c r="B1601" s="1">
        <f>DATE(2012,5,1) + TIME(3,42,41)</f>
        <v>41030.154641203706</v>
      </c>
      <c r="C1601">
        <v>80</v>
      </c>
      <c r="D1601">
        <v>68.467887877999999</v>
      </c>
      <c r="E1601">
        <v>60</v>
      </c>
      <c r="F1601">
        <v>59.948238373000002</v>
      </c>
      <c r="G1601">
        <v>1339.9906006000001</v>
      </c>
      <c r="H1601">
        <v>1337.2061768000001</v>
      </c>
      <c r="I1601">
        <v>1327.5242920000001</v>
      </c>
      <c r="J1601">
        <v>1325.8708495999999</v>
      </c>
      <c r="K1601">
        <v>2750</v>
      </c>
      <c r="L1601">
        <v>0</v>
      </c>
      <c r="M1601">
        <v>0</v>
      </c>
      <c r="N1601">
        <v>2750</v>
      </c>
    </row>
    <row r="1602" spans="1:14" x14ac:dyDescent="0.25">
      <c r="A1602">
        <v>731.17454599999996</v>
      </c>
      <c r="B1602" s="1">
        <f>DATE(2012,5,1) + TIME(4,11,20)</f>
        <v>41030.174537037034</v>
      </c>
      <c r="C1602">
        <v>80</v>
      </c>
      <c r="D1602">
        <v>68.978263854999994</v>
      </c>
      <c r="E1602">
        <v>60</v>
      </c>
      <c r="F1602">
        <v>59.945491791000002</v>
      </c>
      <c r="G1602">
        <v>1339.9957274999999</v>
      </c>
      <c r="H1602">
        <v>1337.2167969</v>
      </c>
      <c r="I1602">
        <v>1327.5242920000001</v>
      </c>
      <c r="J1602">
        <v>1325.8708495999999</v>
      </c>
      <c r="K1602">
        <v>2750</v>
      </c>
      <c r="L1602">
        <v>0</v>
      </c>
      <c r="M1602">
        <v>0</v>
      </c>
      <c r="N1602">
        <v>2750</v>
      </c>
    </row>
    <row r="1603" spans="1:14" x14ac:dyDescent="0.25">
      <c r="A1603">
        <v>731.19490199999996</v>
      </c>
      <c r="B1603" s="1">
        <f>DATE(2012,5,1) + TIME(4,40,39)</f>
        <v>41030.194895833331</v>
      </c>
      <c r="C1603">
        <v>80</v>
      </c>
      <c r="D1603">
        <v>69.479316710999996</v>
      </c>
      <c r="E1603">
        <v>60</v>
      </c>
      <c r="F1603">
        <v>59.942699431999998</v>
      </c>
      <c r="G1603">
        <v>1340.0028076000001</v>
      </c>
      <c r="H1603">
        <v>1337.2283935999999</v>
      </c>
      <c r="I1603">
        <v>1327.5241699000001</v>
      </c>
      <c r="J1603">
        <v>1325.8707274999999</v>
      </c>
      <c r="K1603">
        <v>2750</v>
      </c>
      <c r="L1603">
        <v>0</v>
      </c>
      <c r="M1603">
        <v>0</v>
      </c>
      <c r="N1603">
        <v>2750</v>
      </c>
    </row>
    <row r="1604" spans="1:14" x14ac:dyDescent="0.25">
      <c r="A1604">
        <v>731.21574599999997</v>
      </c>
      <c r="B1604" s="1">
        <f>DATE(2012,5,1) + TIME(5,10,40)</f>
        <v>41030.215740740743</v>
      </c>
      <c r="C1604">
        <v>80</v>
      </c>
      <c r="D1604">
        <v>69.971031189000001</v>
      </c>
      <c r="E1604">
        <v>60</v>
      </c>
      <c r="F1604">
        <v>59.939857482999997</v>
      </c>
      <c r="G1604">
        <v>1340.0117187999999</v>
      </c>
      <c r="H1604">
        <v>1337.2410889</v>
      </c>
      <c r="I1604">
        <v>1327.5241699000001</v>
      </c>
      <c r="J1604">
        <v>1325.8706055</v>
      </c>
      <c r="K1604">
        <v>2750</v>
      </c>
      <c r="L1604">
        <v>0</v>
      </c>
      <c r="M1604">
        <v>0</v>
      </c>
      <c r="N1604">
        <v>2750</v>
      </c>
    </row>
    <row r="1605" spans="1:14" x14ac:dyDescent="0.25">
      <c r="A1605">
        <v>731.23710300000005</v>
      </c>
      <c r="B1605" s="1">
        <f>DATE(2012,5,1) + TIME(5,41,25)</f>
        <v>41030.23709490741</v>
      </c>
      <c r="C1605">
        <v>80</v>
      </c>
      <c r="D1605">
        <v>70.452926636000001</v>
      </c>
      <c r="E1605">
        <v>60</v>
      </c>
      <c r="F1605">
        <v>59.936973571999999</v>
      </c>
      <c r="G1605">
        <v>1340.0224608999999</v>
      </c>
      <c r="H1605">
        <v>1337.2546387</v>
      </c>
      <c r="I1605">
        <v>1327.5241699000001</v>
      </c>
      <c r="J1605">
        <v>1325.8704834</v>
      </c>
      <c r="K1605">
        <v>2750</v>
      </c>
      <c r="L1605">
        <v>0</v>
      </c>
      <c r="M1605">
        <v>0</v>
      </c>
      <c r="N1605">
        <v>2750</v>
      </c>
    </row>
    <row r="1606" spans="1:14" x14ac:dyDescent="0.25">
      <c r="A1606">
        <v>731.25900200000001</v>
      </c>
      <c r="B1606" s="1">
        <f>DATE(2012,5,1) + TIME(6,12,57)</f>
        <v>41030.258993055555</v>
      </c>
      <c r="C1606">
        <v>80</v>
      </c>
      <c r="D1606">
        <v>70.925163268999995</v>
      </c>
      <c r="E1606">
        <v>60</v>
      </c>
      <c r="F1606">
        <v>59.934032440000003</v>
      </c>
      <c r="G1606">
        <v>1340.0349120999999</v>
      </c>
      <c r="H1606">
        <v>1337.269043</v>
      </c>
      <c r="I1606">
        <v>1327.5240478999999</v>
      </c>
      <c r="J1606">
        <v>1325.8702393000001</v>
      </c>
      <c r="K1606">
        <v>2750</v>
      </c>
      <c r="L1606">
        <v>0</v>
      </c>
      <c r="M1606">
        <v>0</v>
      </c>
      <c r="N1606">
        <v>2750</v>
      </c>
    </row>
    <row r="1607" spans="1:14" x14ac:dyDescent="0.25">
      <c r="A1607">
        <v>731.28144699999996</v>
      </c>
      <c r="B1607" s="1">
        <f>DATE(2012,5,1) + TIME(6,45,16)</f>
        <v>41030.281435185185</v>
      </c>
      <c r="C1607">
        <v>80</v>
      </c>
      <c r="D1607">
        <v>71.387130737000007</v>
      </c>
      <c r="E1607">
        <v>60</v>
      </c>
      <c r="F1607">
        <v>59.931041718000003</v>
      </c>
      <c r="G1607">
        <v>1340.0490723</v>
      </c>
      <c r="H1607">
        <v>1337.2844238</v>
      </c>
      <c r="I1607">
        <v>1327.5239257999999</v>
      </c>
      <c r="J1607">
        <v>1325.8701172000001</v>
      </c>
      <c r="K1607">
        <v>2750</v>
      </c>
      <c r="L1607">
        <v>0</v>
      </c>
      <c r="M1607">
        <v>0</v>
      </c>
      <c r="N1607">
        <v>2750</v>
      </c>
    </row>
    <row r="1608" spans="1:14" x14ac:dyDescent="0.25">
      <c r="A1608">
        <v>731.30443100000002</v>
      </c>
      <c r="B1608" s="1">
        <f>DATE(2012,5,1) + TIME(7,18,22)</f>
        <v>41030.3044212963</v>
      </c>
      <c r="C1608">
        <v>80</v>
      </c>
      <c r="D1608">
        <v>71.837989807</v>
      </c>
      <c r="E1608">
        <v>60</v>
      </c>
      <c r="F1608">
        <v>59.928005218999999</v>
      </c>
      <c r="G1608">
        <v>1340.0648193</v>
      </c>
      <c r="H1608">
        <v>1337.3006591999999</v>
      </c>
      <c r="I1608">
        <v>1327.5239257999999</v>
      </c>
      <c r="J1608">
        <v>1325.8698730000001</v>
      </c>
      <c r="K1608">
        <v>2750</v>
      </c>
      <c r="L1608">
        <v>0</v>
      </c>
      <c r="M1608">
        <v>0</v>
      </c>
      <c r="N1608">
        <v>2750</v>
      </c>
    </row>
    <row r="1609" spans="1:14" x14ac:dyDescent="0.25">
      <c r="A1609">
        <v>731.32798200000002</v>
      </c>
      <c r="B1609" s="1">
        <f>DATE(2012,5,1) + TIME(7,52,17)</f>
        <v>41030.327974537038</v>
      </c>
      <c r="C1609">
        <v>80</v>
      </c>
      <c r="D1609">
        <v>72.277618407999995</v>
      </c>
      <c r="E1609">
        <v>60</v>
      </c>
      <c r="F1609">
        <v>59.924915314000003</v>
      </c>
      <c r="G1609">
        <v>1340.0820312000001</v>
      </c>
      <c r="H1609">
        <v>1337.3175048999999</v>
      </c>
      <c r="I1609">
        <v>1327.5238036999999</v>
      </c>
      <c r="J1609">
        <v>1325.869751</v>
      </c>
      <c r="K1609">
        <v>2750</v>
      </c>
      <c r="L1609">
        <v>0</v>
      </c>
      <c r="M1609">
        <v>0</v>
      </c>
      <c r="N1609">
        <v>2750</v>
      </c>
    </row>
    <row r="1610" spans="1:14" x14ac:dyDescent="0.25">
      <c r="A1610">
        <v>731.35212899999999</v>
      </c>
      <c r="B1610" s="1">
        <f>DATE(2012,5,1) + TIME(8,27,3)</f>
        <v>41030.352118055554</v>
      </c>
      <c r="C1610">
        <v>80</v>
      </c>
      <c r="D1610">
        <v>72.705856323000006</v>
      </c>
      <c r="E1610">
        <v>60</v>
      </c>
      <c r="F1610">
        <v>59.921768188000001</v>
      </c>
      <c r="G1610">
        <v>1340.1005858999999</v>
      </c>
      <c r="H1610">
        <v>1337.3350829999999</v>
      </c>
      <c r="I1610">
        <v>1327.5236815999999</v>
      </c>
      <c r="J1610">
        <v>1325.8695068</v>
      </c>
      <c r="K1610">
        <v>2750</v>
      </c>
      <c r="L1610">
        <v>0</v>
      </c>
      <c r="M1610">
        <v>0</v>
      </c>
      <c r="N1610">
        <v>2750</v>
      </c>
    </row>
    <row r="1611" spans="1:14" x14ac:dyDescent="0.25">
      <c r="A1611">
        <v>731.37689899999998</v>
      </c>
      <c r="B1611" s="1">
        <f>DATE(2012,5,1) + TIME(9,2,44)</f>
        <v>41030.376898148148</v>
      </c>
      <c r="C1611">
        <v>80</v>
      </c>
      <c r="D1611">
        <v>73.122467040999993</v>
      </c>
      <c r="E1611">
        <v>60</v>
      </c>
      <c r="F1611">
        <v>59.918567656999997</v>
      </c>
      <c r="G1611">
        <v>1340.1204834</v>
      </c>
      <c r="H1611">
        <v>1337.3533935999999</v>
      </c>
      <c r="I1611">
        <v>1327.5235596</v>
      </c>
      <c r="J1611">
        <v>1325.8692627</v>
      </c>
      <c r="K1611">
        <v>2750</v>
      </c>
      <c r="L1611">
        <v>0</v>
      </c>
      <c r="M1611">
        <v>0</v>
      </c>
      <c r="N1611">
        <v>2750</v>
      </c>
    </row>
    <row r="1612" spans="1:14" x14ac:dyDescent="0.25">
      <c r="A1612">
        <v>731.40233000000001</v>
      </c>
      <c r="B1612" s="1">
        <f>DATE(2012,5,1) + TIME(9,39,21)</f>
        <v>41030.402326388888</v>
      </c>
      <c r="C1612">
        <v>80</v>
      </c>
      <c r="D1612">
        <v>73.527374268000003</v>
      </c>
      <c r="E1612">
        <v>60</v>
      </c>
      <c r="F1612">
        <v>59.915306090999998</v>
      </c>
      <c r="G1612">
        <v>1340.1414795000001</v>
      </c>
      <c r="H1612">
        <v>1337.3721923999999</v>
      </c>
      <c r="I1612">
        <v>1327.5233154</v>
      </c>
      <c r="J1612">
        <v>1325.8690185999999</v>
      </c>
      <c r="K1612">
        <v>2750</v>
      </c>
      <c r="L1612">
        <v>0</v>
      </c>
      <c r="M1612">
        <v>0</v>
      </c>
      <c r="N1612">
        <v>2750</v>
      </c>
    </row>
    <row r="1613" spans="1:14" x14ac:dyDescent="0.25">
      <c r="A1613">
        <v>731.42845699999998</v>
      </c>
      <c r="B1613" s="1">
        <f>DATE(2012,5,1) + TIME(10,16,58)</f>
        <v>41030.428449074076</v>
      </c>
      <c r="C1613">
        <v>80</v>
      </c>
      <c r="D1613">
        <v>73.920402526999993</v>
      </c>
      <c r="E1613">
        <v>60</v>
      </c>
      <c r="F1613">
        <v>59.911979674999998</v>
      </c>
      <c r="G1613">
        <v>1340.1636963000001</v>
      </c>
      <c r="H1613">
        <v>1337.3916016000001</v>
      </c>
      <c r="I1613">
        <v>1327.5231934000001</v>
      </c>
      <c r="J1613">
        <v>1325.8687743999999</v>
      </c>
      <c r="K1613">
        <v>2750</v>
      </c>
      <c r="L1613">
        <v>0</v>
      </c>
      <c r="M1613">
        <v>0</v>
      </c>
      <c r="N1613">
        <v>2750</v>
      </c>
    </row>
    <row r="1614" spans="1:14" x14ac:dyDescent="0.25">
      <c r="A1614">
        <v>731.45532000000003</v>
      </c>
      <c r="B1614" s="1">
        <f>DATE(2012,5,1) + TIME(10,55,39)</f>
        <v>41030.455312500002</v>
      </c>
      <c r="C1614">
        <v>80</v>
      </c>
      <c r="D1614">
        <v>74.301399231000005</v>
      </c>
      <c r="E1614">
        <v>60</v>
      </c>
      <c r="F1614">
        <v>59.908588408999996</v>
      </c>
      <c r="G1614">
        <v>1340.1868896000001</v>
      </c>
      <c r="H1614">
        <v>1337.411499</v>
      </c>
      <c r="I1614">
        <v>1327.5230713000001</v>
      </c>
      <c r="J1614">
        <v>1325.8685303</v>
      </c>
      <c r="K1614">
        <v>2750</v>
      </c>
      <c r="L1614">
        <v>0</v>
      </c>
      <c r="M1614">
        <v>0</v>
      </c>
      <c r="N1614">
        <v>2750</v>
      </c>
    </row>
    <row r="1615" spans="1:14" x14ac:dyDescent="0.25">
      <c r="A1615">
        <v>731.48296100000005</v>
      </c>
      <c r="B1615" s="1">
        <f>DATE(2012,5,1) + TIME(11,35,27)</f>
        <v>41030.482951388891</v>
      </c>
      <c r="C1615">
        <v>80</v>
      </c>
      <c r="D1615">
        <v>74.670173645000006</v>
      </c>
      <c r="E1615">
        <v>60</v>
      </c>
      <c r="F1615">
        <v>59.905128478999998</v>
      </c>
      <c r="G1615">
        <v>1340.2110596</v>
      </c>
      <c r="H1615">
        <v>1337.4317627</v>
      </c>
      <c r="I1615">
        <v>1327.5228271000001</v>
      </c>
      <c r="J1615">
        <v>1325.8681641000001</v>
      </c>
      <c r="K1615">
        <v>2750</v>
      </c>
      <c r="L1615">
        <v>0</v>
      </c>
      <c r="M1615">
        <v>0</v>
      </c>
      <c r="N1615">
        <v>2750</v>
      </c>
    </row>
    <row r="1616" spans="1:14" x14ac:dyDescent="0.25">
      <c r="A1616">
        <v>731.51142200000004</v>
      </c>
      <c r="B1616" s="1">
        <f>DATE(2012,5,1) + TIME(12,16,26)</f>
        <v>41030.511412037034</v>
      </c>
      <c r="C1616">
        <v>80</v>
      </c>
      <c r="D1616">
        <v>75.026550293</v>
      </c>
      <c r="E1616">
        <v>60</v>
      </c>
      <c r="F1616">
        <v>59.901592254999997</v>
      </c>
      <c r="G1616">
        <v>1340.2360839999999</v>
      </c>
      <c r="H1616">
        <v>1337.4525146000001</v>
      </c>
      <c r="I1616">
        <v>1327.5227050999999</v>
      </c>
      <c r="J1616">
        <v>1325.8679199000001</v>
      </c>
      <c r="K1616">
        <v>2750</v>
      </c>
      <c r="L1616">
        <v>0</v>
      </c>
      <c r="M1616">
        <v>0</v>
      </c>
      <c r="N1616">
        <v>2750</v>
      </c>
    </row>
    <row r="1617" spans="1:14" x14ac:dyDescent="0.25">
      <c r="A1617">
        <v>731.54075399999999</v>
      </c>
      <c r="B1617" s="1">
        <f>DATE(2012,5,1) + TIME(12,58,41)</f>
        <v>41030.540752314817</v>
      </c>
      <c r="C1617">
        <v>80</v>
      </c>
      <c r="D1617">
        <v>75.370132446</v>
      </c>
      <c r="E1617">
        <v>60</v>
      </c>
      <c r="F1617">
        <v>59.897975922000001</v>
      </c>
      <c r="G1617">
        <v>1340.2619629000001</v>
      </c>
      <c r="H1617">
        <v>1337.4736327999999</v>
      </c>
      <c r="I1617">
        <v>1327.5224608999999</v>
      </c>
      <c r="J1617">
        <v>1325.8675536999999</v>
      </c>
      <c r="K1617">
        <v>2750</v>
      </c>
      <c r="L1617">
        <v>0</v>
      </c>
      <c r="M1617">
        <v>0</v>
      </c>
      <c r="N1617">
        <v>2750</v>
      </c>
    </row>
    <row r="1618" spans="1:14" x14ac:dyDescent="0.25">
      <c r="A1618">
        <v>731.57100800000001</v>
      </c>
      <c r="B1618" s="1">
        <f>DATE(2012,5,1) + TIME(13,42,15)</f>
        <v>41030.571006944447</v>
      </c>
      <c r="C1618">
        <v>80</v>
      </c>
      <c r="D1618">
        <v>75.701004028</v>
      </c>
      <c r="E1618">
        <v>60</v>
      </c>
      <c r="F1618">
        <v>59.894275665000002</v>
      </c>
      <c r="G1618">
        <v>1340.2884521000001</v>
      </c>
      <c r="H1618">
        <v>1337.4949951000001</v>
      </c>
      <c r="I1618">
        <v>1327.5222168</v>
      </c>
      <c r="J1618">
        <v>1325.8671875</v>
      </c>
      <c r="K1618">
        <v>2750</v>
      </c>
      <c r="L1618">
        <v>0</v>
      </c>
      <c r="M1618">
        <v>0</v>
      </c>
      <c r="N1618">
        <v>2750</v>
      </c>
    </row>
    <row r="1619" spans="1:14" x14ac:dyDescent="0.25">
      <c r="A1619">
        <v>731.60224000000005</v>
      </c>
      <c r="B1619" s="1">
        <f>DATE(2012,5,1) + TIME(14,27,13)</f>
        <v>41030.602233796293</v>
      </c>
      <c r="C1619">
        <v>80</v>
      </c>
      <c r="D1619">
        <v>76.019020080999994</v>
      </c>
      <c r="E1619">
        <v>60</v>
      </c>
      <c r="F1619">
        <v>59.890491486000002</v>
      </c>
      <c r="G1619">
        <v>1340.3156738</v>
      </c>
      <c r="H1619">
        <v>1337.5166016000001</v>
      </c>
      <c r="I1619">
        <v>1327.5219727000001</v>
      </c>
      <c r="J1619">
        <v>1325.8668213000001</v>
      </c>
      <c r="K1619">
        <v>2750</v>
      </c>
      <c r="L1619">
        <v>0</v>
      </c>
      <c r="M1619">
        <v>0</v>
      </c>
      <c r="N1619">
        <v>2750</v>
      </c>
    </row>
    <row r="1620" spans="1:14" x14ac:dyDescent="0.25">
      <c r="A1620">
        <v>731.63451199999997</v>
      </c>
      <c r="B1620" s="1">
        <f>DATE(2012,5,1) + TIME(15,13,41)</f>
        <v>41030.634502314817</v>
      </c>
      <c r="C1620">
        <v>80</v>
      </c>
      <c r="D1620">
        <v>76.324043274000005</v>
      </c>
      <c r="E1620">
        <v>60</v>
      </c>
      <c r="F1620">
        <v>59.886611938000001</v>
      </c>
      <c r="G1620">
        <v>1340.3435059000001</v>
      </c>
      <c r="H1620">
        <v>1337.5384521000001</v>
      </c>
      <c r="I1620">
        <v>1327.5217285000001</v>
      </c>
      <c r="J1620">
        <v>1325.8664550999999</v>
      </c>
      <c r="K1620">
        <v>2750</v>
      </c>
      <c r="L1620">
        <v>0</v>
      </c>
      <c r="M1620">
        <v>0</v>
      </c>
      <c r="N1620">
        <v>2750</v>
      </c>
    </row>
    <row r="1621" spans="1:14" x14ac:dyDescent="0.25">
      <c r="A1621">
        <v>731.66790100000003</v>
      </c>
      <c r="B1621" s="1">
        <f>DATE(2012,5,1) + TIME(16,1,46)</f>
        <v>41030.667893518519</v>
      </c>
      <c r="C1621">
        <v>80</v>
      </c>
      <c r="D1621">
        <v>76.616050720000004</v>
      </c>
      <c r="E1621">
        <v>60</v>
      </c>
      <c r="F1621">
        <v>59.882629395000002</v>
      </c>
      <c r="G1621">
        <v>1340.3718262</v>
      </c>
      <c r="H1621">
        <v>1337.5605469</v>
      </c>
      <c r="I1621">
        <v>1327.5214844</v>
      </c>
      <c r="J1621">
        <v>1325.8659668</v>
      </c>
      <c r="K1621">
        <v>2750</v>
      </c>
      <c r="L1621">
        <v>0</v>
      </c>
      <c r="M1621">
        <v>0</v>
      </c>
      <c r="N1621">
        <v>2750</v>
      </c>
    </row>
    <row r="1622" spans="1:14" x14ac:dyDescent="0.25">
      <c r="A1622">
        <v>731.70247800000004</v>
      </c>
      <c r="B1622" s="1">
        <f>DATE(2012,5,1) + TIME(16,51,34)</f>
        <v>41030.702476851853</v>
      </c>
      <c r="C1622">
        <v>80</v>
      </c>
      <c r="D1622">
        <v>76.894889832000004</v>
      </c>
      <c r="E1622">
        <v>60</v>
      </c>
      <c r="F1622">
        <v>59.878543854</v>
      </c>
      <c r="G1622">
        <v>1340.4005127</v>
      </c>
      <c r="H1622">
        <v>1337.5826416</v>
      </c>
      <c r="I1622">
        <v>1327.5212402</v>
      </c>
      <c r="J1622">
        <v>1325.8656006000001</v>
      </c>
      <c r="K1622">
        <v>2750</v>
      </c>
      <c r="L1622">
        <v>0</v>
      </c>
      <c r="M1622">
        <v>0</v>
      </c>
      <c r="N1622">
        <v>2750</v>
      </c>
    </row>
    <row r="1623" spans="1:14" x14ac:dyDescent="0.25">
      <c r="A1623">
        <v>731.73831700000005</v>
      </c>
      <c r="B1623" s="1">
        <f>DATE(2012,5,1) + TIME(17,43,10)</f>
        <v>41030.738310185188</v>
      </c>
      <c r="C1623">
        <v>80</v>
      </c>
      <c r="D1623">
        <v>77.160453795999999</v>
      </c>
      <c r="E1623">
        <v>60</v>
      </c>
      <c r="F1623">
        <v>59.874343871999997</v>
      </c>
      <c r="G1623">
        <v>1340.4295654</v>
      </c>
      <c r="H1623">
        <v>1337.6048584</v>
      </c>
      <c r="I1623">
        <v>1327.520874</v>
      </c>
      <c r="J1623">
        <v>1325.8651123</v>
      </c>
      <c r="K1623">
        <v>2750</v>
      </c>
      <c r="L1623">
        <v>0</v>
      </c>
      <c r="M1623">
        <v>0</v>
      </c>
      <c r="N1623">
        <v>2750</v>
      </c>
    </row>
    <row r="1624" spans="1:14" x14ac:dyDescent="0.25">
      <c r="A1624">
        <v>731.77550900000006</v>
      </c>
      <c r="B1624" s="1">
        <f>DATE(2012,5,1) + TIME(18,36,43)</f>
        <v>41030.775497685187</v>
      </c>
      <c r="C1624">
        <v>80</v>
      </c>
      <c r="D1624">
        <v>77.412681579999997</v>
      </c>
      <c r="E1624">
        <v>60</v>
      </c>
      <c r="F1624">
        <v>59.870025634999998</v>
      </c>
      <c r="G1624">
        <v>1340.4589844</v>
      </c>
      <c r="H1624">
        <v>1337.6270752</v>
      </c>
      <c r="I1624">
        <v>1327.5205077999999</v>
      </c>
      <c r="J1624">
        <v>1325.864624</v>
      </c>
      <c r="K1624">
        <v>2750</v>
      </c>
      <c r="L1624">
        <v>0</v>
      </c>
      <c r="M1624">
        <v>0</v>
      </c>
      <c r="N1624">
        <v>2750</v>
      </c>
    </row>
    <row r="1625" spans="1:14" x14ac:dyDescent="0.25">
      <c r="A1625">
        <v>731.81414900000004</v>
      </c>
      <c r="B1625" s="1">
        <f>DATE(2012,5,1) + TIME(19,32,22)</f>
        <v>41030.814143518517</v>
      </c>
      <c r="C1625">
        <v>80</v>
      </c>
      <c r="D1625">
        <v>77.651557921999995</v>
      </c>
      <c r="E1625">
        <v>60</v>
      </c>
      <c r="F1625">
        <v>59.865577698000003</v>
      </c>
      <c r="G1625">
        <v>1340.4885254000001</v>
      </c>
      <c r="H1625">
        <v>1337.6492920000001</v>
      </c>
      <c r="I1625">
        <v>1327.5202637</v>
      </c>
      <c r="J1625">
        <v>1325.8641356999999</v>
      </c>
      <c r="K1625">
        <v>2750</v>
      </c>
      <c r="L1625">
        <v>0</v>
      </c>
      <c r="M1625">
        <v>0</v>
      </c>
      <c r="N1625">
        <v>2750</v>
      </c>
    </row>
    <row r="1626" spans="1:14" x14ac:dyDescent="0.25">
      <c r="A1626">
        <v>731.85434799999996</v>
      </c>
      <c r="B1626" s="1">
        <f>DATE(2012,5,1) + TIME(20,30,15)</f>
        <v>41030.85434027778</v>
      </c>
      <c r="C1626">
        <v>80</v>
      </c>
      <c r="D1626">
        <v>77.877082825000002</v>
      </c>
      <c r="E1626">
        <v>60</v>
      </c>
      <c r="F1626">
        <v>59.860992432000003</v>
      </c>
      <c r="G1626">
        <v>1340.5181885</v>
      </c>
      <c r="H1626">
        <v>1337.6715088000001</v>
      </c>
      <c r="I1626">
        <v>1327.5198975000001</v>
      </c>
      <c r="J1626">
        <v>1325.8636475000001</v>
      </c>
      <c r="K1626">
        <v>2750</v>
      </c>
      <c r="L1626">
        <v>0</v>
      </c>
      <c r="M1626">
        <v>0</v>
      </c>
      <c r="N1626">
        <v>2750</v>
      </c>
    </row>
    <row r="1627" spans="1:14" x14ac:dyDescent="0.25">
      <c r="A1627">
        <v>731.89622599999996</v>
      </c>
      <c r="B1627" s="1">
        <f>DATE(2012,5,1) + TIME(21,30,33)</f>
        <v>41030.896215277775</v>
      </c>
      <c r="C1627">
        <v>80</v>
      </c>
      <c r="D1627">
        <v>78.089309692</v>
      </c>
      <c r="E1627">
        <v>60</v>
      </c>
      <c r="F1627">
        <v>59.856262207</v>
      </c>
      <c r="G1627">
        <v>1340.5478516000001</v>
      </c>
      <c r="H1627">
        <v>1337.6936035000001</v>
      </c>
      <c r="I1627">
        <v>1327.5195312000001</v>
      </c>
      <c r="J1627">
        <v>1325.8631591999999</v>
      </c>
      <c r="K1627">
        <v>2750</v>
      </c>
      <c r="L1627">
        <v>0</v>
      </c>
      <c r="M1627">
        <v>0</v>
      </c>
      <c r="N1627">
        <v>2750</v>
      </c>
    </row>
    <row r="1628" spans="1:14" x14ac:dyDescent="0.25">
      <c r="A1628">
        <v>731.93991800000003</v>
      </c>
      <c r="B1628" s="1">
        <f>DATE(2012,5,1) + TIME(22,33,28)</f>
        <v>41030.93990740741</v>
      </c>
      <c r="C1628">
        <v>80</v>
      </c>
      <c r="D1628">
        <v>78.288299561000002</v>
      </c>
      <c r="E1628">
        <v>60</v>
      </c>
      <c r="F1628">
        <v>59.851367949999997</v>
      </c>
      <c r="G1628">
        <v>1340.5776367000001</v>
      </c>
      <c r="H1628">
        <v>1337.7154541</v>
      </c>
      <c r="I1628">
        <v>1327.519043</v>
      </c>
      <c r="J1628">
        <v>1325.8625488</v>
      </c>
      <c r="K1628">
        <v>2750</v>
      </c>
      <c r="L1628">
        <v>0</v>
      </c>
      <c r="M1628">
        <v>0</v>
      </c>
      <c r="N1628">
        <v>2750</v>
      </c>
    </row>
    <row r="1629" spans="1:14" x14ac:dyDescent="0.25">
      <c r="A1629">
        <v>731.98557600000004</v>
      </c>
      <c r="B1629" s="1">
        <f>DATE(2012,5,1) + TIME(23,39,13)</f>
        <v>41030.985567129632</v>
      </c>
      <c r="C1629">
        <v>80</v>
      </c>
      <c r="D1629">
        <v>78.474174500000004</v>
      </c>
      <c r="E1629">
        <v>60</v>
      </c>
      <c r="F1629">
        <v>59.846305846999996</v>
      </c>
      <c r="G1629">
        <v>1340.6071777</v>
      </c>
      <c r="H1629">
        <v>1337.7371826000001</v>
      </c>
      <c r="I1629">
        <v>1327.5186768000001</v>
      </c>
      <c r="J1629">
        <v>1325.8619385</v>
      </c>
      <c r="K1629">
        <v>2750</v>
      </c>
      <c r="L1629">
        <v>0</v>
      </c>
      <c r="M1629">
        <v>0</v>
      </c>
      <c r="N1629">
        <v>2750</v>
      </c>
    </row>
    <row r="1630" spans="1:14" x14ac:dyDescent="0.25">
      <c r="A1630">
        <v>732.03337199999999</v>
      </c>
      <c r="B1630" s="1">
        <f>DATE(2012,5,2) + TIME(0,48,3)</f>
        <v>41031.033368055556</v>
      </c>
      <c r="C1630">
        <v>80</v>
      </c>
      <c r="D1630">
        <v>78.647087096999996</v>
      </c>
      <c r="E1630">
        <v>60</v>
      </c>
      <c r="F1630">
        <v>59.841056823999999</v>
      </c>
      <c r="G1630">
        <v>1340.6365966999999</v>
      </c>
      <c r="H1630">
        <v>1337.7585449000001</v>
      </c>
      <c r="I1630">
        <v>1327.5181885</v>
      </c>
      <c r="J1630">
        <v>1325.8613281</v>
      </c>
      <c r="K1630">
        <v>2750</v>
      </c>
      <c r="L1630">
        <v>0</v>
      </c>
      <c r="M1630">
        <v>0</v>
      </c>
      <c r="N1630">
        <v>2750</v>
      </c>
    </row>
    <row r="1631" spans="1:14" x14ac:dyDescent="0.25">
      <c r="A1631">
        <v>732.08350800000005</v>
      </c>
      <c r="B1631" s="1">
        <f>DATE(2012,5,2) + TIME(2,0,15)</f>
        <v>41031.083506944444</v>
      </c>
      <c r="C1631">
        <v>80</v>
      </c>
      <c r="D1631">
        <v>78.807250976999995</v>
      </c>
      <c r="E1631">
        <v>60</v>
      </c>
      <c r="F1631">
        <v>59.835601807000003</v>
      </c>
      <c r="G1631">
        <v>1340.6657714999999</v>
      </c>
      <c r="H1631">
        <v>1337.7797852000001</v>
      </c>
      <c r="I1631">
        <v>1327.5177002</v>
      </c>
      <c r="J1631">
        <v>1325.8605957</v>
      </c>
      <c r="K1631">
        <v>2750</v>
      </c>
      <c r="L1631">
        <v>0</v>
      </c>
      <c r="M1631">
        <v>0</v>
      </c>
      <c r="N1631">
        <v>2750</v>
      </c>
    </row>
    <row r="1632" spans="1:14" x14ac:dyDescent="0.25">
      <c r="A1632">
        <v>732.13622899999996</v>
      </c>
      <c r="B1632" s="1">
        <f>DATE(2012,5,2) + TIME(3,16,10)</f>
        <v>41031.13622685185</v>
      </c>
      <c r="C1632">
        <v>80</v>
      </c>
      <c r="D1632">
        <v>78.954948424999998</v>
      </c>
      <c r="E1632">
        <v>60</v>
      </c>
      <c r="F1632">
        <v>59.829925537000001</v>
      </c>
      <c r="G1632">
        <v>1340.6945800999999</v>
      </c>
      <c r="H1632">
        <v>1337.8006591999999</v>
      </c>
      <c r="I1632">
        <v>1327.5172118999999</v>
      </c>
      <c r="J1632">
        <v>1325.8598632999999</v>
      </c>
      <c r="K1632">
        <v>2750</v>
      </c>
      <c r="L1632">
        <v>0</v>
      </c>
      <c r="M1632">
        <v>0</v>
      </c>
      <c r="N1632">
        <v>2750</v>
      </c>
    </row>
    <row r="1633" spans="1:14" x14ac:dyDescent="0.25">
      <c r="A1633">
        <v>732.19168000000002</v>
      </c>
      <c r="B1633" s="1">
        <f>DATE(2012,5,2) + TIME(4,36,1)</f>
        <v>41031.191678240742</v>
      </c>
      <c r="C1633">
        <v>80</v>
      </c>
      <c r="D1633">
        <v>79.090187072999996</v>
      </c>
      <c r="E1633">
        <v>60</v>
      </c>
      <c r="F1633">
        <v>59.824016571000001</v>
      </c>
      <c r="G1633">
        <v>1340.7230225000001</v>
      </c>
      <c r="H1633">
        <v>1337.8211670000001</v>
      </c>
      <c r="I1633">
        <v>1327.5167236</v>
      </c>
      <c r="J1633">
        <v>1325.8591309000001</v>
      </c>
      <c r="K1633">
        <v>2750</v>
      </c>
      <c r="L1633">
        <v>0</v>
      </c>
      <c r="M1633">
        <v>0</v>
      </c>
      <c r="N1633">
        <v>2750</v>
      </c>
    </row>
    <row r="1634" spans="1:14" x14ac:dyDescent="0.25">
      <c r="A1634">
        <v>732.24992999999995</v>
      </c>
      <c r="B1634" s="1">
        <f>DATE(2012,5,2) + TIME(5,59,53)</f>
        <v>41031.249918981484</v>
      </c>
      <c r="C1634">
        <v>80</v>
      </c>
      <c r="D1634">
        <v>79.212959290000001</v>
      </c>
      <c r="E1634">
        <v>60</v>
      </c>
      <c r="F1634">
        <v>59.817871093999997</v>
      </c>
      <c r="G1634">
        <v>1340.7510986</v>
      </c>
      <c r="H1634">
        <v>1337.8411865</v>
      </c>
      <c r="I1634">
        <v>1327.5161132999999</v>
      </c>
      <c r="J1634">
        <v>1325.8583983999999</v>
      </c>
      <c r="K1634">
        <v>2750</v>
      </c>
      <c r="L1634">
        <v>0</v>
      </c>
      <c r="M1634">
        <v>0</v>
      </c>
      <c r="N1634">
        <v>2750</v>
      </c>
    </row>
    <row r="1635" spans="1:14" x14ac:dyDescent="0.25">
      <c r="A1635">
        <v>732.31122600000003</v>
      </c>
      <c r="B1635" s="1">
        <f>DATE(2012,5,2) + TIME(7,28,9)</f>
        <v>41031.311215277776</v>
      </c>
      <c r="C1635">
        <v>80</v>
      </c>
      <c r="D1635">
        <v>79.323722838999998</v>
      </c>
      <c r="E1635">
        <v>60</v>
      </c>
      <c r="F1635">
        <v>59.811470032000003</v>
      </c>
      <c r="G1635">
        <v>1340.7784423999999</v>
      </c>
      <c r="H1635">
        <v>1337.8607178</v>
      </c>
      <c r="I1635">
        <v>1327.5155029</v>
      </c>
      <c r="J1635">
        <v>1325.8575439000001</v>
      </c>
      <c r="K1635">
        <v>2750</v>
      </c>
      <c r="L1635">
        <v>0</v>
      </c>
      <c r="M1635">
        <v>0</v>
      </c>
      <c r="N1635">
        <v>2750</v>
      </c>
    </row>
    <row r="1636" spans="1:14" x14ac:dyDescent="0.25">
      <c r="A1636">
        <v>732.37584500000003</v>
      </c>
      <c r="B1636" s="1">
        <f>DATE(2012,5,2) + TIME(9,1,12)</f>
        <v>41031.375833333332</v>
      </c>
      <c r="C1636">
        <v>80</v>
      </c>
      <c r="D1636">
        <v>79.422973632999998</v>
      </c>
      <c r="E1636">
        <v>60</v>
      </c>
      <c r="F1636">
        <v>59.804794311999999</v>
      </c>
      <c r="G1636">
        <v>1340.8050536999999</v>
      </c>
      <c r="H1636">
        <v>1337.8797606999999</v>
      </c>
      <c r="I1636">
        <v>1327.5148925999999</v>
      </c>
      <c r="J1636">
        <v>1325.8565673999999</v>
      </c>
      <c r="K1636">
        <v>2750</v>
      </c>
      <c r="L1636">
        <v>0</v>
      </c>
      <c r="M1636">
        <v>0</v>
      </c>
      <c r="N1636">
        <v>2750</v>
      </c>
    </row>
    <row r="1637" spans="1:14" x14ac:dyDescent="0.25">
      <c r="A1637">
        <v>732.44410800000003</v>
      </c>
      <c r="B1637" s="1">
        <f>DATE(2012,5,2) + TIME(10,39,30)</f>
        <v>41031.444097222222</v>
      </c>
      <c r="C1637">
        <v>80</v>
      </c>
      <c r="D1637">
        <v>79.511268615999995</v>
      </c>
      <c r="E1637">
        <v>60</v>
      </c>
      <c r="F1637">
        <v>59.79781723</v>
      </c>
      <c r="G1637">
        <v>1340.8308105000001</v>
      </c>
      <c r="H1637">
        <v>1337.8980713000001</v>
      </c>
      <c r="I1637">
        <v>1327.5141602000001</v>
      </c>
      <c r="J1637">
        <v>1325.8555908000001</v>
      </c>
      <c r="K1637">
        <v>2750</v>
      </c>
      <c r="L1637">
        <v>0</v>
      </c>
      <c r="M1637">
        <v>0</v>
      </c>
      <c r="N1637">
        <v>2750</v>
      </c>
    </row>
    <row r="1638" spans="1:14" x14ac:dyDescent="0.25">
      <c r="A1638">
        <v>732.51507100000003</v>
      </c>
      <c r="B1638" s="1">
        <f>DATE(2012,5,2) + TIME(12,21,42)</f>
        <v>41031.515069444446</v>
      </c>
      <c r="C1638">
        <v>80</v>
      </c>
      <c r="D1638">
        <v>79.588027953999998</v>
      </c>
      <c r="E1638">
        <v>60</v>
      </c>
      <c r="F1638">
        <v>59.790630341000004</v>
      </c>
      <c r="G1638">
        <v>1340.8558350000001</v>
      </c>
      <c r="H1638">
        <v>1337.9158935999999</v>
      </c>
      <c r="I1638">
        <v>1327.5134277</v>
      </c>
      <c r="J1638">
        <v>1325.8546143000001</v>
      </c>
      <c r="K1638">
        <v>2750</v>
      </c>
      <c r="L1638">
        <v>0</v>
      </c>
      <c r="M1638">
        <v>0</v>
      </c>
      <c r="N1638">
        <v>2750</v>
      </c>
    </row>
    <row r="1639" spans="1:14" x14ac:dyDescent="0.25">
      <c r="A1639">
        <v>732.58624099999997</v>
      </c>
      <c r="B1639" s="1">
        <f>DATE(2012,5,2) + TIME(14,4,11)</f>
        <v>41031.586238425924</v>
      </c>
      <c r="C1639">
        <v>80</v>
      </c>
      <c r="D1639">
        <v>79.65234375</v>
      </c>
      <c r="E1639">
        <v>60</v>
      </c>
      <c r="F1639">
        <v>59.783466339</v>
      </c>
      <c r="G1639">
        <v>1340.8798827999999</v>
      </c>
      <c r="H1639">
        <v>1337.9328613</v>
      </c>
      <c r="I1639">
        <v>1327.5125731999999</v>
      </c>
      <c r="J1639">
        <v>1325.8535156</v>
      </c>
      <c r="K1639">
        <v>2750</v>
      </c>
      <c r="L1639">
        <v>0</v>
      </c>
      <c r="M1639">
        <v>0</v>
      </c>
      <c r="N1639">
        <v>2750</v>
      </c>
    </row>
    <row r="1640" spans="1:14" x14ac:dyDescent="0.25">
      <c r="A1640">
        <v>732.657872</v>
      </c>
      <c r="B1640" s="1">
        <f>DATE(2012,5,2) + TIME(15,47,20)</f>
        <v>41031.657870370371</v>
      </c>
      <c r="C1640">
        <v>80</v>
      </c>
      <c r="D1640">
        <v>79.706321716000005</v>
      </c>
      <c r="E1640">
        <v>60</v>
      </c>
      <c r="F1640">
        <v>59.776306151999997</v>
      </c>
      <c r="G1640">
        <v>1340.9016113</v>
      </c>
      <c r="H1640">
        <v>1337.9482422000001</v>
      </c>
      <c r="I1640">
        <v>1327.5117187999999</v>
      </c>
      <c r="J1640">
        <v>1325.8524170000001</v>
      </c>
      <c r="K1640">
        <v>2750</v>
      </c>
      <c r="L1640">
        <v>0</v>
      </c>
      <c r="M1640">
        <v>0</v>
      </c>
      <c r="N1640">
        <v>2750</v>
      </c>
    </row>
    <row r="1641" spans="1:14" x14ac:dyDescent="0.25">
      <c r="A1641">
        <v>732.73012300000005</v>
      </c>
      <c r="B1641" s="1">
        <f>DATE(2012,5,2) + TIME(17,31,22)</f>
        <v>41031.730115740742</v>
      </c>
      <c r="C1641">
        <v>80</v>
      </c>
      <c r="D1641">
        <v>79.751640320000007</v>
      </c>
      <c r="E1641">
        <v>60</v>
      </c>
      <c r="F1641">
        <v>59.769126892000003</v>
      </c>
      <c r="G1641">
        <v>1340.9213867000001</v>
      </c>
      <c r="H1641">
        <v>1337.9622803</v>
      </c>
      <c r="I1641">
        <v>1327.5108643000001</v>
      </c>
      <c r="J1641">
        <v>1325.8511963000001</v>
      </c>
      <c r="K1641">
        <v>2750</v>
      </c>
      <c r="L1641">
        <v>0</v>
      </c>
      <c r="M1641">
        <v>0</v>
      </c>
      <c r="N1641">
        <v>2750</v>
      </c>
    </row>
    <row r="1642" spans="1:14" x14ac:dyDescent="0.25">
      <c r="A1642">
        <v>732.80315199999995</v>
      </c>
      <c r="B1642" s="1">
        <f>DATE(2012,5,2) + TIME(19,16,32)</f>
        <v>41031.803148148145</v>
      </c>
      <c r="C1642">
        <v>80</v>
      </c>
      <c r="D1642">
        <v>79.789665221999996</v>
      </c>
      <c r="E1642">
        <v>60</v>
      </c>
      <c r="F1642">
        <v>59.761917113999999</v>
      </c>
      <c r="G1642">
        <v>1340.9393310999999</v>
      </c>
      <c r="H1642">
        <v>1337.9750977000001</v>
      </c>
      <c r="I1642">
        <v>1327.5100098</v>
      </c>
      <c r="J1642">
        <v>1325.8500977000001</v>
      </c>
      <c r="K1642">
        <v>2750</v>
      </c>
      <c r="L1642">
        <v>0</v>
      </c>
      <c r="M1642">
        <v>0</v>
      </c>
      <c r="N1642">
        <v>2750</v>
      </c>
    </row>
    <row r="1643" spans="1:14" x14ac:dyDescent="0.25">
      <c r="A1643">
        <v>732.87714400000004</v>
      </c>
      <c r="B1643" s="1">
        <f>DATE(2012,5,2) + TIME(21,3,5)</f>
        <v>41031.877141203702</v>
      </c>
      <c r="C1643">
        <v>80</v>
      </c>
      <c r="D1643">
        <v>79.821578978999995</v>
      </c>
      <c r="E1643">
        <v>60</v>
      </c>
      <c r="F1643">
        <v>59.754657745000003</v>
      </c>
      <c r="G1643">
        <v>1340.9555664</v>
      </c>
      <c r="H1643">
        <v>1337.9868164</v>
      </c>
      <c r="I1643">
        <v>1327.5091553</v>
      </c>
      <c r="J1643">
        <v>1325.8488769999999</v>
      </c>
      <c r="K1643">
        <v>2750</v>
      </c>
      <c r="L1643">
        <v>0</v>
      </c>
      <c r="M1643">
        <v>0</v>
      </c>
      <c r="N1643">
        <v>2750</v>
      </c>
    </row>
    <row r="1644" spans="1:14" x14ac:dyDescent="0.25">
      <c r="A1644">
        <v>732.95225100000005</v>
      </c>
      <c r="B1644" s="1">
        <f>DATE(2012,5,2) + TIME(22,51,14)</f>
        <v>41031.952245370368</v>
      </c>
      <c r="C1644">
        <v>80</v>
      </c>
      <c r="D1644">
        <v>79.848327636999997</v>
      </c>
      <c r="E1644">
        <v>60</v>
      </c>
      <c r="F1644">
        <v>59.747337340999998</v>
      </c>
      <c r="G1644">
        <v>1340.9702147999999</v>
      </c>
      <c r="H1644">
        <v>1337.9975586</v>
      </c>
      <c r="I1644">
        <v>1327.5083007999999</v>
      </c>
      <c r="J1644">
        <v>1325.8476562000001</v>
      </c>
      <c r="K1644">
        <v>2750</v>
      </c>
      <c r="L1644">
        <v>0</v>
      </c>
      <c r="M1644">
        <v>0</v>
      </c>
      <c r="N1644">
        <v>2750</v>
      </c>
    </row>
    <row r="1645" spans="1:14" x14ac:dyDescent="0.25">
      <c r="A1645">
        <v>733.02863500000001</v>
      </c>
      <c r="B1645" s="1">
        <f>DATE(2012,5,3) + TIME(0,41,14)</f>
        <v>41032.028634259259</v>
      </c>
      <c r="C1645">
        <v>80</v>
      </c>
      <c r="D1645">
        <v>79.870719910000005</v>
      </c>
      <c r="E1645">
        <v>60</v>
      </c>
      <c r="F1645">
        <v>59.739940642999997</v>
      </c>
      <c r="G1645">
        <v>1340.9835204999999</v>
      </c>
      <c r="H1645">
        <v>1338.0072021000001</v>
      </c>
      <c r="I1645">
        <v>1327.5073242000001</v>
      </c>
      <c r="J1645">
        <v>1325.8464355000001</v>
      </c>
      <c r="K1645">
        <v>2750</v>
      </c>
      <c r="L1645">
        <v>0</v>
      </c>
      <c r="M1645">
        <v>0</v>
      </c>
      <c r="N1645">
        <v>2750</v>
      </c>
    </row>
    <row r="1646" spans="1:14" x14ac:dyDescent="0.25">
      <c r="A1646">
        <v>733.10647400000005</v>
      </c>
      <c r="B1646" s="1">
        <f>DATE(2012,5,3) + TIME(2,33,19)</f>
        <v>41032.106469907405</v>
      </c>
      <c r="C1646">
        <v>80</v>
      </c>
      <c r="D1646">
        <v>79.889442443999997</v>
      </c>
      <c r="E1646">
        <v>60</v>
      </c>
      <c r="F1646">
        <v>59.732448578000003</v>
      </c>
      <c r="G1646">
        <v>1340.9956055</v>
      </c>
      <c r="H1646">
        <v>1338.0161132999999</v>
      </c>
      <c r="I1646">
        <v>1327.5063477000001</v>
      </c>
      <c r="J1646">
        <v>1325.8450928</v>
      </c>
      <c r="K1646">
        <v>2750</v>
      </c>
      <c r="L1646">
        <v>0</v>
      </c>
      <c r="M1646">
        <v>0</v>
      </c>
      <c r="N1646">
        <v>2750</v>
      </c>
    </row>
    <row r="1647" spans="1:14" x14ac:dyDescent="0.25">
      <c r="A1647">
        <v>733.18596000000002</v>
      </c>
      <c r="B1647" s="1">
        <f>DATE(2012,5,3) + TIME(4,27,46)</f>
        <v>41032.185949074075</v>
      </c>
      <c r="C1647">
        <v>80</v>
      </c>
      <c r="D1647">
        <v>79.905067443999997</v>
      </c>
      <c r="E1647">
        <v>60</v>
      </c>
      <c r="F1647">
        <v>59.724849700999997</v>
      </c>
      <c r="G1647">
        <v>1341.0063477000001</v>
      </c>
      <c r="H1647">
        <v>1338.0241699000001</v>
      </c>
      <c r="I1647">
        <v>1327.5053711</v>
      </c>
      <c r="J1647">
        <v>1325.84375</v>
      </c>
      <c r="K1647">
        <v>2750</v>
      </c>
      <c r="L1647">
        <v>0</v>
      </c>
      <c r="M1647">
        <v>0</v>
      </c>
      <c r="N1647">
        <v>2750</v>
      </c>
    </row>
    <row r="1648" spans="1:14" x14ac:dyDescent="0.25">
      <c r="A1648">
        <v>733.26733200000001</v>
      </c>
      <c r="B1648" s="1">
        <f>DATE(2012,5,3) + TIME(6,24,57)</f>
        <v>41032.267326388886</v>
      </c>
      <c r="C1648">
        <v>80</v>
      </c>
      <c r="D1648">
        <v>79.918075561999999</v>
      </c>
      <c r="E1648">
        <v>60</v>
      </c>
      <c r="F1648">
        <v>59.717121124000002</v>
      </c>
      <c r="G1648">
        <v>1341.0158690999999</v>
      </c>
      <c r="H1648">
        <v>1338.0314940999999</v>
      </c>
      <c r="I1648">
        <v>1327.5043945</v>
      </c>
      <c r="J1648">
        <v>1325.8424072</v>
      </c>
      <c r="K1648">
        <v>2750</v>
      </c>
      <c r="L1648">
        <v>0</v>
      </c>
      <c r="M1648">
        <v>0</v>
      </c>
      <c r="N1648">
        <v>2750</v>
      </c>
    </row>
    <row r="1649" spans="1:14" x14ac:dyDescent="0.25">
      <c r="A1649">
        <v>733.35088299999995</v>
      </c>
      <c r="B1649" s="1">
        <f>DATE(2012,5,3) + TIME(8,25,16)</f>
        <v>41032.35087962963</v>
      </c>
      <c r="C1649">
        <v>80</v>
      </c>
      <c r="D1649">
        <v>79.928901671999995</v>
      </c>
      <c r="E1649">
        <v>60</v>
      </c>
      <c r="F1649">
        <v>59.709236144999998</v>
      </c>
      <c r="G1649">
        <v>1341.0242920000001</v>
      </c>
      <c r="H1649">
        <v>1338.0379639</v>
      </c>
      <c r="I1649">
        <v>1327.5032959</v>
      </c>
      <c r="J1649">
        <v>1325.8409423999999</v>
      </c>
      <c r="K1649">
        <v>2750</v>
      </c>
      <c r="L1649">
        <v>0</v>
      </c>
      <c r="M1649">
        <v>0</v>
      </c>
      <c r="N1649">
        <v>2750</v>
      </c>
    </row>
    <row r="1650" spans="1:14" x14ac:dyDescent="0.25">
      <c r="A1650">
        <v>733.43687299999999</v>
      </c>
      <c r="B1650" s="1">
        <f>DATE(2012,5,3) + TIME(10,29,5)</f>
        <v>41032.436863425923</v>
      </c>
      <c r="C1650">
        <v>80</v>
      </c>
      <c r="D1650">
        <v>79.937873839999995</v>
      </c>
      <c r="E1650">
        <v>60</v>
      </c>
      <c r="F1650">
        <v>59.701175689999999</v>
      </c>
      <c r="G1650">
        <v>1341.0317382999999</v>
      </c>
      <c r="H1650">
        <v>1338.0439452999999</v>
      </c>
      <c r="I1650">
        <v>1327.5021973</v>
      </c>
      <c r="J1650">
        <v>1325.8393555</v>
      </c>
      <c r="K1650">
        <v>2750</v>
      </c>
      <c r="L1650">
        <v>0</v>
      </c>
      <c r="M1650">
        <v>0</v>
      </c>
      <c r="N1650">
        <v>2750</v>
      </c>
    </row>
    <row r="1651" spans="1:14" x14ac:dyDescent="0.25">
      <c r="A1651">
        <v>733.52559299999996</v>
      </c>
      <c r="B1651" s="1">
        <f>DATE(2012,5,3) + TIME(12,36,51)</f>
        <v>41032.525590277779</v>
      </c>
      <c r="C1651">
        <v>80</v>
      </c>
      <c r="D1651">
        <v>79.945289611999996</v>
      </c>
      <c r="E1651">
        <v>60</v>
      </c>
      <c r="F1651">
        <v>59.692916869999998</v>
      </c>
      <c r="G1651">
        <v>1341.0382079999999</v>
      </c>
      <c r="H1651">
        <v>1338.0493164</v>
      </c>
      <c r="I1651">
        <v>1327.5009766000001</v>
      </c>
      <c r="J1651">
        <v>1325.8377685999999</v>
      </c>
      <c r="K1651">
        <v>2750</v>
      </c>
      <c r="L1651">
        <v>0</v>
      </c>
      <c r="M1651">
        <v>0</v>
      </c>
      <c r="N1651">
        <v>2750</v>
      </c>
    </row>
    <row r="1652" spans="1:14" x14ac:dyDescent="0.25">
      <c r="A1652">
        <v>733.61624700000004</v>
      </c>
      <c r="B1652" s="1">
        <f>DATE(2012,5,3) + TIME(14,47,23)</f>
        <v>41032.616238425922</v>
      </c>
      <c r="C1652">
        <v>80</v>
      </c>
      <c r="D1652">
        <v>79.951339722</v>
      </c>
      <c r="E1652">
        <v>60</v>
      </c>
      <c r="F1652">
        <v>59.684524535999998</v>
      </c>
      <c r="G1652">
        <v>1341.0439452999999</v>
      </c>
      <c r="H1652">
        <v>1338.0540771000001</v>
      </c>
      <c r="I1652">
        <v>1327.4997559000001</v>
      </c>
      <c r="J1652">
        <v>1325.8361815999999</v>
      </c>
      <c r="K1652">
        <v>2750</v>
      </c>
      <c r="L1652">
        <v>0</v>
      </c>
      <c r="M1652">
        <v>0</v>
      </c>
      <c r="N1652">
        <v>2750</v>
      </c>
    </row>
    <row r="1653" spans="1:14" x14ac:dyDescent="0.25">
      <c r="A1653">
        <v>733.70836199999997</v>
      </c>
      <c r="B1653" s="1">
        <f>DATE(2012,5,3) + TIME(17,0,2)</f>
        <v>41032.708356481482</v>
      </c>
      <c r="C1653">
        <v>80</v>
      </c>
      <c r="D1653">
        <v>79.956230164000004</v>
      </c>
      <c r="E1653">
        <v>60</v>
      </c>
      <c r="F1653">
        <v>59.676044464</v>
      </c>
      <c r="G1653">
        <v>1341.0487060999999</v>
      </c>
      <c r="H1653">
        <v>1338.0583495999999</v>
      </c>
      <c r="I1653">
        <v>1327.4984131000001</v>
      </c>
      <c r="J1653">
        <v>1325.8344727000001</v>
      </c>
      <c r="K1653">
        <v>2750</v>
      </c>
      <c r="L1653">
        <v>0</v>
      </c>
      <c r="M1653">
        <v>0</v>
      </c>
      <c r="N1653">
        <v>2750</v>
      </c>
    </row>
    <row r="1654" spans="1:14" x14ac:dyDescent="0.25">
      <c r="A1654">
        <v>733.80212400000005</v>
      </c>
      <c r="B1654" s="1">
        <f>DATE(2012,5,3) + TIME(19,15,3)</f>
        <v>41032.802118055559</v>
      </c>
      <c r="C1654">
        <v>80</v>
      </c>
      <c r="D1654">
        <v>79.960189818999993</v>
      </c>
      <c r="E1654">
        <v>60</v>
      </c>
      <c r="F1654">
        <v>59.667453766000001</v>
      </c>
      <c r="G1654">
        <v>1341.0526123</v>
      </c>
      <c r="H1654">
        <v>1338.0621338000001</v>
      </c>
      <c r="I1654">
        <v>1327.4971923999999</v>
      </c>
      <c r="J1654">
        <v>1325.8327637</v>
      </c>
      <c r="K1654">
        <v>2750</v>
      </c>
      <c r="L1654">
        <v>0</v>
      </c>
      <c r="M1654">
        <v>0</v>
      </c>
      <c r="N1654">
        <v>2750</v>
      </c>
    </row>
    <row r="1655" spans="1:14" x14ac:dyDescent="0.25">
      <c r="A1655">
        <v>733.897738</v>
      </c>
      <c r="B1655" s="1">
        <f>DATE(2012,5,3) + TIME(21,32,44)</f>
        <v>41032.897731481484</v>
      </c>
      <c r="C1655">
        <v>80</v>
      </c>
      <c r="D1655">
        <v>79.963378906000003</v>
      </c>
      <c r="E1655">
        <v>60</v>
      </c>
      <c r="F1655">
        <v>59.658740997000002</v>
      </c>
      <c r="G1655">
        <v>1341.0555420000001</v>
      </c>
      <c r="H1655">
        <v>1338.0651855000001</v>
      </c>
      <c r="I1655">
        <v>1327.4958495999999</v>
      </c>
      <c r="J1655">
        <v>1325.8309326000001</v>
      </c>
      <c r="K1655">
        <v>2750</v>
      </c>
      <c r="L1655">
        <v>0</v>
      </c>
      <c r="M1655">
        <v>0</v>
      </c>
      <c r="N1655">
        <v>2750</v>
      </c>
    </row>
    <row r="1656" spans="1:14" x14ac:dyDescent="0.25">
      <c r="A1656">
        <v>733.99535500000002</v>
      </c>
      <c r="B1656" s="1">
        <f>DATE(2012,5,3) + TIME(23,53,18)</f>
        <v>41032.995347222219</v>
      </c>
      <c r="C1656">
        <v>80</v>
      </c>
      <c r="D1656">
        <v>79.965950011999993</v>
      </c>
      <c r="E1656">
        <v>60</v>
      </c>
      <c r="F1656">
        <v>59.649894713999998</v>
      </c>
      <c r="G1656">
        <v>1341.0576172000001</v>
      </c>
      <c r="H1656">
        <v>1338.0678711</v>
      </c>
      <c r="I1656">
        <v>1327.4943848</v>
      </c>
      <c r="J1656">
        <v>1325.8289795000001</v>
      </c>
      <c r="K1656">
        <v>2750</v>
      </c>
      <c r="L1656">
        <v>0</v>
      </c>
      <c r="M1656">
        <v>0</v>
      </c>
      <c r="N1656">
        <v>2750</v>
      </c>
    </row>
    <row r="1657" spans="1:14" x14ac:dyDescent="0.25">
      <c r="A1657">
        <v>734.09517300000005</v>
      </c>
      <c r="B1657" s="1">
        <f>DATE(2012,5,4) + TIME(2,17,2)</f>
        <v>41033.09516203704</v>
      </c>
      <c r="C1657">
        <v>80</v>
      </c>
      <c r="D1657">
        <v>79.968017578000001</v>
      </c>
      <c r="E1657">
        <v>60</v>
      </c>
      <c r="F1657">
        <v>59.640895843999999</v>
      </c>
      <c r="G1657">
        <v>1341.0592041</v>
      </c>
      <c r="H1657">
        <v>1338.0700684000001</v>
      </c>
      <c r="I1657">
        <v>1327.4929199000001</v>
      </c>
      <c r="J1657">
        <v>1325.8270264</v>
      </c>
      <c r="K1657">
        <v>2750</v>
      </c>
      <c r="L1657">
        <v>0</v>
      </c>
      <c r="M1657">
        <v>0</v>
      </c>
      <c r="N1657">
        <v>2750</v>
      </c>
    </row>
    <row r="1658" spans="1:14" x14ac:dyDescent="0.25">
      <c r="A1658">
        <v>734.197407</v>
      </c>
      <c r="B1658" s="1">
        <f>DATE(2012,5,4) + TIME(4,44,15)</f>
        <v>41033.197395833333</v>
      </c>
      <c r="C1658">
        <v>80</v>
      </c>
      <c r="D1658">
        <v>79.969680785999998</v>
      </c>
      <c r="E1658">
        <v>60</v>
      </c>
      <c r="F1658">
        <v>59.631732941000003</v>
      </c>
      <c r="G1658">
        <v>1341.0587158000001</v>
      </c>
      <c r="H1658">
        <v>1338.0709228999999</v>
      </c>
      <c r="I1658">
        <v>1327.4914550999999</v>
      </c>
      <c r="J1658">
        <v>1325.8250731999999</v>
      </c>
      <c r="K1658">
        <v>2750</v>
      </c>
      <c r="L1658">
        <v>0</v>
      </c>
      <c r="M1658">
        <v>0</v>
      </c>
      <c r="N1658">
        <v>2750</v>
      </c>
    </row>
    <row r="1659" spans="1:14" x14ac:dyDescent="0.25">
      <c r="A1659">
        <v>734.30233599999997</v>
      </c>
      <c r="B1659" s="1">
        <f>DATE(2012,5,4) + TIME(7,15,21)</f>
        <v>41033.30232638889</v>
      </c>
      <c r="C1659">
        <v>80</v>
      </c>
      <c r="D1659">
        <v>79.971008300999998</v>
      </c>
      <c r="E1659">
        <v>60</v>
      </c>
      <c r="F1659">
        <v>59.622379303000002</v>
      </c>
      <c r="G1659">
        <v>1341.0573730000001</v>
      </c>
      <c r="H1659">
        <v>1338.0714111</v>
      </c>
      <c r="I1659">
        <v>1327.4899902</v>
      </c>
      <c r="J1659">
        <v>1325.8229980000001</v>
      </c>
      <c r="K1659">
        <v>2750</v>
      </c>
      <c r="L1659">
        <v>0</v>
      </c>
      <c r="M1659">
        <v>0</v>
      </c>
      <c r="N1659">
        <v>2750</v>
      </c>
    </row>
    <row r="1660" spans="1:14" x14ac:dyDescent="0.25">
      <c r="A1660">
        <v>734.41022699999996</v>
      </c>
      <c r="B1660" s="1">
        <f>DATE(2012,5,4) + TIME(9,50,43)</f>
        <v>41033.410219907404</v>
      </c>
      <c r="C1660">
        <v>80</v>
      </c>
      <c r="D1660">
        <v>79.972068786999998</v>
      </c>
      <c r="E1660">
        <v>60</v>
      </c>
      <c r="F1660">
        <v>59.612819672000001</v>
      </c>
      <c r="G1660">
        <v>1341.0555420000001</v>
      </c>
      <c r="H1660">
        <v>1338.0715332</v>
      </c>
      <c r="I1660">
        <v>1327.4882812000001</v>
      </c>
      <c r="J1660">
        <v>1325.8208007999999</v>
      </c>
      <c r="K1660">
        <v>2750</v>
      </c>
      <c r="L1660">
        <v>0</v>
      </c>
      <c r="M1660">
        <v>0</v>
      </c>
      <c r="N1660">
        <v>2750</v>
      </c>
    </row>
    <row r="1661" spans="1:14" x14ac:dyDescent="0.25">
      <c r="A1661">
        <v>734.52136399999995</v>
      </c>
      <c r="B1661" s="1">
        <f>DATE(2012,5,4) + TIME(12,30,45)</f>
        <v>41033.521354166667</v>
      </c>
      <c r="C1661">
        <v>80</v>
      </c>
      <c r="D1661">
        <v>79.972915649000001</v>
      </c>
      <c r="E1661">
        <v>60</v>
      </c>
      <c r="F1661">
        <v>59.603027343999997</v>
      </c>
      <c r="G1661">
        <v>1341.0533447</v>
      </c>
      <c r="H1661">
        <v>1338.0714111</v>
      </c>
      <c r="I1661">
        <v>1327.4866943</v>
      </c>
      <c r="J1661">
        <v>1325.8186035000001</v>
      </c>
      <c r="K1661">
        <v>2750</v>
      </c>
      <c r="L1661">
        <v>0</v>
      </c>
      <c r="M1661">
        <v>0</v>
      </c>
      <c r="N1661">
        <v>2750</v>
      </c>
    </row>
    <row r="1662" spans="1:14" x14ac:dyDescent="0.25">
      <c r="A1662">
        <v>734.63606900000002</v>
      </c>
      <c r="B1662" s="1">
        <f>DATE(2012,5,4) + TIME(15,15,56)</f>
        <v>41033.636064814818</v>
      </c>
      <c r="C1662">
        <v>80</v>
      </c>
      <c r="D1662">
        <v>79.973587035999998</v>
      </c>
      <c r="E1662">
        <v>60</v>
      </c>
      <c r="F1662">
        <v>59.592987061000002</v>
      </c>
      <c r="G1662">
        <v>1341.0505370999999</v>
      </c>
      <c r="H1662">
        <v>1338.0709228999999</v>
      </c>
      <c r="I1662">
        <v>1327.4848632999999</v>
      </c>
      <c r="J1662">
        <v>1325.8161620999999</v>
      </c>
      <c r="K1662">
        <v>2750</v>
      </c>
      <c r="L1662">
        <v>0</v>
      </c>
      <c r="M1662">
        <v>0</v>
      </c>
      <c r="N1662">
        <v>2750</v>
      </c>
    </row>
    <row r="1663" spans="1:14" x14ac:dyDescent="0.25">
      <c r="A1663">
        <v>734.75495999999998</v>
      </c>
      <c r="B1663" s="1">
        <f>DATE(2012,5,4) + TIME(18,7,8)</f>
        <v>41033.754953703705</v>
      </c>
      <c r="C1663">
        <v>80</v>
      </c>
      <c r="D1663">
        <v>79.974121093999997</v>
      </c>
      <c r="E1663">
        <v>60</v>
      </c>
      <c r="F1663">
        <v>59.582645415999998</v>
      </c>
      <c r="G1663">
        <v>1341.0473632999999</v>
      </c>
      <c r="H1663">
        <v>1338.0703125</v>
      </c>
      <c r="I1663">
        <v>1327.4830322</v>
      </c>
      <c r="J1663">
        <v>1325.8137207</v>
      </c>
      <c r="K1663">
        <v>2750</v>
      </c>
      <c r="L1663">
        <v>0</v>
      </c>
      <c r="M1663">
        <v>0</v>
      </c>
      <c r="N1663">
        <v>2750</v>
      </c>
    </row>
    <row r="1664" spans="1:14" x14ac:dyDescent="0.25">
      <c r="A1664">
        <v>734.87849400000005</v>
      </c>
      <c r="B1664" s="1">
        <f>DATE(2012,5,4) + TIME(21,5,1)</f>
        <v>41033.878483796296</v>
      </c>
      <c r="C1664">
        <v>80</v>
      </c>
      <c r="D1664">
        <v>79.974548339999998</v>
      </c>
      <c r="E1664">
        <v>60</v>
      </c>
      <c r="F1664">
        <v>59.571971892999997</v>
      </c>
      <c r="G1664">
        <v>1341.0438231999999</v>
      </c>
      <c r="H1664">
        <v>1338.0694579999999</v>
      </c>
      <c r="I1664">
        <v>1327.4812012</v>
      </c>
      <c r="J1664">
        <v>1325.8111572</v>
      </c>
      <c r="K1664">
        <v>2750</v>
      </c>
      <c r="L1664">
        <v>0</v>
      </c>
      <c r="M1664">
        <v>0</v>
      </c>
      <c r="N1664">
        <v>2750</v>
      </c>
    </row>
    <row r="1665" spans="1:14" x14ac:dyDescent="0.25">
      <c r="A1665">
        <v>735.00560599999994</v>
      </c>
      <c r="B1665" s="1">
        <f>DATE(2012,5,5) + TIME(0,8,4)</f>
        <v>41034.005601851852</v>
      </c>
      <c r="C1665">
        <v>80</v>
      </c>
      <c r="D1665">
        <v>79.974876404</v>
      </c>
      <c r="E1665">
        <v>60</v>
      </c>
      <c r="F1665">
        <v>59.561046599999997</v>
      </c>
      <c r="G1665">
        <v>1341.0396728999999</v>
      </c>
      <c r="H1665">
        <v>1338.0683594</v>
      </c>
      <c r="I1665">
        <v>1327.479126</v>
      </c>
      <c r="J1665">
        <v>1325.8083495999999</v>
      </c>
      <c r="K1665">
        <v>2750</v>
      </c>
      <c r="L1665">
        <v>0</v>
      </c>
      <c r="M1665">
        <v>0</v>
      </c>
      <c r="N1665">
        <v>2750</v>
      </c>
    </row>
    <row r="1666" spans="1:14" x14ac:dyDescent="0.25">
      <c r="A1666">
        <v>735.13620300000002</v>
      </c>
      <c r="B1666" s="1">
        <f>DATE(2012,5,5) + TIME(3,16,7)</f>
        <v>41034.136192129627</v>
      </c>
      <c r="C1666">
        <v>80</v>
      </c>
      <c r="D1666">
        <v>79.975135803000001</v>
      </c>
      <c r="E1666">
        <v>60</v>
      </c>
      <c r="F1666">
        <v>59.549880981000001</v>
      </c>
      <c r="G1666">
        <v>1341.0352783000001</v>
      </c>
      <c r="H1666">
        <v>1338.0670166</v>
      </c>
      <c r="I1666">
        <v>1327.4770507999999</v>
      </c>
      <c r="J1666">
        <v>1325.8055420000001</v>
      </c>
      <c r="K1666">
        <v>2750</v>
      </c>
      <c r="L1666">
        <v>0</v>
      </c>
      <c r="M1666">
        <v>0</v>
      </c>
      <c r="N1666">
        <v>2750</v>
      </c>
    </row>
    <row r="1667" spans="1:14" x14ac:dyDescent="0.25">
      <c r="A1667">
        <v>735.27063199999998</v>
      </c>
      <c r="B1667" s="1">
        <f>DATE(2012,5,5) + TIME(6,29,42)</f>
        <v>41034.270624999997</v>
      </c>
      <c r="C1667">
        <v>80</v>
      </c>
      <c r="D1667">
        <v>79.975334167</v>
      </c>
      <c r="E1667">
        <v>60</v>
      </c>
      <c r="F1667">
        <v>59.538448334000002</v>
      </c>
      <c r="G1667">
        <v>1341.0303954999999</v>
      </c>
      <c r="H1667">
        <v>1338.0655518000001</v>
      </c>
      <c r="I1667">
        <v>1327.4748535000001</v>
      </c>
      <c r="J1667">
        <v>1325.8026123</v>
      </c>
      <c r="K1667">
        <v>2750</v>
      </c>
      <c r="L1667">
        <v>0</v>
      </c>
      <c r="M1667">
        <v>0</v>
      </c>
      <c r="N1667">
        <v>2750</v>
      </c>
    </row>
    <row r="1668" spans="1:14" x14ac:dyDescent="0.25">
      <c r="A1668">
        <v>735.40925600000003</v>
      </c>
      <c r="B1668" s="1">
        <f>DATE(2012,5,5) + TIME(9,49,19)</f>
        <v>41034.409247685187</v>
      </c>
      <c r="C1668">
        <v>80</v>
      </c>
      <c r="D1668">
        <v>79.975486755000006</v>
      </c>
      <c r="E1668">
        <v>60</v>
      </c>
      <c r="F1668">
        <v>59.526725769000002</v>
      </c>
      <c r="G1668">
        <v>1341.0252685999999</v>
      </c>
      <c r="H1668">
        <v>1338.0638428</v>
      </c>
      <c r="I1668">
        <v>1327.4726562000001</v>
      </c>
      <c r="J1668">
        <v>1325.7994385</v>
      </c>
      <c r="K1668">
        <v>2750</v>
      </c>
      <c r="L1668">
        <v>0</v>
      </c>
      <c r="M1668">
        <v>0</v>
      </c>
      <c r="N1668">
        <v>2750</v>
      </c>
    </row>
    <row r="1669" spans="1:14" x14ac:dyDescent="0.25">
      <c r="A1669">
        <v>735.55247999999995</v>
      </c>
      <c r="B1669" s="1">
        <f>DATE(2012,5,5) + TIME(13,15,34)</f>
        <v>41034.552476851852</v>
      </c>
      <c r="C1669">
        <v>80</v>
      </c>
      <c r="D1669">
        <v>79.975601196</v>
      </c>
      <c r="E1669">
        <v>60</v>
      </c>
      <c r="F1669">
        <v>59.514686584000003</v>
      </c>
      <c r="G1669">
        <v>1341.0196533000001</v>
      </c>
      <c r="H1669">
        <v>1338.0618896000001</v>
      </c>
      <c r="I1669">
        <v>1327.4702147999999</v>
      </c>
      <c r="J1669">
        <v>1325.7962646000001</v>
      </c>
      <c r="K1669">
        <v>2750</v>
      </c>
      <c r="L1669">
        <v>0</v>
      </c>
      <c r="M1669">
        <v>0</v>
      </c>
      <c r="N1669">
        <v>2750</v>
      </c>
    </row>
    <row r="1670" spans="1:14" x14ac:dyDescent="0.25">
      <c r="A1670">
        <v>735.69794999999999</v>
      </c>
      <c r="B1670" s="1">
        <f>DATE(2012,5,5) + TIME(16,45,2)</f>
        <v>41034.697939814818</v>
      </c>
      <c r="C1670">
        <v>80</v>
      </c>
      <c r="D1670">
        <v>79.975685119999994</v>
      </c>
      <c r="E1670">
        <v>60</v>
      </c>
      <c r="F1670">
        <v>59.502494812000002</v>
      </c>
      <c r="G1670">
        <v>1341.0137939000001</v>
      </c>
      <c r="H1670">
        <v>1338.0599365</v>
      </c>
      <c r="I1670">
        <v>1327.4677733999999</v>
      </c>
      <c r="J1670">
        <v>1325.7928466999999</v>
      </c>
      <c r="K1670">
        <v>2750</v>
      </c>
      <c r="L1670">
        <v>0</v>
      </c>
      <c r="M1670">
        <v>0</v>
      </c>
      <c r="N1670">
        <v>2750</v>
      </c>
    </row>
    <row r="1671" spans="1:14" x14ac:dyDescent="0.25">
      <c r="A1671">
        <v>735.84611299999995</v>
      </c>
      <c r="B1671" s="1">
        <f>DATE(2012,5,5) + TIME(20,18,24)</f>
        <v>41034.84611111111</v>
      </c>
      <c r="C1671">
        <v>80</v>
      </c>
      <c r="D1671">
        <v>79.975746154999996</v>
      </c>
      <c r="E1671">
        <v>60</v>
      </c>
      <c r="F1671">
        <v>59.490127563000001</v>
      </c>
      <c r="G1671">
        <v>1341.0078125</v>
      </c>
      <c r="H1671">
        <v>1338.0577393000001</v>
      </c>
      <c r="I1671">
        <v>1327.4652100000001</v>
      </c>
      <c r="J1671">
        <v>1325.7894286999999</v>
      </c>
      <c r="K1671">
        <v>2750</v>
      </c>
      <c r="L1671">
        <v>0</v>
      </c>
      <c r="M1671">
        <v>0</v>
      </c>
      <c r="N1671">
        <v>2750</v>
      </c>
    </row>
    <row r="1672" spans="1:14" x14ac:dyDescent="0.25">
      <c r="A1672">
        <v>735.99773500000003</v>
      </c>
      <c r="B1672" s="1">
        <f>DATE(2012,5,5) + TIME(23,56,44)</f>
        <v>41034.997731481482</v>
      </c>
      <c r="C1672">
        <v>80</v>
      </c>
      <c r="D1672">
        <v>79.975791931000003</v>
      </c>
      <c r="E1672">
        <v>60</v>
      </c>
      <c r="F1672">
        <v>59.477531433000003</v>
      </c>
      <c r="G1672">
        <v>1341.0014647999999</v>
      </c>
      <c r="H1672">
        <v>1338.0555420000001</v>
      </c>
      <c r="I1672">
        <v>1327.4626464999999</v>
      </c>
      <c r="J1672">
        <v>1325.7858887</v>
      </c>
      <c r="K1672">
        <v>2750</v>
      </c>
      <c r="L1672">
        <v>0</v>
      </c>
      <c r="M1672">
        <v>0</v>
      </c>
      <c r="N1672">
        <v>2750</v>
      </c>
    </row>
    <row r="1673" spans="1:14" x14ac:dyDescent="0.25">
      <c r="A1673">
        <v>736.15198099999998</v>
      </c>
      <c r="B1673" s="1">
        <f>DATE(2012,5,6) + TIME(3,38,51)</f>
        <v>41035.151979166665</v>
      </c>
      <c r="C1673">
        <v>80</v>
      </c>
      <c r="D1673">
        <v>79.975822449000006</v>
      </c>
      <c r="E1673">
        <v>60</v>
      </c>
      <c r="F1673">
        <v>59.464767455999997</v>
      </c>
      <c r="G1673">
        <v>1340.9949951000001</v>
      </c>
      <c r="H1673">
        <v>1338.0531006000001</v>
      </c>
      <c r="I1673">
        <v>1327.4599608999999</v>
      </c>
      <c r="J1673">
        <v>1325.7821045000001</v>
      </c>
      <c r="K1673">
        <v>2750</v>
      </c>
      <c r="L1673">
        <v>0</v>
      </c>
      <c r="M1673">
        <v>0</v>
      </c>
      <c r="N1673">
        <v>2750</v>
      </c>
    </row>
    <row r="1674" spans="1:14" x14ac:dyDescent="0.25">
      <c r="A1674">
        <v>736.30835999999999</v>
      </c>
      <c r="B1674" s="1">
        <f>DATE(2012,5,6) + TIME(7,24,2)</f>
        <v>41035.308356481481</v>
      </c>
      <c r="C1674">
        <v>80</v>
      </c>
      <c r="D1674">
        <v>79.975837708</v>
      </c>
      <c r="E1674">
        <v>60</v>
      </c>
      <c r="F1674">
        <v>59.451873779000003</v>
      </c>
      <c r="G1674">
        <v>1340.9884033000001</v>
      </c>
      <c r="H1674">
        <v>1338.0506591999999</v>
      </c>
      <c r="I1674">
        <v>1327.4571533000001</v>
      </c>
      <c r="J1674">
        <v>1325.7783202999999</v>
      </c>
      <c r="K1674">
        <v>2750</v>
      </c>
      <c r="L1674">
        <v>0</v>
      </c>
      <c r="M1674">
        <v>0</v>
      </c>
      <c r="N1674">
        <v>2750</v>
      </c>
    </row>
    <row r="1675" spans="1:14" x14ac:dyDescent="0.25">
      <c r="A1675">
        <v>736.46724200000006</v>
      </c>
      <c r="B1675" s="1">
        <f>DATE(2012,5,6) + TIME(11,12,49)</f>
        <v>41035.467233796298</v>
      </c>
      <c r="C1675">
        <v>80</v>
      </c>
      <c r="D1675">
        <v>79.975852966000005</v>
      </c>
      <c r="E1675">
        <v>60</v>
      </c>
      <c r="F1675">
        <v>59.4388237</v>
      </c>
      <c r="G1675">
        <v>1340.9815673999999</v>
      </c>
      <c r="H1675">
        <v>1338.0480957</v>
      </c>
      <c r="I1675">
        <v>1327.4543457</v>
      </c>
      <c r="J1675">
        <v>1325.7744141000001</v>
      </c>
      <c r="K1675">
        <v>2750</v>
      </c>
      <c r="L1675">
        <v>0</v>
      </c>
      <c r="M1675">
        <v>0</v>
      </c>
      <c r="N1675">
        <v>2750</v>
      </c>
    </row>
    <row r="1676" spans="1:14" x14ac:dyDescent="0.25">
      <c r="A1676">
        <v>736.62900000000002</v>
      </c>
      <c r="B1676" s="1">
        <f>DATE(2012,5,6) + TIME(15,5,45)</f>
        <v>41035.628993055558</v>
      </c>
      <c r="C1676">
        <v>80</v>
      </c>
      <c r="D1676">
        <v>79.975852966000005</v>
      </c>
      <c r="E1676">
        <v>60</v>
      </c>
      <c r="F1676">
        <v>59.425601958999998</v>
      </c>
      <c r="G1676">
        <v>1340.9747314000001</v>
      </c>
      <c r="H1676">
        <v>1338.0455322</v>
      </c>
      <c r="I1676">
        <v>1327.4514160000001</v>
      </c>
      <c r="J1676">
        <v>1325.7703856999999</v>
      </c>
      <c r="K1676">
        <v>2750</v>
      </c>
      <c r="L1676">
        <v>0</v>
      </c>
      <c r="M1676">
        <v>0</v>
      </c>
      <c r="N1676">
        <v>2750</v>
      </c>
    </row>
    <row r="1677" spans="1:14" x14ac:dyDescent="0.25">
      <c r="A1677">
        <v>736.79285200000004</v>
      </c>
      <c r="B1677" s="1">
        <f>DATE(2012,5,6) + TIME(19,1,42)</f>
        <v>41035.792847222219</v>
      </c>
      <c r="C1677">
        <v>80</v>
      </c>
      <c r="D1677">
        <v>79.975845336999996</v>
      </c>
      <c r="E1677">
        <v>60</v>
      </c>
      <c r="F1677">
        <v>59.412258147999999</v>
      </c>
      <c r="G1677">
        <v>1340.9677733999999</v>
      </c>
      <c r="H1677">
        <v>1338.0429687999999</v>
      </c>
      <c r="I1677">
        <v>1327.4483643000001</v>
      </c>
      <c r="J1677">
        <v>1325.7662353999999</v>
      </c>
      <c r="K1677">
        <v>2750</v>
      </c>
      <c r="L1677">
        <v>0</v>
      </c>
      <c r="M1677">
        <v>0</v>
      </c>
      <c r="N1677">
        <v>2750</v>
      </c>
    </row>
    <row r="1678" spans="1:14" x14ac:dyDescent="0.25">
      <c r="A1678">
        <v>736.958214</v>
      </c>
      <c r="B1678" s="1">
        <f>DATE(2012,5,6) + TIME(22,59,49)</f>
        <v>41035.95820601852</v>
      </c>
      <c r="C1678">
        <v>80</v>
      </c>
      <c r="D1678">
        <v>79.975837708</v>
      </c>
      <c r="E1678">
        <v>60</v>
      </c>
      <c r="F1678">
        <v>59.398838042999998</v>
      </c>
      <c r="G1678">
        <v>1340.9606934000001</v>
      </c>
      <c r="H1678">
        <v>1338.0402832</v>
      </c>
      <c r="I1678">
        <v>1327.4453125</v>
      </c>
      <c r="J1678">
        <v>1325.7620850000001</v>
      </c>
      <c r="K1678">
        <v>2750</v>
      </c>
      <c r="L1678">
        <v>0</v>
      </c>
      <c r="M1678">
        <v>0</v>
      </c>
      <c r="N1678">
        <v>2750</v>
      </c>
    </row>
    <row r="1679" spans="1:14" x14ac:dyDescent="0.25">
      <c r="A1679">
        <v>737.12543900000003</v>
      </c>
      <c r="B1679" s="1">
        <f>DATE(2012,5,7) + TIME(3,0,37)</f>
        <v>41036.125428240739</v>
      </c>
      <c r="C1679">
        <v>80</v>
      </c>
      <c r="D1679">
        <v>79.975822449000006</v>
      </c>
      <c r="E1679">
        <v>60</v>
      </c>
      <c r="F1679">
        <v>59.385314940999997</v>
      </c>
      <c r="G1679">
        <v>1340.9534911999999</v>
      </c>
      <c r="H1679">
        <v>1338.0375977000001</v>
      </c>
      <c r="I1679">
        <v>1327.4422606999999</v>
      </c>
      <c r="J1679">
        <v>1325.7576904</v>
      </c>
      <c r="K1679">
        <v>2750</v>
      </c>
      <c r="L1679">
        <v>0</v>
      </c>
      <c r="M1679">
        <v>0</v>
      </c>
      <c r="N1679">
        <v>2750</v>
      </c>
    </row>
    <row r="1680" spans="1:14" x14ac:dyDescent="0.25">
      <c r="A1680">
        <v>737.29491099999996</v>
      </c>
      <c r="B1680" s="1">
        <f>DATE(2012,5,7) + TIME(7,4,40)</f>
        <v>41036.294907407406</v>
      </c>
      <c r="C1680">
        <v>80</v>
      </c>
      <c r="D1680">
        <v>79.975799561000002</v>
      </c>
      <c r="E1680">
        <v>60</v>
      </c>
      <c r="F1680">
        <v>59.371677398999999</v>
      </c>
      <c r="G1680">
        <v>1340.9464111</v>
      </c>
      <c r="H1680">
        <v>1338.0347899999999</v>
      </c>
      <c r="I1680">
        <v>1327.4389647999999</v>
      </c>
      <c r="J1680">
        <v>1325.7532959</v>
      </c>
      <c r="K1680">
        <v>2750</v>
      </c>
      <c r="L1680">
        <v>0</v>
      </c>
      <c r="M1680">
        <v>0</v>
      </c>
      <c r="N1680">
        <v>2750</v>
      </c>
    </row>
    <row r="1681" spans="1:14" x14ac:dyDescent="0.25">
      <c r="A1681">
        <v>737.46692700000006</v>
      </c>
      <c r="B1681" s="1">
        <f>DATE(2012,5,7) + TIME(11,12,22)</f>
        <v>41036.466921296298</v>
      </c>
      <c r="C1681">
        <v>80</v>
      </c>
      <c r="D1681">
        <v>79.975776671999995</v>
      </c>
      <c r="E1681">
        <v>60</v>
      </c>
      <c r="F1681">
        <v>59.357898712000001</v>
      </c>
      <c r="G1681">
        <v>1340.9392089999999</v>
      </c>
      <c r="H1681">
        <v>1338.0321045000001</v>
      </c>
      <c r="I1681">
        <v>1327.4357910000001</v>
      </c>
      <c r="J1681">
        <v>1325.7487793</v>
      </c>
      <c r="K1681">
        <v>2750</v>
      </c>
      <c r="L1681">
        <v>0</v>
      </c>
      <c r="M1681">
        <v>0</v>
      </c>
      <c r="N1681">
        <v>2750</v>
      </c>
    </row>
    <row r="1682" spans="1:14" x14ac:dyDescent="0.25">
      <c r="A1682">
        <v>737.64185899999995</v>
      </c>
      <c r="B1682" s="1">
        <f>DATE(2012,5,7) + TIME(15,24,16)</f>
        <v>41036.641851851855</v>
      </c>
      <c r="C1682">
        <v>80</v>
      </c>
      <c r="D1682">
        <v>79.975753784000005</v>
      </c>
      <c r="E1682">
        <v>60</v>
      </c>
      <c r="F1682">
        <v>59.343959808000001</v>
      </c>
      <c r="G1682">
        <v>1340.9320068</v>
      </c>
      <c r="H1682">
        <v>1338.0294189000001</v>
      </c>
      <c r="I1682">
        <v>1327.4323730000001</v>
      </c>
      <c r="J1682">
        <v>1325.7441406</v>
      </c>
      <c r="K1682">
        <v>2750</v>
      </c>
      <c r="L1682">
        <v>0</v>
      </c>
      <c r="M1682">
        <v>0</v>
      </c>
      <c r="N1682">
        <v>2750</v>
      </c>
    </row>
    <row r="1683" spans="1:14" x14ac:dyDescent="0.25">
      <c r="A1683">
        <v>737.82009700000003</v>
      </c>
      <c r="B1683" s="1">
        <f>DATE(2012,5,7) + TIME(19,40,56)</f>
        <v>41036.820092592592</v>
      </c>
      <c r="C1683">
        <v>80</v>
      </c>
      <c r="D1683">
        <v>79.975730896000002</v>
      </c>
      <c r="E1683">
        <v>60</v>
      </c>
      <c r="F1683">
        <v>59.329833983999997</v>
      </c>
      <c r="G1683">
        <v>1340.9246826000001</v>
      </c>
      <c r="H1683">
        <v>1338.0266113</v>
      </c>
      <c r="I1683">
        <v>1327.4289550999999</v>
      </c>
      <c r="J1683">
        <v>1325.7393798999999</v>
      </c>
      <c r="K1683">
        <v>2750</v>
      </c>
      <c r="L1683">
        <v>0</v>
      </c>
      <c r="M1683">
        <v>0</v>
      </c>
      <c r="N1683">
        <v>2750</v>
      </c>
    </row>
    <row r="1684" spans="1:14" x14ac:dyDescent="0.25">
      <c r="A1684">
        <v>738.00206000000003</v>
      </c>
      <c r="B1684" s="1">
        <f>DATE(2012,5,8) + TIME(0,2,57)</f>
        <v>41037.00204861111</v>
      </c>
      <c r="C1684">
        <v>80</v>
      </c>
      <c r="D1684">
        <v>79.975700377999999</v>
      </c>
      <c r="E1684">
        <v>60</v>
      </c>
      <c r="F1684">
        <v>59.315494536999999</v>
      </c>
      <c r="G1684">
        <v>1340.9173584</v>
      </c>
      <c r="H1684">
        <v>1338.0238036999999</v>
      </c>
      <c r="I1684">
        <v>1327.4255370999999</v>
      </c>
      <c r="J1684">
        <v>1325.7344971</v>
      </c>
      <c r="K1684">
        <v>2750</v>
      </c>
      <c r="L1684">
        <v>0</v>
      </c>
      <c r="M1684">
        <v>0</v>
      </c>
      <c r="N1684">
        <v>2750</v>
      </c>
    </row>
    <row r="1685" spans="1:14" x14ac:dyDescent="0.25">
      <c r="A1685">
        <v>738.18820200000005</v>
      </c>
      <c r="B1685" s="1">
        <f>DATE(2012,5,8) + TIME(4,31,0)</f>
        <v>41037.188194444447</v>
      </c>
      <c r="C1685">
        <v>80</v>
      </c>
      <c r="D1685">
        <v>79.975677489999995</v>
      </c>
      <c r="E1685">
        <v>60</v>
      </c>
      <c r="F1685">
        <v>59.300918578999998</v>
      </c>
      <c r="G1685">
        <v>1340.9099120999999</v>
      </c>
      <c r="H1685">
        <v>1338.0209961</v>
      </c>
      <c r="I1685">
        <v>1327.421875</v>
      </c>
      <c r="J1685">
        <v>1325.7294922000001</v>
      </c>
      <c r="K1685">
        <v>2750</v>
      </c>
      <c r="L1685">
        <v>0</v>
      </c>
      <c r="M1685">
        <v>0</v>
      </c>
      <c r="N1685">
        <v>2750</v>
      </c>
    </row>
    <row r="1686" spans="1:14" x14ac:dyDescent="0.25">
      <c r="A1686">
        <v>738.37901799999997</v>
      </c>
      <c r="B1686" s="1">
        <f>DATE(2012,5,8) + TIME(9,5,47)</f>
        <v>41037.379016203704</v>
      </c>
      <c r="C1686">
        <v>80</v>
      </c>
      <c r="D1686">
        <v>79.975639342999997</v>
      </c>
      <c r="E1686">
        <v>60</v>
      </c>
      <c r="F1686">
        <v>59.286067963000001</v>
      </c>
      <c r="G1686">
        <v>1340.9024658000001</v>
      </c>
      <c r="H1686">
        <v>1338.0181885</v>
      </c>
      <c r="I1686">
        <v>1327.4182129000001</v>
      </c>
      <c r="J1686">
        <v>1325.7243652</v>
      </c>
      <c r="K1686">
        <v>2750</v>
      </c>
      <c r="L1686">
        <v>0</v>
      </c>
      <c r="M1686">
        <v>0</v>
      </c>
      <c r="N1686">
        <v>2750</v>
      </c>
    </row>
    <row r="1687" spans="1:14" x14ac:dyDescent="0.25">
      <c r="A1687">
        <v>738.57570599999997</v>
      </c>
      <c r="B1687" s="1">
        <f>DATE(2012,5,8) + TIME(13,49,1)</f>
        <v>41037.575706018521</v>
      </c>
      <c r="C1687">
        <v>80</v>
      </c>
      <c r="D1687">
        <v>79.975608825999998</v>
      </c>
      <c r="E1687">
        <v>60</v>
      </c>
      <c r="F1687">
        <v>59.270874022999998</v>
      </c>
      <c r="G1687">
        <v>1340.8948975000001</v>
      </c>
      <c r="H1687">
        <v>1338.0153809000001</v>
      </c>
      <c r="I1687">
        <v>1327.4143065999999</v>
      </c>
      <c r="J1687">
        <v>1325.7189940999999</v>
      </c>
      <c r="K1687">
        <v>2750</v>
      </c>
      <c r="L1687">
        <v>0</v>
      </c>
      <c r="M1687">
        <v>0</v>
      </c>
      <c r="N1687">
        <v>2750</v>
      </c>
    </row>
    <row r="1688" spans="1:14" x14ac:dyDescent="0.25">
      <c r="A1688">
        <v>738.77924299999995</v>
      </c>
      <c r="B1688" s="1">
        <f>DATE(2012,5,8) + TIME(18,42,6)</f>
        <v>41037.779236111113</v>
      </c>
      <c r="C1688">
        <v>80</v>
      </c>
      <c r="D1688">
        <v>79.975578307999996</v>
      </c>
      <c r="E1688">
        <v>60</v>
      </c>
      <c r="F1688">
        <v>59.255271911999998</v>
      </c>
      <c r="G1688">
        <v>1340.8870850000001</v>
      </c>
      <c r="H1688">
        <v>1338.0124512</v>
      </c>
      <c r="I1688">
        <v>1327.4102783000001</v>
      </c>
      <c r="J1688">
        <v>1325.7133789</v>
      </c>
      <c r="K1688">
        <v>2750</v>
      </c>
      <c r="L1688">
        <v>0</v>
      </c>
      <c r="M1688">
        <v>0</v>
      </c>
      <c r="N1688">
        <v>2750</v>
      </c>
    </row>
    <row r="1689" spans="1:14" x14ac:dyDescent="0.25">
      <c r="A1689">
        <v>738.98678099999995</v>
      </c>
      <c r="B1689" s="1">
        <f>DATE(2012,5,8) + TIME(23,40,57)</f>
        <v>41037.986770833333</v>
      </c>
      <c r="C1689">
        <v>80</v>
      </c>
      <c r="D1689">
        <v>79.975540160999998</v>
      </c>
      <c r="E1689">
        <v>60</v>
      </c>
      <c r="F1689">
        <v>59.239433288999997</v>
      </c>
      <c r="G1689">
        <v>1340.8792725000001</v>
      </c>
      <c r="H1689">
        <v>1338.0095214999999</v>
      </c>
      <c r="I1689">
        <v>1327.4061279</v>
      </c>
      <c r="J1689">
        <v>1325.7076416</v>
      </c>
      <c r="K1689">
        <v>2750</v>
      </c>
      <c r="L1689">
        <v>0</v>
      </c>
      <c r="M1689">
        <v>0</v>
      </c>
      <c r="N1689">
        <v>2750</v>
      </c>
    </row>
    <row r="1690" spans="1:14" x14ac:dyDescent="0.25">
      <c r="A1690">
        <v>739.19783099999995</v>
      </c>
      <c r="B1690" s="1">
        <f>DATE(2012,5,9) + TIME(4,44,52)</f>
        <v>41038.197824074072</v>
      </c>
      <c r="C1690">
        <v>80</v>
      </c>
      <c r="D1690">
        <v>79.975502014</v>
      </c>
      <c r="E1690">
        <v>60</v>
      </c>
      <c r="F1690">
        <v>59.223388671999999</v>
      </c>
      <c r="G1690">
        <v>1340.8713379000001</v>
      </c>
      <c r="H1690">
        <v>1338.0065918</v>
      </c>
      <c r="I1690">
        <v>1327.4019774999999</v>
      </c>
      <c r="J1690">
        <v>1325.7016602000001</v>
      </c>
      <c r="K1690">
        <v>2750</v>
      </c>
      <c r="L1690">
        <v>0</v>
      </c>
      <c r="M1690">
        <v>0</v>
      </c>
      <c r="N1690">
        <v>2750</v>
      </c>
    </row>
    <row r="1691" spans="1:14" x14ac:dyDescent="0.25">
      <c r="A1691">
        <v>739.41283899999996</v>
      </c>
      <c r="B1691" s="1">
        <f>DATE(2012,5,9) + TIME(9,54,29)</f>
        <v>41038.412835648145</v>
      </c>
      <c r="C1691">
        <v>80</v>
      </c>
      <c r="D1691">
        <v>79.975471497000001</v>
      </c>
      <c r="E1691">
        <v>60</v>
      </c>
      <c r="F1691">
        <v>59.207122802999997</v>
      </c>
      <c r="G1691">
        <v>1340.8635254000001</v>
      </c>
      <c r="H1691">
        <v>1338.0035399999999</v>
      </c>
      <c r="I1691">
        <v>1327.3975829999999</v>
      </c>
      <c r="J1691">
        <v>1325.6955565999999</v>
      </c>
      <c r="K1691">
        <v>2750</v>
      </c>
      <c r="L1691">
        <v>0</v>
      </c>
      <c r="M1691">
        <v>0</v>
      </c>
      <c r="N1691">
        <v>2750</v>
      </c>
    </row>
    <row r="1692" spans="1:14" x14ac:dyDescent="0.25">
      <c r="A1692">
        <v>739.63226999999995</v>
      </c>
      <c r="B1692" s="1">
        <f>DATE(2012,5,9) + TIME(15,10,28)</f>
        <v>41038.632268518515</v>
      </c>
      <c r="C1692">
        <v>80</v>
      </c>
      <c r="D1692">
        <v>79.975433350000003</v>
      </c>
      <c r="E1692">
        <v>60</v>
      </c>
      <c r="F1692">
        <v>59.190608978</v>
      </c>
      <c r="G1692">
        <v>1340.8555908000001</v>
      </c>
      <c r="H1692">
        <v>1338.0006103999999</v>
      </c>
      <c r="I1692">
        <v>1327.3930664</v>
      </c>
      <c r="J1692">
        <v>1325.6893310999999</v>
      </c>
      <c r="K1692">
        <v>2750</v>
      </c>
      <c r="L1692">
        <v>0</v>
      </c>
      <c r="M1692">
        <v>0</v>
      </c>
      <c r="N1692">
        <v>2750</v>
      </c>
    </row>
    <row r="1693" spans="1:14" x14ac:dyDescent="0.25">
      <c r="A1693">
        <v>739.85663199999999</v>
      </c>
      <c r="B1693" s="1">
        <f>DATE(2012,5,9) + TIME(20,33,33)</f>
        <v>41038.856631944444</v>
      </c>
      <c r="C1693">
        <v>80</v>
      </c>
      <c r="D1693">
        <v>79.975395203000005</v>
      </c>
      <c r="E1693">
        <v>60</v>
      </c>
      <c r="F1693">
        <v>59.173820495999998</v>
      </c>
      <c r="G1693">
        <v>1340.8476562000001</v>
      </c>
      <c r="H1693">
        <v>1337.9976807</v>
      </c>
      <c r="I1693">
        <v>1327.3884277</v>
      </c>
      <c r="J1693">
        <v>1325.6829834</v>
      </c>
      <c r="K1693">
        <v>2750</v>
      </c>
      <c r="L1693">
        <v>0</v>
      </c>
      <c r="M1693">
        <v>0</v>
      </c>
      <c r="N1693">
        <v>2750</v>
      </c>
    </row>
    <row r="1694" spans="1:14" x14ac:dyDescent="0.25">
      <c r="A1694">
        <v>740.08648000000005</v>
      </c>
      <c r="B1694" s="1">
        <f>DATE(2012,5,10) + TIME(2,4,31)</f>
        <v>41039.086469907408</v>
      </c>
      <c r="C1694">
        <v>80</v>
      </c>
      <c r="D1694">
        <v>79.975349425999994</v>
      </c>
      <c r="E1694">
        <v>60</v>
      </c>
      <c r="F1694">
        <v>59.156723022000001</v>
      </c>
      <c r="G1694">
        <v>1340.8397216999999</v>
      </c>
      <c r="H1694">
        <v>1337.994751</v>
      </c>
      <c r="I1694">
        <v>1327.3837891000001</v>
      </c>
      <c r="J1694">
        <v>1325.6762695</v>
      </c>
      <c r="K1694">
        <v>2750</v>
      </c>
      <c r="L1694">
        <v>0</v>
      </c>
      <c r="M1694">
        <v>0</v>
      </c>
      <c r="N1694">
        <v>2750</v>
      </c>
    </row>
    <row r="1695" spans="1:14" x14ac:dyDescent="0.25">
      <c r="A1695">
        <v>740.32242499999995</v>
      </c>
      <c r="B1695" s="1">
        <f>DATE(2012,5,10) + TIME(7,44,17)</f>
        <v>41039.322418981479</v>
      </c>
      <c r="C1695">
        <v>80</v>
      </c>
      <c r="D1695">
        <v>79.975311278999996</v>
      </c>
      <c r="E1695">
        <v>60</v>
      </c>
      <c r="F1695">
        <v>59.139289855999998</v>
      </c>
      <c r="G1695">
        <v>1340.8316649999999</v>
      </c>
      <c r="H1695">
        <v>1337.9918213000001</v>
      </c>
      <c r="I1695">
        <v>1327.3789062000001</v>
      </c>
      <c r="J1695">
        <v>1325.6694336</v>
      </c>
      <c r="K1695">
        <v>2750</v>
      </c>
      <c r="L1695">
        <v>0</v>
      </c>
      <c r="M1695">
        <v>0</v>
      </c>
      <c r="N1695">
        <v>2750</v>
      </c>
    </row>
    <row r="1696" spans="1:14" x14ac:dyDescent="0.25">
      <c r="A1696">
        <v>740.56514200000004</v>
      </c>
      <c r="B1696" s="1">
        <f>DATE(2012,5,10) + TIME(13,33,48)</f>
        <v>41039.565138888887</v>
      </c>
      <c r="C1696">
        <v>80</v>
      </c>
      <c r="D1696">
        <v>79.975273131999998</v>
      </c>
      <c r="E1696">
        <v>60</v>
      </c>
      <c r="F1696">
        <v>59.121479033999996</v>
      </c>
      <c r="G1696">
        <v>1340.8236084</v>
      </c>
      <c r="H1696">
        <v>1337.9888916</v>
      </c>
      <c r="I1696">
        <v>1327.3739014</v>
      </c>
      <c r="J1696">
        <v>1325.6623535000001</v>
      </c>
      <c r="K1696">
        <v>2750</v>
      </c>
      <c r="L1696">
        <v>0</v>
      </c>
      <c r="M1696">
        <v>0</v>
      </c>
      <c r="N1696">
        <v>2750</v>
      </c>
    </row>
    <row r="1697" spans="1:14" x14ac:dyDescent="0.25">
      <c r="A1697">
        <v>740.81260199999997</v>
      </c>
      <c r="B1697" s="1">
        <f>DATE(2012,5,10) + TIME(19,30,8)</f>
        <v>41039.812592592592</v>
      </c>
      <c r="C1697">
        <v>80</v>
      </c>
      <c r="D1697">
        <v>79.975227356000005</v>
      </c>
      <c r="E1697">
        <v>60</v>
      </c>
      <c r="F1697">
        <v>59.103404998999999</v>
      </c>
      <c r="G1697">
        <v>1340.8154297000001</v>
      </c>
      <c r="H1697">
        <v>1337.9859618999999</v>
      </c>
      <c r="I1697">
        <v>1327.3686522999999</v>
      </c>
      <c r="J1697">
        <v>1325.6551514</v>
      </c>
      <c r="K1697">
        <v>2750</v>
      </c>
      <c r="L1697">
        <v>0</v>
      </c>
      <c r="M1697">
        <v>0</v>
      </c>
      <c r="N1697">
        <v>2750</v>
      </c>
    </row>
    <row r="1698" spans="1:14" x14ac:dyDescent="0.25">
      <c r="A1698">
        <v>741.06444599999998</v>
      </c>
      <c r="B1698" s="1">
        <f>DATE(2012,5,11) + TIME(1,32,48)</f>
        <v>41040.064444444448</v>
      </c>
      <c r="C1698">
        <v>80</v>
      </c>
      <c r="D1698">
        <v>79.975189209000007</v>
      </c>
      <c r="E1698">
        <v>60</v>
      </c>
      <c r="F1698">
        <v>59.085090637</v>
      </c>
      <c r="G1698">
        <v>1340.807251</v>
      </c>
      <c r="H1698">
        <v>1337.9830322</v>
      </c>
      <c r="I1698">
        <v>1327.3632812000001</v>
      </c>
      <c r="J1698">
        <v>1325.6475829999999</v>
      </c>
      <c r="K1698">
        <v>2750</v>
      </c>
      <c r="L1698">
        <v>0</v>
      </c>
      <c r="M1698">
        <v>0</v>
      </c>
      <c r="N1698">
        <v>2750</v>
      </c>
    </row>
    <row r="1699" spans="1:14" x14ac:dyDescent="0.25">
      <c r="A1699">
        <v>741.31893000000002</v>
      </c>
      <c r="B1699" s="1">
        <f>DATE(2012,5,11) + TIME(7,39,15)</f>
        <v>41040.318923611114</v>
      </c>
      <c r="C1699">
        <v>80</v>
      </c>
      <c r="D1699">
        <v>79.975151061999995</v>
      </c>
      <c r="E1699">
        <v>60</v>
      </c>
      <c r="F1699">
        <v>59.066642760999997</v>
      </c>
      <c r="G1699">
        <v>1340.7990723</v>
      </c>
      <c r="H1699">
        <v>1337.9801024999999</v>
      </c>
      <c r="I1699">
        <v>1327.3579102000001</v>
      </c>
      <c r="J1699">
        <v>1325.6400146000001</v>
      </c>
      <c r="K1699">
        <v>2750</v>
      </c>
      <c r="L1699">
        <v>0</v>
      </c>
      <c r="M1699">
        <v>0</v>
      </c>
      <c r="N1699">
        <v>2750</v>
      </c>
    </row>
    <row r="1700" spans="1:14" x14ac:dyDescent="0.25">
      <c r="A1700">
        <v>741.57547899999997</v>
      </c>
      <c r="B1700" s="1">
        <f>DATE(2012,5,11) + TIME(13,48,41)</f>
        <v>41040.575474537036</v>
      </c>
      <c r="C1700">
        <v>80</v>
      </c>
      <c r="D1700">
        <v>79.975105286000002</v>
      </c>
      <c r="E1700">
        <v>60</v>
      </c>
      <c r="F1700">
        <v>59.048103333</v>
      </c>
      <c r="G1700">
        <v>1340.7910156</v>
      </c>
      <c r="H1700">
        <v>1337.9771728999999</v>
      </c>
      <c r="I1700">
        <v>1327.3522949000001</v>
      </c>
      <c r="J1700">
        <v>1325.6322021000001</v>
      </c>
      <c r="K1700">
        <v>2750</v>
      </c>
      <c r="L1700">
        <v>0</v>
      </c>
      <c r="M1700">
        <v>0</v>
      </c>
      <c r="N1700">
        <v>2750</v>
      </c>
    </row>
    <row r="1701" spans="1:14" x14ac:dyDescent="0.25">
      <c r="A1701">
        <v>741.83482800000002</v>
      </c>
      <c r="B1701" s="1">
        <f>DATE(2012,5,11) + TIME(20,2,9)</f>
        <v>41040.834826388891</v>
      </c>
      <c r="C1701">
        <v>80</v>
      </c>
      <c r="D1701">
        <v>79.975067139000004</v>
      </c>
      <c r="E1701">
        <v>60</v>
      </c>
      <c r="F1701">
        <v>59.029445647999999</v>
      </c>
      <c r="G1701">
        <v>1340.7830810999999</v>
      </c>
      <c r="H1701">
        <v>1337.9743652</v>
      </c>
      <c r="I1701">
        <v>1327.3466797000001</v>
      </c>
      <c r="J1701">
        <v>1325.6242675999999</v>
      </c>
      <c r="K1701">
        <v>2750</v>
      </c>
      <c r="L1701">
        <v>0</v>
      </c>
      <c r="M1701">
        <v>0</v>
      </c>
      <c r="N1701">
        <v>2750</v>
      </c>
    </row>
    <row r="1702" spans="1:14" x14ac:dyDescent="0.25">
      <c r="A1702">
        <v>742.09748500000001</v>
      </c>
      <c r="B1702" s="1">
        <f>DATE(2012,5,12) + TIME(2,20,22)</f>
        <v>41041.09747685185</v>
      </c>
      <c r="C1702">
        <v>80</v>
      </c>
      <c r="D1702">
        <v>79.975021362000007</v>
      </c>
      <c r="E1702">
        <v>60</v>
      </c>
      <c r="F1702">
        <v>59.010646819999998</v>
      </c>
      <c r="G1702">
        <v>1340.7751464999999</v>
      </c>
      <c r="H1702">
        <v>1337.9715576000001</v>
      </c>
      <c r="I1702">
        <v>1327.3409423999999</v>
      </c>
      <c r="J1702">
        <v>1325.6162108999999</v>
      </c>
      <c r="K1702">
        <v>2750</v>
      </c>
      <c r="L1702">
        <v>0</v>
      </c>
      <c r="M1702">
        <v>0</v>
      </c>
      <c r="N1702">
        <v>2750</v>
      </c>
    </row>
    <row r="1703" spans="1:14" x14ac:dyDescent="0.25">
      <c r="A1703">
        <v>742.36408600000004</v>
      </c>
      <c r="B1703" s="1">
        <f>DATE(2012,5,12) + TIME(8,44,17)</f>
        <v>41041.364085648151</v>
      </c>
      <c r="C1703">
        <v>80</v>
      </c>
      <c r="D1703">
        <v>79.974983214999995</v>
      </c>
      <c r="E1703">
        <v>60</v>
      </c>
      <c r="F1703">
        <v>58.991676331000001</v>
      </c>
      <c r="G1703">
        <v>1340.7673339999999</v>
      </c>
      <c r="H1703">
        <v>1337.9688721</v>
      </c>
      <c r="I1703">
        <v>1327.3352050999999</v>
      </c>
      <c r="J1703">
        <v>1325.6080322</v>
      </c>
      <c r="K1703">
        <v>2750</v>
      </c>
      <c r="L1703">
        <v>0</v>
      </c>
      <c r="M1703">
        <v>0</v>
      </c>
      <c r="N1703">
        <v>2750</v>
      </c>
    </row>
    <row r="1704" spans="1:14" x14ac:dyDescent="0.25">
      <c r="A1704">
        <v>742.63529600000004</v>
      </c>
      <c r="B1704" s="1">
        <f>DATE(2012,5,12) + TIME(15,14,49)</f>
        <v>41041.635289351849</v>
      </c>
      <c r="C1704">
        <v>80</v>
      </c>
      <c r="D1704">
        <v>79.974937439000001</v>
      </c>
      <c r="E1704">
        <v>60</v>
      </c>
      <c r="F1704">
        <v>58.972507477000001</v>
      </c>
      <c r="G1704">
        <v>1340.7595214999999</v>
      </c>
      <c r="H1704">
        <v>1337.9661865</v>
      </c>
      <c r="I1704">
        <v>1327.3292236</v>
      </c>
      <c r="J1704">
        <v>1325.5997314000001</v>
      </c>
      <c r="K1704">
        <v>2750</v>
      </c>
      <c r="L1704">
        <v>0</v>
      </c>
      <c r="M1704">
        <v>0</v>
      </c>
      <c r="N1704">
        <v>2750</v>
      </c>
    </row>
    <row r="1705" spans="1:14" x14ac:dyDescent="0.25">
      <c r="A1705">
        <v>742.91187400000001</v>
      </c>
      <c r="B1705" s="1">
        <f>DATE(2012,5,12) + TIME(21,53,5)</f>
        <v>41041.911863425928</v>
      </c>
      <c r="C1705">
        <v>80</v>
      </c>
      <c r="D1705">
        <v>79.974899292000003</v>
      </c>
      <c r="E1705">
        <v>60</v>
      </c>
      <c r="F1705">
        <v>58.953094481999997</v>
      </c>
      <c r="G1705">
        <v>1340.7518310999999</v>
      </c>
      <c r="H1705">
        <v>1337.9633789</v>
      </c>
      <c r="I1705">
        <v>1327.3231201000001</v>
      </c>
      <c r="J1705">
        <v>1325.5910644999999</v>
      </c>
      <c r="K1705">
        <v>2750</v>
      </c>
      <c r="L1705">
        <v>0</v>
      </c>
      <c r="M1705">
        <v>0</v>
      </c>
      <c r="N1705">
        <v>2750</v>
      </c>
    </row>
    <row r="1706" spans="1:14" x14ac:dyDescent="0.25">
      <c r="A1706">
        <v>743.194796</v>
      </c>
      <c r="B1706" s="1">
        <f>DATE(2012,5,13) + TIME(4,40,30)</f>
        <v>41042.194791666669</v>
      </c>
      <c r="C1706">
        <v>80</v>
      </c>
      <c r="D1706">
        <v>79.974861145000006</v>
      </c>
      <c r="E1706">
        <v>60</v>
      </c>
      <c r="F1706">
        <v>58.933383941999999</v>
      </c>
      <c r="G1706">
        <v>1340.7441406</v>
      </c>
      <c r="H1706">
        <v>1337.9606934000001</v>
      </c>
      <c r="I1706">
        <v>1327.3170166</v>
      </c>
      <c r="J1706">
        <v>1325.5823975000001</v>
      </c>
      <c r="K1706">
        <v>2750</v>
      </c>
      <c r="L1706">
        <v>0</v>
      </c>
      <c r="M1706">
        <v>0</v>
      </c>
      <c r="N1706">
        <v>2750</v>
      </c>
    </row>
    <row r="1707" spans="1:14" x14ac:dyDescent="0.25">
      <c r="A1707">
        <v>743.48328600000002</v>
      </c>
      <c r="B1707" s="1">
        <f>DATE(2012,5,13) + TIME(11,35,55)</f>
        <v>41042.483275462961</v>
      </c>
      <c r="C1707">
        <v>80</v>
      </c>
      <c r="D1707">
        <v>79.974815368999998</v>
      </c>
      <c r="E1707">
        <v>60</v>
      </c>
      <c r="F1707">
        <v>58.913414001</v>
      </c>
      <c r="G1707">
        <v>1340.7363281</v>
      </c>
      <c r="H1707">
        <v>1337.9581298999999</v>
      </c>
      <c r="I1707">
        <v>1327.3105469</v>
      </c>
      <c r="J1707">
        <v>1325.5733643000001</v>
      </c>
      <c r="K1707">
        <v>2750</v>
      </c>
      <c r="L1707">
        <v>0</v>
      </c>
      <c r="M1707">
        <v>0</v>
      </c>
      <c r="N1707">
        <v>2750</v>
      </c>
    </row>
    <row r="1708" spans="1:14" x14ac:dyDescent="0.25">
      <c r="A1708">
        <v>743.77938800000004</v>
      </c>
      <c r="B1708" s="1">
        <f>DATE(2012,5,13) + TIME(18,42,19)</f>
        <v>41042.779386574075</v>
      </c>
      <c r="C1708">
        <v>80</v>
      </c>
      <c r="D1708">
        <v>79.974777222</v>
      </c>
      <c r="E1708">
        <v>60</v>
      </c>
      <c r="F1708">
        <v>58.893085480000003</v>
      </c>
      <c r="G1708">
        <v>1340.7286377</v>
      </c>
      <c r="H1708">
        <v>1337.9554443</v>
      </c>
      <c r="I1708">
        <v>1327.3040771000001</v>
      </c>
      <c r="J1708">
        <v>1325.5642089999999</v>
      </c>
      <c r="K1708">
        <v>2750</v>
      </c>
      <c r="L1708">
        <v>0</v>
      </c>
      <c r="M1708">
        <v>0</v>
      </c>
      <c r="N1708">
        <v>2750</v>
      </c>
    </row>
    <row r="1709" spans="1:14" x14ac:dyDescent="0.25">
      <c r="A1709">
        <v>744.08478100000002</v>
      </c>
      <c r="B1709" s="1">
        <f>DATE(2012,5,14) + TIME(2,2,5)</f>
        <v>41043.084780092591</v>
      </c>
      <c r="C1709">
        <v>80</v>
      </c>
      <c r="D1709">
        <v>79.974731445000003</v>
      </c>
      <c r="E1709">
        <v>60</v>
      </c>
      <c r="F1709">
        <v>58.872306823999999</v>
      </c>
      <c r="G1709">
        <v>1340.7208252</v>
      </c>
      <c r="H1709">
        <v>1337.9527588000001</v>
      </c>
      <c r="I1709">
        <v>1327.2973632999999</v>
      </c>
      <c r="J1709">
        <v>1325.5546875</v>
      </c>
      <c r="K1709">
        <v>2750</v>
      </c>
      <c r="L1709">
        <v>0</v>
      </c>
      <c r="M1709">
        <v>0</v>
      </c>
      <c r="N1709">
        <v>2750</v>
      </c>
    </row>
    <row r="1710" spans="1:14" x14ac:dyDescent="0.25">
      <c r="A1710">
        <v>744.40072899999996</v>
      </c>
      <c r="B1710" s="1">
        <f>DATE(2012,5,14) + TIME(9,37,2)</f>
        <v>41043.400717592594</v>
      </c>
      <c r="C1710">
        <v>80</v>
      </c>
      <c r="D1710">
        <v>79.974693298000005</v>
      </c>
      <c r="E1710">
        <v>60</v>
      </c>
      <c r="F1710">
        <v>58.851009369000003</v>
      </c>
      <c r="G1710">
        <v>1340.7130127</v>
      </c>
      <c r="H1710">
        <v>1337.9500731999999</v>
      </c>
      <c r="I1710">
        <v>1327.2904053</v>
      </c>
      <c r="J1710">
        <v>1325.5447998</v>
      </c>
      <c r="K1710">
        <v>2750</v>
      </c>
      <c r="L1710">
        <v>0</v>
      </c>
      <c r="M1710">
        <v>0</v>
      </c>
      <c r="N1710">
        <v>2750</v>
      </c>
    </row>
    <row r="1711" spans="1:14" x14ac:dyDescent="0.25">
      <c r="A1711">
        <v>744.72873800000002</v>
      </c>
      <c r="B1711" s="1">
        <f>DATE(2012,5,14) + TIME(17,29,22)</f>
        <v>41043.728726851848</v>
      </c>
      <c r="C1711">
        <v>80</v>
      </c>
      <c r="D1711">
        <v>79.974647521999998</v>
      </c>
      <c r="E1711">
        <v>60</v>
      </c>
      <c r="F1711">
        <v>58.829109191999997</v>
      </c>
      <c r="G1711">
        <v>1340.7050781</v>
      </c>
      <c r="H1711">
        <v>1337.9475098</v>
      </c>
      <c r="I1711">
        <v>1327.2832031</v>
      </c>
      <c r="J1711">
        <v>1325.534668</v>
      </c>
      <c r="K1711">
        <v>2750</v>
      </c>
      <c r="L1711">
        <v>0</v>
      </c>
      <c r="M1711">
        <v>0</v>
      </c>
      <c r="N1711">
        <v>2750</v>
      </c>
    </row>
    <row r="1712" spans="1:14" x14ac:dyDescent="0.25">
      <c r="A1712">
        <v>745.06188999999995</v>
      </c>
      <c r="B1712" s="1">
        <f>DATE(2012,5,15) + TIME(1,29,7)</f>
        <v>41044.061886574076</v>
      </c>
      <c r="C1712">
        <v>80</v>
      </c>
      <c r="D1712">
        <v>79.974601746000005</v>
      </c>
      <c r="E1712">
        <v>60</v>
      </c>
      <c r="F1712">
        <v>58.806922913000001</v>
      </c>
      <c r="G1712">
        <v>1340.6970214999999</v>
      </c>
      <c r="H1712">
        <v>1337.9448242000001</v>
      </c>
      <c r="I1712">
        <v>1327.2757568</v>
      </c>
      <c r="J1712">
        <v>1325.5240478999999</v>
      </c>
      <c r="K1712">
        <v>2750</v>
      </c>
      <c r="L1712">
        <v>0</v>
      </c>
      <c r="M1712">
        <v>0</v>
      </c>
      <c r="N1712">
        <v>2750</v>
      </c>
    </row>
    <row r="1713" spans="1:14" x14ac:dyDescent="0.25">
      <c r="A1713">
        <v>745.39764200000002</v>
      </c>
      <c r="B1713" s="1">
        <f>DATE(2012,5,15) + TIME(9,32,36)</f>
        <v>41044.397638888891</v>
      </c>
      <c r="C1713">
        <v>80</v>
      </c>
      <c r="D1713">
        <v>79.974563599000007</v>
      </c>
      <c r="E1713">
        <v>60</v>
      </c>
      <c r="F1713">
        <v>58.784591675000001</v>
      </c>
      <c r="G1713">
        <v>1340.6890868999999</v>
      </c>
      <c r="H1713">
        <v>1337.9421387</v>
      </c>
      <c r="I1713">
        <v>1327.2680664</v>
      </c>
      <c r="J1713">
        <v>1325.5133057</v>
      </c>
      <c r="K1713">
        <v>2750</v>
      </c>
      <c r="L1713">
        <v>0</v>
      </c>
      <c r="M1713">
        <v>0</v>
      </c>
      <c r="N1713">
        <v>2750</v>
      </c>
    </row>
    <row r="1714" spans="1:14" x14ac:dyDescent="0.25">
      <c r="A1714">
        <v>745.73672499999998</v>
      </c>
      <c r="B1714" s="1">
        <f>DATE(2012,5,15) + TIME(17,40,53)</f>
        <v>41044.736724537041</v>
      </c>
      <c r="C1714">
        <v>80</v>
      </c>
      <c r="D1714">
        <v>79.974517821999996</v>
      </c>
      <c r="E1714">
        <v>60</v>
      </c>
      <c r="F1714">
        <v>58.762119292999998</v>
      </c>
      <c r="G1714">
        <v>1340.6811522999999</v>
      </c>
      <c r="H1714">
        <v>1337.9395752</v>
      </c>
      <c r="I1714">
        <v>1327.260376</v>
      </c>
      <c r="J1714">
        <v>1325.5023193</v>
      </c>
      <c r="K1714">
        <v>2750</v>
      </c>
      <c r="L1714">
        <v>0</v>
      </c>
      <c r="M1714">
        <v>0</v>
      </c>
      <c r="N1714">
        <v>2750</v>
      </c>
    </row>
    <row r="1715" spans="1:14" x14ac:dyDescent="0.25">
      <c r="A1715">
        <v>746.07993699999997</v>
      </c>
      <c r="B1715" s="1">
        <f>DATE(2012,5,16) + TIME(1,55,6)</f>
        <v>41045.079930555556</v>
      </c>
      <c r="C1715">
        <v>80</v>
      </c>
      <c r="D1715">
        <v>79.974472046000002</v>
      </c>
      <c r="E1715">
        <v>60</v>
      </c>
      <c r="F1715">
        <v>58.739486694</v>
      </c>
      <c r="G1715">
        <v>1340.6734618999999</v>
      </c>
      <c r="H1715">
        <v>1337.9370117000001</v>
      </c>
      <c r="I1715">
        <v>1327.2525635</v>
      </c>
      <c r="J1715">
        <v>1325.4912108999999</v>
      </c>
      <c r="K1715">
        <v>2750</v>
      </c>
      <c r="L1715">
        <v>0</v>
      </c>
      <c r="M1715">
        <v>0</v>
      </c>
      <c r="N1715">
        <v>2750</v>
      </c>
    </row>
    <row r="1716" spans="1:14" x14ac:dyDescent="0.25">
      <c r="A1716">
        <v>746.42806499999995</v>
      </c>
      <c r="B1716" s="1">
        <f>DATE(2012,5,16) + TIME(10,16,24)</f>
        <v>41045.428055555552</v>
      </c>
      <c r="C1716">
        <v>80</v>
      </c>
      <c r="D1716">
        <v>79.974433899000005</v>
      </c>
      <c r="E1716">
        <v>60</v>
      </c>
      <c r="F1716">
        <v>58.716674804999997</v>
      </c>
      <c r="G1716">
        <v>1340.6657714999999</v>
      </c>
      <c r="H1716">
        <v>1337.9344481999999</v>
      </c>
      <c r="I1716">
        <v>1327.2445068</v>
      </c>
      <c r="J1716">
        <v>1325.4799805</v>
      </c>
      <c r="K1716">
        <v>2750</v>
      </c>
      <c r="L1716">
        <v>0</v>
      </c>
      <c r="M1716">
        <v>0</v>
      </c>
      <c r="N1716">
        <v>2750</v>
      </c>
    </row>
    <row r="1717" spans="1:14" x14ac:dyDescent="0.25">
      <c r="A1717">
        <v>746.78182500000003</v>
      </c>
      <c r="B1717" s="1">
        <f>DATE(2012,5,16) + TIME(18,45,49)</f>
        <v>41045.781817129631</v>
      </c>
      <c r="C1717">
        <v>80</v>
      </c>
      <c r="D1717">
        <v>79.974388122999997</v>
      </c>
      <c r="E1717">
        <v>60</v>
      </c>
      <c r="F1717">
        <v>58.693656920999999</v>
      </c>
      <c r="G1717">
        <v>1340.6580810999999</v>
      </c>
      <c r="H1717">
        <v>1337.9320068</v>
      </c>
      <c r="I1717">
        <v>1327.2364502</v>
      </c>
      <c r="J1717">
        <v>1325.4685059000001</v>
      </c>
      <c r="K1717">
        <v>2750</v>
      </c>
      <c r="L1717">
        <v>0</v>
      </c>
      <c r="M1717">
        <v>0</v>
      </c>
      <c r="N1717">
        <v>2750</v>
      </c>
    </row>
    <row r="1718" spans="1:14" x14ac:dyDescent="0.25">
      <c r="A1718">
        <v>747.14206100000001</v>
      </c>
      <c r="B1718" s="1">
        <f>DATE(2012,5,17) + TIME(3,24,34)</f>
        <v>41046.142060185186</v>
      </c>
      <c r="C1718">
        <v>80</v>
      </c>
      <c r="D1718">
        <v>79.974349975999999</v>
      </c>
      <c r="E1718">
        <v>60</v>
      </c>
      <c r="F1718">
        <v>58.670391082999998</v>
      </c>
      <c r="G1718">
        <v>1340.6505127</v>
      </c>
      <c r="H1718">
        <v>1337.9295654</v>
      </c>
      <c r="I1718">
        <v>1327.2282714999999</v>
      </c>
      <c r="J1718">
        <v>1325.4567870999999</v>
      </c>
      <c r="K1718">
        <v>2750</v>
      </c>
      <c r="L1718">
        <v>0</v>
      </c>
      <c r="M1718">
        <v>0</v>
      </c>
      <c r="N1718">
        <v>2750</v>
      </c>
    </row>
    <row r="1719" spans="1:14" x14ac:dyDescent="0.25">
      <c r="A1719">
        <v>747.50463200000002</v>
      </c>
      <c r="B1719" s="1">
        <f>DATE(2012,5,17) + TIME(12,6,40)</f>
        <v>41046.504629629628</v>
      </c>
      <c r="C1719">
        <v>80</v>
      </c>
      <c r="D1719">
        <v>79.974304199000002</v>
      </c>
      <c r="E1719">
        <v>60</v>
      </c>
      <c r="F1719">
        <v>58.647064209</v>
      </c>
      <c r="G1719">
        <v>1340.6429443</v>
      </c>
      <c r="H1719">
        <v>1337.927124</v>
      </c>
      <c r="I1719">
        <v>1327.2198486</v>
      </c>
      <c r="J1719">
        <v>1325.4448242000001</v>
      </c>
      <c r="K1719">
        <v>2750</v>
      </c>
      <c r="L1719">
        <v>0</v>
      </c>
      <c r="M1719">
        <v>0</v>
      </c>
      <c r="N1719">
        <v>2750</v>
      </c>
    </row>
    <row r="1720" spans="1:14" x14ac:dyDescent="0.25">
      <c r="A1720">
        <v>747.87014699999997</v>
      </c>
      <c r="B1720" s="1">
        <f>DATE(2012,5,17) + TIME(20,53,0)</f>
        <v>41046.870138888888</v>
      </c>
      <c r="C1720">
        <v>80</v>
      </c>
      <c r="D1720">
        <v>79.974266052000004</v>
      </c>
      <c r="E1720">
        <v>60</v>
      </c>
      <c r="F1720">
        <v>58.623668670999997</v>
      </c>
      <c r="G1720">
        <v>1340.6354980000001</v>
      </c>
      <c r="H1720">
        <v>1337.9248047000001</v>
      </c>
      <c r="I1720">
        <v>1327.2113036999999</v>
      </c>
      <c r="J1720">
        <v>1325.4327393000001</v>
      </c>
      <c r="K1720">
        <v>2750</v>
      </c>
      <c r="L1720">
        <v>0</v>
      </c>
      <c r="M1720">
        <v>0</v>
      </c>
      <c r="N1720">
        <v>2750</v>
      </c>
    </row>
    <row r="1721" spans="1:14" x14ac:dyDescent="0.25">
      <c r="A1721">
        <v>748.23977000000002</v>
      </c>
      <c r="B1721" s="1">
        <f>DATE(2012,5,18) + TIME(5,45,16)</f>
        <v>41047.239768518521</v>
      </c>
      <c r="C1721">
        <v>80</v>
      </c>
      <c r="D1721">
        <v>79.974220275999997</v>
      </c>
      <c r="E1721">
        <v>60</v>
      </c>
      <c r="F1721">
        <v>58.600166321000003</v>
      </c>
      <c r="G1721">
        <v>1340.6281738</v>
      </c>
      <c r="H1721">
        <v>1337.9224853999999</v>
      </c>
      <c r="I1721">
        <v>1327.2027588000001</v>
      </c>
      <c r="J1721">
        <v>1325.4206543</v>
      </c>
      <c r="K1721">
        <v>2750</v>
      </c>
      <c r="L1721">
        <v>0</v>
      </c>
      <c r="M1721">
        <v>0</v>
      </c>
      <c r="N1721">
        <v>2750</v>
      </c>
    </row>
    <row r="1722" spans="1:14" x14ac:dyDescent="0.25">
      <c r="A1722">
        <v>748.61435600000004</v>
      </c>
      <c r="B1722" s="1">
        <f>DATE(2012,5,18) + TIME(14,44,40)</f>
        <v>41047.614351851851</v>
      </c>
      <c r="C1722">
        <v>80</v>
      </c>
      <c r="D1722">
        <v>79.974182128999999</v>
      </c>
      <c r="E1722">
        <v>60</v>
      </c>
      <c r="F1722">
        <v>58.576526641999997</v>
      </c>
      <c r="G1722">
        <v>1340.6208495999999</v>
      </c>
      <c r="H1722">
        <v>1337.9201660000001</v>
      </c>
      <c r="I1722">
        <v>1327.1939697</v>
      </c>
      <c r="J1722">
        <v>1325.4082031</v>
      </c>
      <c r="K1722">
        <v>2750</v>
      </c>
      <c r="L1722">
        <v>0</v>
      </c>
      <c r="M1722">
        <v>0</v>
      </c>
      <c r="N1722">
        <v>2750</v>
      </c>
    </row>
    <row r="1723" spans="1:14" x14ac:dyDescent="0.25">
      <c r="A1723">
        <v>748.99508400000002</v>
      </c>
      <c r="B1723" s="1">
        <f>DATE(2012,5,18) + TIME(23,52,55)</f>
        <v>41047.995081018518</v>
      </c>
      <c r="C1723">
        <v>80</v>
      </c>
      <c r="D1723">
        <v>79.974136353000006</v>
      </c>
      <c r="E1723">
        <v>60</v>
      </c>
      <c r="F1723">
        <v>58.552696228000002</v>
      </c>
      <c r="G1723">
        <v>1340.6136475000001</v>
      </c>
      <c r="H1723">
        <v>1337.9178466999999</v>
      </c>
      <c r="I1723">
        <v>1327.1851807</v>
      </c>
      <c r="J1723">
        <v>1325.3956298999999</v>
      </c>
      <c r="K1723">
        <v>2750</v>
      </c>
      <c r="L1723">
        <v>0</v>
      </c>
      <c r="M1723">
        <v>0</v>
      </c>
      <c r="N1723">
        <v>2750</v>
      </c>
    </row>
    <row r="1724" spans="1:14" x14ac:dyDescent="0.25">
      <c r="A1724">
        <v>749.383554</v>
      </c>
      <c r="B1724" s="1">
        <f>DATE(2012,5,19) + TIME(9,12,19)</f>
        <v>41048.383553240739</v>
      </c>
      <c r="C1724">
        <v>80</v>
      </c>
      <c r="D1724">
        <v>79.974098205999994</v>
      </c>
      <c r="E1724">
        <v>60</v>
      </c>
      <c r="F1724">
        <v>58.528602599999999</v>
      </c>
      <c r="G1724">
        <v>1340.6065673999999</v>
      </c>
      <c r="H1724">
        <v>1337.9156493999999</v>
      </c>
      <c r="I1724">
        <v>1327.1761475000001</v>
      </c>
      <c r="J1724">
        <v>1325.3829346</v>
      </c>
      <c r="K1724">
        <v>2750</v>
      </c>
      <c r="L1724">
        <v>0</v>
      </c>
      <c r="M1724">
        <v>0</v>
      </c>
      <c r="N1724">
        <v>2750</v>
      </c>
    </row>
    <row r="1725" spans="1:14" x14ac:dyDescent="0.25">
      <c r="A1725">
        <v>749.78373999999997</v>
      </c>
      <c r="B1725" s="1">
        <f>DATE(2012,5,19) + TIME(18,48,35)</f>
        <v>41048.783738425926</v>
      </c>
      <c r="C1725">
        <v>80</v>
      </c>
      <c r="D1725">
        <v>79.974060058999996</v>
      </c>
      <c r="E1725">
        <v>60</v>
      </c>
      <c r="F1725">
        <v>58.504070282000001</v>
      </c>
      <c r="G1725">
        <v>1340.5993652</v>
      </c>
      <c r="H1725">
        <v>1337.9133300999999</v>
      </c>
      <c r="I1725">
        <v>1327.1669922000001</v>
      </c>
      <c r="J1725">
        <v>1325.3698730000001</v>
      </c>
      <c r="K1725">
        <v>2750</v>
      </c>
      <c r="L1725">
        <v>0</v>
      </c>
      <c r="M1725">
        <v>0</v>
      </c>
      <c r="N1725">
        <v>2750</v>
      </c>
    </row>
    <row r="1726" spans="1:14" x14ac:dyDescent="0.25">
      <c r="A1726">
        <v>750.19747500000005</v>
      </c>
      <c r="B1726" s="1">
        <f>DATE(2012,5,20) + TIME(4,44,21)</f>
        <v>41049.197465277779</v>
      </c>
      <c r="C1726">
        <v>80</v>
      </c>
      <c r="D1726">
        <v>79.974021911999998</v>
      </c>
      <c r="E1726">
        <v>60</v>
      </c>
      <c r="F1726">
        <v>58.479000092</v>
      </c>
      <c r="G1726">
        <v>1340.5921631000001</v>
      </c>
      <c r="H1726">
        <v>1337.9111327999999</v>
      </c>
      <c r="I1726">
        <v>1327.1575928</v>
      </c>
      <c r="J1726">
        <v>1325.3563231999999</v>
      </c>
      <c r="K1726">
        <v>2750</v>
      </c>
      <c r="L1726">
        <v>0</v>
      </c>
      <c r="M1726">
        <v>0</v>
      </c>
      <c r="N1726">
        <v>2750</v>
      </c>
    </row>
    <row r="1727" spans="1:14" x14ac:dyDescent="0.25">
      <c r="A1727">
        <v>750.62687300000005</v>
      </c>
      <c r="B1727" s="1">
        <f>DATE(2012,5,20) + TIME(15,2,41)</f>
        <v>41049.626863425925</v>
      </c>
      <c r="C1727">
        <v>80</v>
      </c>
      <c r="D1727">
        <v>79.973976135000001</v>
      </c>
      <c r="E1727">
        <v>60</v>
      </c>
      <c r="F1727">
        <v>58.453285217000001</v>
      </c>
      <c r="G1727">
        <v>1340.5848389</v>
      </c>
      <c r="H1727">
        <v>1337.9088135</v>
      </c>
      <c r="I1727">
        <v>1327.1477050999999</v>
      </c>
      <c r="J1727">
        <v>1325.3424072</v>
      </c>
      <c r="K1727">
        <v>2750</v>
      </c>
      <c r="L1727">
        <v>0</v>
      </c>
      <c r="M1727">
        <v>0</v>
      </c>
      <c r="N1727">
        <v>2750</v>
      </c>
    </row>
    <row r="1728" spans="1:14" x14ac:dyDescent="0.25">
      <c r="A1728">
        <v>751.07438000000002</v>
      </c>
      <c r="B1728" s="1">
        <f>DATE(2012,5,21) + TIME(1,47,6)</f>
        <v>41050.074374999997</v>
      </c>
      <c r="C1728">
        <v>80</v>
      </c>
      <c r="D1728">
        <v>79.973937988000003</v>
      </c>
      <c r="E1728">
        <v>60</v>
      </c>
      <c r="F1728">
        <v>58.426799774000003</v>
      </c>
      <c r="G1728">
        <v>1340.5773925999999</v>
      </c>
      <c r="H1728">
        <v>1337.9064940999999</v>
      </c>
      <c r="I1728">
        <v>1327.1375731999999</v>
      </c>
      <c r="J1728">
        <v>1325.3280029</v>
      </c>
      <c r="K1728">
        <v>2750</v>
      </c>
      <c r="L1728">
        <v>0</v>
      </c>
      <c r="M1728">
        <v>0</v>
      </c>
      <c r="N1728">
        <v>2750</v>
      </c>
    </row>
    <row r="1729" spans="1:14" x14ac:dyDescent="0.25">
      <c r="A1729">
        <v>751.53664200000003</v>
      </c>
      <c r="B1729" s="1">
        <f>DATE(2012,5,21) + TIME(12,52,45)</f>
        <v>41050.536631944444</v>
      </c>
      <c r="C1729">
        <v>80</v>
      </c>
      <c r="D1729">
        <v>79.973892211999996</v>
      </c>
      <c r="E1729">
        <v>60</v>
      </c>
      <c r="F1729">
        <v>58.399639129999997</v>
      </c>
      <c r="G1729">
        <v>1340.5698242000001</v>
      </c>
      <c r="H1729">
        <v>1337.9041748</v>
      </c>
      <c r="I1729">
        <v>1327.1270752</v>
      </c>
      <c r="J1729">
        <v>1325.3129882999999</v>
      </c>
      <c r="K1729">
        <v>2750</v>
      </c>
      <c r="L1729">
        <v>0</v>
      </c>
      <c r="M1729">
        <v>0</v>
      </c>
      <c r="N1729">
        <v>2750</v>
      </c>
    </row>
    <row r="1730" spans="1:14" x14ac:dyDescent="0.25">
      <c r="A1730">
        <v>752.013374</v>
      </c>
      <c r="B1730" s="1">
        <f>DATE(2012,5,22) + TIME(0,19,15)</f>
        <v>41051.013368055559</v>
      </c>
      <c r="C1730">
        <v>80</v>
      </c>
      <c r="D1730">
        <v>79.973854064999998</v>
      </c>
      <c r="E1730">
        <v>60</v>
      </c>
      <c r="F1730">
        <v>58.371822356999999</v>
      </c>
      <c r="G1730">
        <v>1340.5622559000001</v>
      </c>
      <c r="H1730">
        <v>1337.9017334</v>
      </c>
      <c r="I1730">
        <v>1327.1160889</v>
      </c>
      <c r="J1730">
        <v>1325.2974853999999</v>
      </c>
      <c r="K1730">
        <v>2750</v>
      </c>
      <c r="L1730">
        <v>0</v>
      </c>
      <c r="M1730">
        <v>0</v>
      </c>
      <c r="N1730">
        <v>2750</v>
      </c>
    </row>
    <row r="1731" spans="1:14" x14ac:dyDescent="0.25">
      <c r="A1731">
        <v>752.25912000000005</v>
      </c>
      <c r="B1731" s="1">
        <f>DATE(2012,5,22) + TIME(6,13,7)</f>
        <v>41051.259108796294</v>
      </c>
      <c r="C1731">
        <v>80</v>
      </c>
      <c r="D1731">
        <v>79.973823546999995</v>
      </c>
      <c r="E1731">
        <v>60</v>
      </c>
      <c r="F1731">
        <v>58.354133605999998</v>
      </c>
      <c r="G1731">
        <v>1340.5544434000001</v>
      </c>
      <c r="H1731">
        <v>1337.8994141000001</v>
      </c>
      <c r="I1731">
        <v>1327.1057129000001</v>
      </c>
      <c r="J1731">
        <v>1325.2830810999999</v>
      </c>
      <c r="K1731">
        <v>2750</v>
      </c>
      <c r="L1731">
        <v>0</v>
      </c>
      <c r="M1731">
        <v>0</v>
      </c>
      <c r="N1731">
        <v>2750</v>
      </c>
    </row>
    <row r="1732" spans="1:14" x14ac:dyDescent="0.25">
      <c r="A1732">
        <v>752.50486599999999</v>
      </c>
      <c r="B1732" s="1">
        <f>DATE(2012,5,22) + TIME(12,7,0)</f>
        <v>41051.504861111112</v>
      </c>
      <c r="C1732">
        <v>80</v>
      </c>
      <c r="D1732">
        <v>79.973793029999996</v>
      </c>
      <c r="E1732">
        <v>60</v>
      </c>
      <c r="F1732">
        <v>58.337242126</v>
      </c>
      <c r="G1732">
        <v>1340.5505370999999</v>
      </c>
      <c r="H1732">
        <v>1337.8981934000001</v>
      </c>
      <c r="I1732">
        <v>1327.0992432</v>
      </c>
      <c r="J1732">
        <v>1325.2738036999999</v>
      </c>
      <c r="K1732">
        <v>2750</v>
      </c>
      <c r="L1732">
        <v>0</v>
      </c>
      <c r="M1732">
        <v>0</v>
      </c>
      <c r="N1732">
        <v>2750</v>
      </c>
    </row>
    <row r="1733" spans="1:14" x14ac:dyDescent="0.25">
      <c r="A1733">
        <v>752.75061200000005</v>
      </c>
      <c r="B1733" s="1">
        <f>DATE(2012,5,22) + TIME(18,0,52)</f>
        <v>41051.750601851854</v>
      </c>
      <c r="C1733">
        <v>80</v>
      </c>
      <c r="D1733">
        <v>79.973770142000006</v>
      </c>
      <c r="E1733">
        <v>60</v>
      </c>
      <c r="F1733">
        <v>58.320964813000003</v>
      </c>
      <c r="G1733">
        <v>1340.5467529</v>
      </c>
      <c r="H1733">
        <v>1337.8969727000001</v>
      </c>
      <c r="I1733">
        <v>1327.0930175999999</v>
      </c>
      <c r="J1733">
        <v>1325.2647704999999</v>
      </c>
      <c r="K1733">
        <v>2750</v>
      </c>
      <c r="L1733">
        <v>0</v>
      </c>
      <c r="M1733">
        <v>0</v>
      </c>
      <c r="N1733">
        <v>2750</v>
      </c>
    </row>
    <row r="1734" spans="1:14" x14ac:dyDescent="0.25">
      <c r="A1734">
        <v>752.99635799999999</v>
      </c>
      <c r="B1734" s="1">
        <f>DATE(2012,5,22) + TIME(23,54,45)</f>
        <v>41051.996354166666</v>
      </c>
      <c r="C1734">
        <v>80</v>
      </c>
      <c r="D1734">
        <v>79.973747252999999</v>
      </c>
      <c r="E1734">
        <v>60</v>
      </c>
      <c r="F1734">
        <v>58.305175781000003</v>
      </c>
      <c r="G1734">
        <v>1340.5429687999999</v>
      </c>
      <c r="H1734">
        <v>1337.895874</v>
      </c>
      <c r="I1734">
        <v>1327.0869141000001</v>
      </c>
      <c r="J1734">
        <v>1325.2558594</v>
      </c>
      <c r="K1734">
        <v>2750</v>
      </c>
      <c r="L1734">
        <v>0</v>
      </c>
      <c r="M1734">
        <v>0</v>
      </c>
      <c r="N1734">
        <v>2750</v>
      </c>
    </row>
    <row r="1735" spans="1:14" x14ac:dyDescent="0.25">
      <c r="A1735">
        <v>753.24210300000004</v>
      </c>
      <c r="B1735" s="1">
        <f>DATE(2012,5,23) + TIME(5,48,37)</f>
        <v>41052.242094907408</v>
      </c>
      <c r="C1735">
        <v>80</v>
      </c>
      <c r="D1735">
        <v>79.973724364999995</v>
      </c>
      <c r="E1735">
        <v>60</v>
      </c>
      <c r="F1735">
        <v>58.28976059</v>
      </c>
      <c r="G1735">
        <v>1340.5391846</v>
      </c>
      <c r="H1735">
        <v>1337.8946533000001</v>
      </c>
      <c r="I1735">
        <v>1327.0808105000001</v>
      </c>
      <c r="J1735">
        <v>1325.2471923999999</v>
      </c>
      <c r="K1735">
        <v>2750</v>
      </c>
      <c r="L1735">
        <v>0</v>
      </c>
      <c r="M1735">
        <v>0</v>
      </c>
      <c r="N1735">
        <v>2750</v>
      </c>
    </row>
    <row r="1736" spans="1:14" x14ac:dyDescent="0.25">
      <c r="A1736">
        <v>753.48784899999998</v>
      </c>
      <c r="B1736" s="1">
        <f>DATE(2012,5,23) + TIME(11,42,30)</f>
        <v>41052.487847222219</v>
      </c>
      <c r="C1736">
        <v>80</v>
      </c>
      <c r="D1736">
        <v>79.973701477000006</v>
      </c>
      <c r="E1736">
        <v>60</v>
      </c>
      <c r="F1736">
        <v>58.274650573999999</v>
      </c>
      <c r="G1736">
        <v>1340.5355225000001</v>
      </c>
      <c r="H1736">
        <v>1337.8935547000001</v>
      </c>
      <c r="I1736">
        <v>1327.0748291</v>
      </c>
      <c r="J1736">
        <v>1325.2385254000001</v>
      </c>
      <c r="K1736">
        <v>2750</v>
      </c>
      <c r="L1736">
        <v>0</v>
      </c>
      <c r="M1736">
        <v>0</v>
      </c>
      <c r="N1736">
        <v>2750</v>
      </c>
    </row>
    <row r="1737" spans="1:14" x14ac:dyDescent="0.25">
      <c r="A1737">
        <v>753.73359500000004</v>
      </c>
      <c r="B1737" s="1">
        <f>DATE(2012,5,23) + TIME(17,36,22)</f>
        <v>41052.733587962961</v>
      </c>
      <c r="C1737">
        <v>80</v>
      </c>
      <c r="D1737">
        <v>79.973678589000002</v>
      </c>
      <c r="E1737">
        <v>60</v>
      </c>
      <c r="F1737">
        <v>58.259777069000002</v>
      </c>
      <c r="G1737">
        <v>1340.5318603999999</v>
      </c>
      <c r="H1737">
        <v>1337.8924560999999</v>
      </c>
      <c r="I1737">
        <v>1327.0688477000001</v>
      </c>
      <c r="J1737">
        <v>1325.2299805</v>
      </c>
      <c r="K1737">
        <v>2750</v>
      </c>
      <c r="L1737">
        <v>0</v>
      </c>
      <c r="M1737">
        <v>0</v>
      </c>
      <c r="N1737">
        <v>2750</v>
      </c>
    </row>
    <row r="1738" spans="1:14" x14ac:dyDescent="0.25">
      <c r="A1738">
        <v>753.97934099999998</v>
      </c>
      <c r="B1738" s="1">
        <f>DATE(2012,5,23) + TIME(23,30,15)</f>
        <v>41052.97934027778</v>
      </c>
      <c r="C1738">
        <v>80</v>
      </c>
      <c r="D1738">
        <v>79.973655700999998</v>
      </c>
      <c r="E1738">
        <v>60</v>
      </c>
      <c r="F1738">
        <v>58.245105743000003</v>
      </c>
      <c r="G1738">
        <v>1340.5281981999999</v>
      </c>
      <c r="H1738">
        <v>1337.8912353999999</v>
      </c>
      <c r="I1738">
        <v>1327.0628661999999</v>
      </c>
      <c r="J1738">
        <v>1325.2214355000001</v>
      </c>
      <c r="K1738">
        <v>2750</v>
      </c>
      <c r="L1738">
        <v>0</v>
      </c>
      <c r="M1738">
        <v>0</v>
      </c>
      <c r="N1738">
        <v>2750</v>
      </c>
    </row>
    <row r="1739" spans="1:14" x14ac:dyDescent="0.25">
      <c r="A1739">
        <v>754.47083299999997</v>
      </c>
      <c r="B1739" s="1">
        <f>DATE(2012,5,24) + TIME(11,17,59)</f>
        <v>41053.470821759256</v>
      </c>
      <c r="C1739">
        <v>80</v>
      </c>
      <c r="D1739">
        <v>79.973632812000005</v>
      </c>
      <c r="E1739">
        <v>60</v>
      </c>
      <c r="F1739">
        <v>58.221782683999997</v>
      </c>
      <c r="G1739">
        <v>1340.5246582</v>
      </c>
      <c r="H1739">
        <v>1337.8902588000001</v>
      </c>
      <c r="I1739">
        <v>1327.0561522999999</v>
      </c>
      <c r="J1739">
        <v>1325.2115478999999</v>
      </c>
      <c r="K1739">
        <v>2750</v>
      </c>
      <c r="L1739">
        <v>0</v>
      </c>
      <c r="M1739">
        <v>0</v>
      </c>
      <c r="N1739">
        <v>2750</v>
      </c>
    </row>
    <row r="1740" spans="1:14" x14ac:dyDescent="0.25">
      <c r="A1740">
        <v>754.96356700000001</v>
      </c>
      <c r="B1740" s="1">
        <f>DATE(2012,5,24) + TIME(23,7,32)</f>
        <v>41053.963564814818</v>
      </c>
      <c r="C1740">
        <v>80</v>
      </c>
      <c r="D1740">
        <v>79.973602295000006</v>
      </c>
      <c r="E1740">
        <v>60</v>
      </c>
      <c r="F1740">
        <v>58.196632385000001</v>
      </c>
      <c r="G1740">
        <v>1340.5175781</v>
      </c>
      <c r="H1740">
        <v>1337.8880615</v>
      </c>
      <c r="I1740">
        <v>1327.0452881000001</v>
      </c>
      <c r="J1740">
        <v>1325.1964111</v>
      </c>
      <c r="K1740">
        <v>2750</v>
      </c>
      <c r="L1740">
        <v>0</v>
      </c>
      <c r="M1740">
        <v>0</v>
      </c>
      <c r="N1740">
        <v>2750</v>
      </c>
    </row>
    <row r="1741" spans="1:14" x14ac:dyDescent="0.25">
      <c r="A1741">
        <v>755.462177</v>
      </c>
      <c r="B1741" s="1">
        <f>DATE(2012,5,25) + TIME(11,5,32)</f>
        <v>41054.462175925924</v>
      </c>
      <c r="C1741">
        <v>80</v>
      </c>
      <c r="D1741">
        <v>79.973564147999994</v>
      </c>
      <c r="E1741">
        <v>60</v>
      </c>
      <c r="F1741">
        <v>58.170276641999997</v>
      </c>
      <c r="G1741">
        <v>1340.5106201000001</v>
      </c>
      <c r="H1741">
        <v>1337.8858643000001</v>
      </c>
      <c r="I1741">
        <v>1327.0340576000001</v>
      </c>
      <c r="J1741">
        <v>1325.1804199000001</v>
      </c>
      <c r="K1741">
        <v>2750</v>
      </c>
      <c r="L1741">
        <v>0</v>
      </c>
      <c r="M1741">
        <v>0</v>
      </c>
      <c r="N1741">
        <v>2750</v>
      </c>
    </row>
    <row r="1742" spans="1:14" x14ac:dyDescent="0.25">
      <c r="A1742">
        <v>755.96825799999999</v>
      </c>
      <c r="B1742" s="1">
        <f>DATE(2012,5,25) + TIME(23,14,17)</f>
        <v>41054.968252314815</v>
      </c>
      <c r="C1742">
        <v>80</v>
      </c>
      <c r="D1742">
        <v>79.973526000999996</v>
      </c>
      <c r="E1742">
        <v>60</v>
      </c>
      <c r="F1742">
        <v>58.143093108999999</v>
      </c>
      <c r="G1742">
        <v>1340.5036620999999</v>
      </c>
      <c r="H1742">
        <v>1337.8837891000001</v>
      </c>
      <c r="I1742">
        <v>1327.0225829999999</v>
      </c>
      <c r="J1742">
        <v>1325.1640625</v>
      </c>
      <c r="K1742">
        <v>2750</v>
      </c>
      <c r="L1742">
        <v>0</v>
      </c>
      <c r="M1742">
        <v>0</v>
      </c>
      <c r="N1742">
        <v>2750</v>
      </c>
    </row>
    <row r="1743" spans="1:14" x14ac:dyDescent="0.25">
      <c r="A1743">
        <v>756.48358599999995</v>
      </c>
      <c r="B1743" s="1">
        <f>DATE(2012,5,26) + TIME(11,36,21)</f>
        <v>41055.483576388891</v>
      </c>
      <c r="C1743">
        <v>80</v>
      </c>
      <c r="D1743">
        <v>79.973487853999998</v>
      </c>
      <c r="E1743">
        <v>60</v>
      </c>
      <c r="F1743">
        <v>58.115264893000003</v>
      </c>
      <c r="G1743">
        <v>1340.4968262</v>
      </c>
      <c r="H1743">
        <v>1337.8817139</v>
      </c>
      <c r="I1743">
        <v>1327.0106201000001</v>
      </c>
      <c r="J1743">
        <v>1325.1472168</v>
      </c>
      <c r="K1743">
        <v>2750</v>
      </c>
      <c r="L1743">
        <v>0</v>
      </c>
      <c r="M1743">
        <v>0</v>
      </c>
      <c r="N1743">
        <v>2750</v>
      </c>
    </row>
    <row r="1744" spans="1:14" x14ac:dyDescent="0.25">
      <c r="A1744">
        <v>757.01489800000002</v>
      </c>
      <c r="B1744" s="1">
        <f>DATE(2012,5,27) + TIME(0,21,27)</f>
        <v>41056.01489583333</v>
      </c>
      <c r="C1744">
        <v>80</v>
      </c>
      <c r="D1744">
        <v>79.973449707</v>
      </c>
      <c r="E1744">
        <v>60</v>
      </c>
      <c r="F1744">
        <v>58.086727142000001</v>
      </c>
      <c r="G1744">
        <v>1340.4898682</v>
      </c>
      <c r="H1744">
        <v>1337.8795166</v>
      </c>
      <c r="I1744">
        <v>1326.9985352000001</v>
      </c>
      <c r="J1744">
        <v>1325.1298827999999</v>
      </c>
      <c r="K1744">
        <v>2750</v>
      </c>
      <c r="L1744">
        <v>0</v>
      </c>
      <c r="M1744">
        <v>0</v>
      </c>
      <c r="N1744">
        <v>2750</v>
      </c>
    </row>
    <row r="1745" spans="1:14" x14ac:dyDescent="0.25">
      <c r="A1745">
        <v>757.55829300000005</v>
      </c>
      <c r="B1745" s="1">
        <f>DATE(2012,5,27) + TIME(13,23,56)</f>
        <v>41056.558287037034</v>
      </c>
      <c r="C1745">
        <v>80</v>
      </c>
      <c r="D1745">
        <v>79.973411560000002</v>
      </c>
      <c r="E1745">
        <v>60</v>
      </c>
      <c r="F1745">
        <v>58.057632446</v>
      </c>
      <c r="G1745">
        <v>1340.4830322</v>
      </c>
      <c r="H1745">
        <v>1337.8774414</v>
      </c>
      <c r="I1745">
        <v>1326.9860839999999</v>
      </c>
      <c r="J1745">
        <v>1325.1121826000001</v>
      </c>
      <c r="K1745">
        <v>2750</v>
      </c>
      <c r="L1745">
        <v>0</v>
      </c>
      <c r="M1745">
        <v>0</v>
      </c>
      <c r="N1745">
        <v>2750</v>
      </c>
    </row>
    <row r="1746" spans="1:14" x14ac:dyDescent="0.25">
      <c r="A1746">
        <v>758.11523999999997</v>
      </c>
      <c r="B1746" s="1">
        <f>DATE(2012,5,28) + TIME(2,45,56)</f>
        <v>41057.115231481483</v>
      </c>
      <c r="C1746">
        <v>80</v>
      </c>
      <c r="D1746">
        <v>79.973373413000004</v>
      </c>
      <c r="E1746">
        <v>60</v>
      </c>
      <c r="F1746">
        <v>58.027996063000003</v>
      </c>
      <c r="G1746">
        <v>1340.4760742000001</v>
      </c>
      <c r="H1746">
        <v>1337.8752440999999</v>
      </c>
      <c r="I1746">
        <v>1326.9732666</v>
      </c>
      <c r="J1746">
        <v>1325.0938721</v>
      </c>
      <c r="K1746">
        <v>2750</v>
      </c>
      <c r="L1746">
        <v>0</v>
      </c>
      <c r="M1746">
        <v>0</v>
      </c>
      <c r="N1746">
        <v>2750</v>
      </c>
    </row>
    <row r="1747" spans="1:14" x14ac:dyDescent="0.25">
      <c r="A1747">
        <v>758.68612700000006</v>
      </c>
      <c r="B1747" s="1">
        <f>DATE(2012,5,28) + TIME(16,28,1)</f>
        <v>41057.686122685183</v>
      </c>
      <c r="C1747">
        <v>80</v>
      </c>
      <c r="D1747">
        <v>79.973335266000007</v>
      </c>
      <c r="E1747">
        <v>60</v>
      </c>
      <c r="F1747">
        <v>57.997837066999999</v>
      </c>
      <c r="G1747">
        <v>1340.4691161999999</v>
      </c>
      <c r="H1747">
        <v>1337.8731689000001</v>
      </c>
      <c r="I1747">
        <v>1326.9602050999999</v>
      </c>
      <c r="J1747">
        <v>1325.0751952999999</v>
      </c>
      <c r="K1747">
        <v>2750</v>
      </c>
      <c r="L1747">
        <v>0</v>
      </c>
      <c r="M1747">
        <v>0</v>
      </c>
      <c r="N1747">
        <v>2750</v>
      </c>
    </row>
    <row r="1748" spans="1:14" x14ac:dyDescent="0.25">
      <c r="A1748">
        <v>759.27578500000004</v>
      </c>
      <c r="B1748" s="1">
        <f>DATE(2012,5,29) + TIME(6,37,7)</f>
        <v>41058.275775462964</v>
      </c>
      <c r="C1748">
        <v>80</v>
      </c>
      <c r="D1748">
        <v>79.973297118999994</v>
      </c>
      <c r="E1748">
        <v>60</v>
      </c>
      <c r="F1748">
        <v>57.967029572000001</v>
      </c>
      <c r="G1748">
        <v>1340.4620361</v>
      </c>
      <c r="H1748">
        <v>1337.8709716999999</v>
      </c>
      <c r="I1748">
        <v>1326.9467772999999</v>
      </c>
      <c r="J1748">
        <v>1325.0560303</v>
      </c>
      <c r="K1748">
        <v>2750</v>
      </c>
      <c r="L1748">
        <v>0</v>
      </c>
      <c r="M1748">
        <v>0</v>
      </c>
      <c r="N1748">
        <v>2750</v>
      </c>
    </row>
    <row r="1749" spans="1:14" x14ac:dyDescent="0.25">
      <c r="A1749">
        <v>759.88556100000005</v>
      </c>
      <c r="B1749" s="1">
        <f>DATE(2012,5,29) + TIME(21,15,12)</f>
        <v>41058.885555555556</v>
      </c>
      <c r="C1749">
        <v>80</v>
      </c>
      <c r="D1749">
        <v>79.973258971999996</v>
      </c>
      <c r="E1749">
        <v>60</v>
      </c>
      <c r="F1749">
        <v>57.935508728000002</v>
      </c>
      <c r="G1749">
        <v>1340.4549560999999</v>
      </c>
      <c r="H1749">
        <v>1337.8687743999999</v>
      </c>
      <c r="I1749">
        <v>1326.9328613</v>
      </c>
      <c r="J1749">
        <v>1325.0363769999999</v>
      </c>
      <c r="K1749">
        <v>2750</v>
      </c>
      <c r="L1749">
        <v>0</v>
      </c>
      <c r="M1749">
        <v>0</v>
      </c>
      <c r="N1749">
        <v>2750</v>
      </c>
    </row>
    <row r="1750" spans="1:14" x14ac:dyDescent="0.25">
      <c r="A1750">
        <v>760.517022</v>
      </c>
      <c r="B1750" s="1">
        <f>DATE(2012,5,30) + TIME(12,24,30)</f>
        <v>41059.517013888886</v>
      </c>
      <c r="C1750">
        <v>80</v>
      </c>
      <c r="D1750">
        <v>79.973220824999999</v>
      </c>
      <c r="E1750">
        <v>60</v>
      </c>
      <c r="F1750">
        <v>57.903217316000003</v>
      </c>
      <c r="G1750">
        <v>1340.4477539</v>
      </c>
      <c r="H1750">
        <v>1337.8665771000001</v>
      </c>
      <c r="I1750">
        <v>1326.9187012</v>
      </c>
      <c r="J1750">
        <v>1325.0159911999999</v>
      </c>
      <c r="K1750">
        <v>2750</v>
      </c>
      <c r="L1750">
        <v>0</v>
      </c>
      <c r="M1750">
        <v>0</v>
      </c>
      <c r="N1750">
        <v>2750</v>
      </c>
    </row>
    <row r="1751" spans="1:14" x14ac:dyDescent="0.25">
      <c r="A1751">
        <v>761.17466000000002</v>
      </c>
      <c r="B1751" s="1">
        <f>DATE(2012,5,31) + TIME(4,11,30)</f>
        <v>41060.17465277778</v>
      </c>
      <c r="C1751">
        <v>80</v>
      </c>
      <c r="D1751">
        <v>79.973182678000001</v>
      </c>
      <c r="E1751">
        <v>60</v>
      </c>
      <c r="F1751">
        <v>57.870006560999997</v>
      </c>
      <c r="G1751">
        <v>1340.4405518000001</v>
      </c>
      <c r="H1751">
        <v>1337.8642577999999</v>
      </c>
      <c r="I1751">
        <v>1326.9039307</v>
      </c>
      <c r="J1751">
        <v>1324.9949951000001</v>
      </c>
      <c r="K1751">
        <v>2750</v>
      </c>
      <c r="L1751">
        <v>0</v>
      </c>
      <c r="M1751">
        <v>0</v>
      </c>
      <c r="N1751">
        <v>2750</v>
      </c>
    </row>
    <row r="1752" spans="1:14" x14ac:dyDescent="0.25">
      <c r="A1752">
        <v>761.83741299999997</v>
      </c>
      <c r="B1752" s="1">
        <f>DATE(2012,5,31) + TIME(20,5,52)</f>
        <v>41060.837407407409</v>
      </c>
      <c r="C1752">
        <v>80</v>
      </c>
      <c r="D1752">
        <v>79.973144531000003</v>
      </c>
      <c r="E1752">
        <v>60</v>
      </c>
      <c r="F1752">
        <v>57.836387633999998</v>
      </c>
      <c r="G1752">
        <v>1340.4331055</v>
      </c>
      <c r="H1752">
        <v>1337.8619385</v>
      </c>
      <c r="I1752">
        <v>1326.8886719</v>
      </c>
      <c r="J1752">
        <v>1324.9732666</v>
      </c>
      <c r="K1752">
        <v>2750</v>
      </c>
      <c r="L1752">
        <v>0</v>
      </c>
      <c r="M1752">
        <v>0</v>
      </c>
      <c r="N1752">
        <v>2750</v>
      </c>
    </row>
    <row r="1753" spans="1:14" x14ac:dyDescent="0.25">
      <c r="A1753">
        <v>762</v>
      </c>
      <c r="B1753" s="1">
        <f>DATE(2012,6,1) + TIME(0,0,0)</f>
        <v>41061</v>
      </c>
      <c r="C1753">
        <v>80</v>
      </c>
      <c r="D1753">
        <v>79.973121642999999</v>
      </c>
      <c r="E1753">
        <v>60</v>
      </c>
      <c r="F1753">
        <v>57.82352066</v>
      </c>
      <c r="G1753">
        <v>1340.4257812000001</v>
      </c>
      <c r="H1753">
        <v>1337.8596190999999</v>
      </c>
      <c r="I1753">
        <v>1326.8751221</v>
      </c>
      <c r="J1753">
        <v>1324.9548339999999</v>
      </c>
      <c r="K1753">
        <v>2750</v>
      </c>
      <c r="L1753">
        <v>0</v>
      </c>
      <c r="M1753">
        <v>0</v>
      </c>
      <c r="N1753">
        <v>2750</v>
      </c>
    </row>
    <row r="1754" spans="1:14" x14ac:dyDescent="0.25">
      <c r="A1754">
        <v>762.66332299999999</v>
      </c>
      <c r="B1754" s="1">
        <f>DATE(2012,6,1) + TIME(15,55,11)</f>
        <v>41061.663321759261</v>
      </c>
      <c r="C1754">
        <v>80</v>
      </c>
      <c r="D1754">
        <v>79.973091124999996</v>
      </c>
      <c r="E1754">
        <v>60</v>
      </c>
      <c r="F1754">
        <v>57.792045592999997</v>
      </c>
      <c r="G1754">
        <v>1340.4239502</v>
      </c>
      <c r="H1754">
        <v>1337.8590088000001</v>
      </c>
      <c r="I1754">
        <v>1326.8686522999999</v>
      </c>
      <c r="J1754">
        <v>1324.9443358999999</v>
      </c>
      <c r="K1754">
        <v>2750</v>
      </c>
      <c r="L1754">
        <v>0</v>
      </c>
      <c r="M1754">
        <v>0</v>
      </c>
      <c r="N1754">
        <v>2750</v>
      </c>
    </row>
    <row r="1755" spans="1:14" x14ac:dyDescent="0.25">
      <c r="A1755">
        <v>763.33168000000001</v>
      </c>
      <c r="B1755" s="1">
        <f>DATE(2012,6,2) + TIME(7,57,37)</f>
        <v>41062.331678240742</v>
      </c>
      <c r="C1755">
        <v>80</v>
      </c>
      <c r="D1755">
        <v>79.973060607999997</v>
      </c>
      <c r="E1755">
        <v>60</v>
      </c>
      <c r="F1755">
        <v>57.759532927999999</v>
      </c>
      <c r="G1755">
        <v>1340.4168701000001</v>
      </c>
      <c r="H1755">
        <v>1337.8568115</v>
      </c>
      <c r="I1755">
        <v>1326.8536377</v>
      </c>
      <c r="J1755">
        <v>1324.9229736</v>
      </c>
      <c r="K1755">
        <v>2750</v>
      </c>
      <c r="L1755">
        <v>0</v>
      </c>
      <c r="M1755">
        <v>0</v>
      </c>
      <c r="N1755">
        <v>2750</v>
      </c>
    </row>
    <row r="1756" spans="1:14" x14ac:dyDescent="0.25">
      <c r="A1756">
        <v>764.00460099999998</v>
      </c>
      <c r="B1756" s="1">
        <f>DATE(2012,6,3) + TIME(0,6,37)</f>
        <v>41063.004594907405</v>
      </c>
      <c r="C1756">
        <v>80</v>
      </c>
      <c r="D1756">
        <v>79.973022460999999</v>
      </c>
      <c r="E1756">
        <v>60</v>
      </c>
      <c r="F1756">
        <v>57.726505279999998</v>
      </c>
      <c r="G1756">
        <v>1340.4097899999999</v>
      </c>
      <c r="H1756">
        <v>1337.8544922000001</v>
      </c>
      <c r="I1756">
        <v>1326.8382568</v>
      </c>
      <c r="J1756">
        <v>1324.9012451000001</v>
      </c>
      <c r="K1756">
        <v>2750</v>
      </c>
      <c r="L1756">
        <v>0</v>
      </c>
      <c r="M1756">
        <v>0</v>
      </c>
      <c r="N1756">
        <v>2750</v>
      </c>
    </row>
    <row r="1757" spans="1:14" x14ac:dyDescent="0.25">
      <c r="A1757">
        <v>764.68187999999998</v>
      </c>
      <c r="B1757" s="1">
        <f>DATE(2012,6,3) + TIME(16,21,54)</f>
        <v>41063.681875000002</v>
      </c>
      <c r="C1757">
        <v>80</v>
      </c>
      <c r="D1757">
        <v>79.972991942999997</v>
      </c>
      <c r="E1757">
        <v>60</v>
      </c>
      <c r="F1757">
        <v>57.693252563000001</v>
      </c>
      <c r="G1757">
        <v>1340.402832</v>
      </c>
      <c r="H1757">
        <v>1337.8522949000001</v>
      </c>
      <c r="I1757">
        <v>1326.8227539</v>
      </c>
      <c r="J1757">
        <v>1324.8791504000001</v>
      </c>
      <c r="K1757">
        <v>2750</v>
      </c>
      <c r="L1757">
        <v>0</v>
      </c>
      <c r="M1757">
        <v>0</v>
      </c>
      <c r="N1757">
        <v>2750</v>
      </c>
    </row>
    <row r="1758" spans="1:14" x14ac:dyDescent="0.25">
      <c r="A1758">
        <v>765.366175</v>
      </c>
      <c r="B1758" s="1">
        <f>DATE(2012,6,4) + TIME(8,47,17)</f>
        <v>41064.366168981483</v>
      </c>
      <c r="C1758">
        <v>80</v>
      </c>
      <c r="D1758">
        <v>79.972953795999999</v>
      </c>
      <c r="E1758">
        <v>60</v>
      </c>
      <c r="F1758">
        <v>57.659851074000002</v>
      </c>
      <c r="G1758">
        <v>1340.3959961</v>
      </c>
      <c r="H1758">
        <v>1337.8500977000001</v>
      </c>
      <c r="I1758">
        <v>1326.8071289</v>
      </c>
      <c r="J1758">
        <v>1324.8568115</v>
      </c>
      <c r="K1758">
        <v>2750</v>
      </c>
      <c r="L1758">
        <v>0</v>
      </c>
      <c r="M1758">
        <v>0</v>
      </c>
      <c r="N1758">
        <v>2750</v>
      </c>
    </row>
    <row r="1759" spans="1:14" x14ac:dyDescent="0.25">
      <c r="A1759">
        <v>766.06059700000003</v>
      </c>
      <c r="B1759" s="1">
        <f>DATE(2012,6,5) + TIME(1,27,15)</f>
        <v>41065.060590277775</v>
      </c>
      <c r="C1759">
        <v>80</v>
      </c>
      <c r="D1759">
        <v>79.972923279</v>
      </c>
      <c r="E1759">
        <v>60</v>
      </c>
      <c r="F1759">
        <v>57.626274109000001</v>
      </c>
      <c r="G1759">
        <v>1340.3891602000001</v>
      </c>
      <c r="H1759">
        <v>1337.8479004000001</v>
      </c>
      <c r="I1759">
        <v>1326.7913818</v>
      </c>
      <c r="J1759">
        <v>1324.8342285000001</v>
      </c>
      <c r="K1759">
        <v>2750</v>
      </c>
      <c r="L1759">
        <v>0</v>
      </c>
      <c r="M1759">
        <v>0</v>
      </c>
      <c r="N1759">
        <v>2750</v>
      </c>
    </row>
    <row r="1760" spans="1:14" x14ac:dyDescent="0.25">
      <c r="A1760">
        <v>766.76805400000001</v>
      </c>
      <c r="B1760" s="1">
        <f>DATE(2012,6,5) + TIME(18,25,59)</f>
        <v>41065.768043981479</v>
      </c>
      <c r="C1760">
        <v>80</v>
      </c>
      <c r="D1760">
        <v>79.972885132000002</v>
      </c>
      <c r="E1760">
        <v>60</v>
      </c>
      <c r="F1760">
        <v>57.592445374</v>
      </c>
      <c r="G1760">
        <v>1340.3824463000001</v>
      </c>
      <c r="H1760">
        <v>1337.8457031</v>
      </c>
      <c r="I1760">
        <v>1326.7755127</v>
      </c>
      <c r="J1760">
        <v>1324.8115233999999</v>
      </c>
      <c r="K1760">
        <v>2750</v>
      </c>
      <c r="L1760">
        <v>0</v>
      </c>
      <c r="M1760">
        <v>0</v>
      </c>
      <c r="N1760">
        <v>2750</v>
      </c>
    </row>
    <row r="1761" spans="1:14" x14ac:dyDescent="0.25">
      <c r="A1761">
        <v>767.494507</v>
      </c>
      <c r="B1761" s="1">
        <f>DATE(2012,6,6) + TIME(11,52,5)</f>
        <v>41066.494502314818</v>
      </c>
      <c r="C1761">
        <v>80</v>
      </c>
      <c r="D1761">
        <v>79.972854613999999</v>
      </c>
      <c r="E1761">
        <v>60</v>
      </c>
      <c r="F1761">
        <v>57.558189392000003</v>
      </c>
      <c r="G1761">
        <v>1340.3757324000001</v>
      </c>
      <c r="H1761">
        <v>1337.8435059000001</v>
      </c>
      <c r="I1761">
        <v>1326.7592772999999</v>
      </c>
      <c r="J1761">
        <v>1324.7883300999999</v>
      </c>
      <c r="K1761">
        <v>2750</v>
      </c>
      <c r="L1761">
        <v>0</v>
      </c>
      <c r="M1761">
        <v>0</v>
      </c>
      <c r="N1761">
        <v>2750</v>
      </c>
    </row>
    <row r="1762" spans="1:14" x14ac:dyDescent="0.25">
      <c r="A1762">
        <v>768.24866899999995</v>
      </c>
      <c r="B1762" s="1">
        <f>DATE(2012,6,7) + TIME(5,58,4)</f>
        <v>41067.248657407406</v>
      </c>
      <c r="C1762">
        <v>80</v>
      </c>
      <c r="D1762">
        <v>79.972816467000001</v>
      </c>
      <c r="E1762">
        <v>60</v>
      </c>
      <c r="F1762">
        <v>57.523231506000002</v>
      </c>
      <c r="G1762">
        <v>1340.3688964999999</v>
      </c>
      <c r="H1762">
        <v>1337.8411865</v>
      </c>
      <c r="I1762">
        <v>1326.7427978999999</v>
      </c>
      <c r="J1762">
        <v>1324.7647704999999</v>
      </c>
      <c r="K1762">
        <v>2750</v>
      </c>
      <c r="L1762">
        <v>0</v>
      </c>
      <c r="M1762">
        <v>0</v>
      </c>
      <c r="N1762">
        <v>2750</v>
      </c>
    </row>
    <row r="1763" spans="1:14" x14ac:dyDescent="0.25">
      <c r="A1763">
        <v>769.00905999999998</v>
      </c>
      <c r="B1763" s="1">
        <f>DATE(2012,6,8) + TIME(0,13,2)</f>
        <v>41068.009050925924</v>
      </c>
      <c r="C1763">
        <v>80</v>
      </c>
      <c r="D1763">
        <v>79.972785950000002</v>
      </c>
      <c r="E1763">
        <v>60</v>
      </c>
      <c r="F1763">
        <v>57.487911224000001</v>
      </c>
      <c r="G1763">
        <v>1340.3619385</v>
      </c>
      <c r="H1763">
        <v>1337.8389893000001</v>
      </c>
      <c r="I1763">
        <v>1326.7258300999999</v>
      </c>
      <c r="J1763">
        <v>1324.7404785000001</v>
      </c>
      <c r="K1763">
        <v>2750</v>
      </c>
      <c r="L1763">
        <v>0</v>
      </c>
      <c r="M1763">
        <v>0</v>
      </c>
      <c r="N1763">
        <v>2750</v>
      </c>
    </row>
    <row r="1764" spans="1:14" x14ac:dyDescent="0.25">
      <c r="A1764">
        <v>769.77833999999996</v>
      </c>
      <c r="B1764" s="1">
        <f>DATE(2012,6,8) + TIME(18,40,48)</f>
        <v>41068.778333333335</v>
      </c>
      <c r="C1764">
        <v>80</v>
      </c>
      <c r="D1764">
        <v>79.972755432</v>
      </c>
      <c r="E1764">
        <v>60</v>
      </c>
      <c r="F1764">
        <v>57.452373504999997</v>
      </c>
      <c r="G1764">
        <v>1340.3551024999999</v>
      </c>
      <c r="H1764">
        <v>1337.8366699000001</v>
      </c>
      <c r="I1764">
        <v>1326.7086182</v>
      </c>
      <c r="J1764">
        <v>1324.7159423999999</v>
      </c>
      <c r="K1764">
        <v>2750</v>
      </c>
      <c r="L1764">
        <v>0</v>
      </c>
      <c r="M1764">
        <v>0</v>
      </c>
      <c r="N1764">
        <v>2750</v>
      </c>
    </row>
    <row r="1765" spans="1:14" x14ac:dyDescent="0.25">
      <c r="A1765">
        <v>770.559485</v>
      </c>
      <c r="B1765" s="1">
        <f>DATE(2012,6,9) + TIME(13,25,39)</f>
        <v>41069.559479166666</v>
      </c>
      <c r="C1765">
        <v>80</v>
      </c>
      <c r="D1765">
        <v>79.972724915000001</v>
      </c>
      <c r="E1765">
        <v>60</v>
      </c>
      <c r="F1765">
        <v>57.416614531999997</v>
      </c>
      <c r="G1765">
        <v>1340.3483887</v>
      </c>
      <c r="H1765">
        <v>1337.8343506000001</v>
      </c>
      <c r="I1765">
        <v>1326.6914062000001</v>
      </c>
      <c r="J1765">
        <v>1324.6911620999999</v>
      </c>
      <c r="K1765">
        <v>2750</v>
      </c>
      <c r="L1765">
        <v>0</v>
      </c>
      <c r="M1765">
        <v>0</v>
      </c>
      <c r="N1765">
        <v>2750</v>
      </c>
    </row>
    <row r="1766" spans="1:14" x14ac:dyDescent="0.25">
      <c r="A1766">
        <v>771.35549500000002</v>
      </c>
      <c r="B1766" s="1">
        <f>DATE(2012,6,10) + TIME(8,31,54)</f>
        <v>41070.355486111112</v>
      </c>
      <c r="C1766">
        <v>80</v>
      </c>
      <c r="D1766">
        <v>79.972694396999998</v>
      </c>
      <c r="E1766">
        <v>60</v>
      </c>
      <c r="F1766">
        <v>57.380565642999997</v>
      </c>
      <c r="G1766">
        <v>1340.3416748</v>
      </c>
      <c r="H1766">
        <v>1337.8320312000001</v>
      </c>
      <c r="I1766">
        <v>1326.6738281</v>
      </c>
      <c r="J1766">
        <v>1324.6661377</v>
      </c>
      <c r="K1766">
        <v>2750</v>
      </c>
      <c r="L1766">
        <v>0</v>
      </c>
      <c r="M1766">
        <v>0</v>
      </c>
      <c r="N1766">
        <v>2750</v>
      </c>
    </row>
    <row r="1767" spans="1:14" x14ac:dyDescent="0.25">
      <c r="A1767">
        <v>772.16887599999995</v>
      </c>
      <c r="B1767" s="1">
        <f>DATE(2012,6,11) + TIME(4,3,10)</f>
        <v>41071.168865740743</v>
      </c>
      <c r="C1767">
        <v>80</v>
      </c>
      <c r="D1767">
        <v>79.972663878999995</v>
      </c>
      <c r="E1767">
        <v>60</v>
      </c>
      <c r="F1767">
        <v>57.344142914000003</v>
      </c>
      <c r="G1767">
        <v>1340.3348389</v>
      </c>
      <c r="H1767">
        <v>1337.8297118999999</v>
      </c>
      <c r="I1767">
        <v>1326.6561279</v>
      </c>
      <c r="J1767">
        <v>1324.6407471</v>
      </c>
      <c r="K1767">
        <v>2750</v>
      </c>
      <c r="L1767">
        <v>0</v>
      </c>
      <c r="M1767">
        <v>0</v>
      </c>
      <c r="N1767">
        <v>2750</v>
      </c>
    </row>
    <row r="1768" spans="1:14" x14ac:dyDescent="0.25">
      <c r="A1768">
        <v>773.00269700000001</v>
      </c>
      <c r="B1768" s="1">
        <f>DATE(2012,6,12) + TIME(0,3,52)</f>
        <v>41072.002685185187</v>
      </c>
      <c r="C1768">
        <v>80</v>
      </c>
      <c r="D1768">
        <v>79.972633361999996</v>
      </c>
      <c r="E1768">
        <v>60</v>
      </c>
      <c r="F1768">
        <v>57.307239531999997</v>
      </c>
      <c r="G1768">
        <v>1340.328125</v>
      </c>
      <c r="H1768">
        <v>1337.8273925999999</v>
      </c>
      <c r="I1768">
        <v>1326.6380615</v>
      </c>
      <c r="J1768">
        <v>1324.6148682</v>
      </c>
      <c r="K1768">
        <v>2750</v>
      </c>
      <c r="L1768">
        <v>0</v>
      </c>
      <c r="M1768">
        <v>0</v>
      </c>
      <c r="N1768">
        <v>2750</v>
      </c>
    </row>
    <row r="1769" spans="1:14" x14ac:dyDescent="0.25">
      <c r="A1769">
        <v>773.86040000000003</v>
      </c>
      <c r="B1769" s="1">
        <f>DATE(2012,6,12) + TIME(20,38,58)</f>
        <v>41072.860393518517</v>
      </c>
      <c r="C1769">
        <v>80</v>
      </c>
      <c r="D1769">
        <v>79.972602843999994</v>
      </c>
      <c r="E1769">
        <v>60</v>
      </c>
      <c r="F1769">
        <v>57.269729613999999</v>
      </c>
      <c r="G1769">
        <v>1340.3212891000001</v>
      </c>
      <c r="H1769">
        <v>1337.8250731999999</v>
      </c>
      <c r="I1769">
        <v>1326.619751</v>
      </c>
      <c r="J1769">
        <v>1324.588501</v>
      </c>
      <c r="K1769">
        <v>2750</v>
      </c>
      <c r="L1769">
        <v>0</v>
      </c>
      <c r="M1769">
        <v>0</v>
      </c>
      <c r="N1769">
        <v>2750</v>
      </c>
    </row>
    <row r="1770" spans="1:14" x14ac:dyDescent="0.25">
      <c r="A1770">
        <v>774.73383899999999</v>
      </c>
      <c r="B1770" s="1">
        <f>DATE(2012,6,13) + TIME(17,36,43)</f>
        <v>41073.733831018515</v>
      </c>
      <c r="C1770">
        <v>80</v>
      </c>
      <c r="D1770">
        <v>79.972572326999995</v>
      </c>
      <c r="E1770">
        <v>60</v>
      </c>
      <c r="F1770">
        <v>57.231712340999998</v>
      </c>
      <c r="G1770">
        <v>1340.3144531</v>
      </c>
      <c r="H1770">
        <v>1337.8226318</v>
      </c>
      <c r="I1770">
        <v>1326.6009521000001</v>
      </c>
      <c r="J1770">
        <v>1324.5616454999999</v>
      </c>
      <c r="K1770">
        <v>2750</v>
      </c>
      <c r="L1770">
        <v>0</v>
      </c>
      <c r="M1770">
        <v>0</v>
      </c>
      <c r="N1770">
        <v>2750</v>
      </c>
    </row>
    <row r="1771" spans="1:14" x14ac:dyDescent="0.25">
      <c r="A1771">
        <v>775.61760500000003</v>
      </c>
      <c r="B1771" s="1">
        <f>DATE(2012,6,14) + TIME(14,49,21)</f>
        <v>41074.617604166669</v>
      </c>
      <c r="C1771">
        <v>80</v>
      </c>
      <c r="D1771">
        <v>79.972541809000006</v>
      </c>
      <c r="E1771">
        <v>60</v>
      </c>
      <c r="F1771">
        <v>57.193367004000002</v>
      </c>
      <c r="G1771">
        <v>1340.3076172000001</v>
      </c>
      <c r="H1771">
        <v>1337.8203125</v>
      </c>
      <c r="I1771">
        <v>1326.5819091999999</v>
      </c>
      <c r="J1771">
        <v>1324.5344238</v>
      </c>
      <c r="K1771">
        <v>2750</v>
      </c>
      <c r="L1771">
        <v>0</v>
      </c>
      <c r="M1771">
        <v>0</v>
      </c>
      <c r="N1771">
        <v>2750</v>
      </c>
    </row>
    <row r="1772" spans="1:14" x14ac:dyDescent="0.25">
      <c r="A1772">
        <v>776.51599999999996</v>
      </c>
      <c r="B1772" s="1">
        <f>DATE(2012,6,15) + TIME(12,23,2)</f>
        <v>41075.51599537037</v>
      </c>
      <c r="C1772">
        <v>80</v>
      </c>
      <c r="D1772">
        <v>79.972511291999993</v>
      </c>
      <c r="E1772">
        <v>60</v>
      </c>
      <c r="F1772">
        <v>57.154727936</v>
      </c>
      <c r="G1772">
        <v>1340.3009033000001</v>
      </c>
      <c r="H1772">
        <v>1337.8178711</v>
      </c>
      <c r="I1772">
        <v>1326.5627440999999</v>
      </c>
      <c r="J1772">
        <v>1324.5069579999999</v>
      </c>
      <c r="K1772">
        <v>2750</v>
      </c>
      <c r="L1772">
        <v>0</v>
      </c>
      <c r="M1772">
        <v>0</v>
      </c>
      <c r="N1772">
        <v>2750</v>
      </c>
    </row>
    <row r="1773" spans="1:14" x14ac:dyDescent="0.25">
      <c r="A1773">
        <v>777.43376999999998</v>
      </c>
      <c r="B1773" s="1">
        <f>DATE(2012,6,16) + TIME(10,24,37)</f>
        <v>41076.433761574073</v>
      </c>
      <c r="C1773">
        <v>80</v>
      </c>
      <c r="D1773">
        <v>79.972480774000005</v>
      </c>
      <c r="E1773">
        <v>60</v>
      </c>
      <c r="F1773">
        <v>57.115699767999999</v>
      </c>
      <c r="G1773">
        <v>1340.2940673999999</v>
      </c>
      <c r="H1773">
        <v>1337.8154297000001</v>
      </c>
      <c r="I1773">
        <v>1326.5433350000001</v>
      </c>
      <c r="J1773">
        <v>1324.479126</v>
      </c>
      <c r="K1773">
        <v>2750</v>
      </c>
      <c r="L1773">
        <v>0</v>
      </c>
      <c r="M1773">
        <v>0</v>
      </c>
      <c r="N1773">
        <v>2750</v>
      </c>
    </row>
    <row r="1774" spans="1:14" x14ac:dyDescent="0.25">
      <c r="A1774">
        <v>778.37432799999999</v>
      </c>
      <c r="B1774" s="1">
        <f>DATE(2012,6,17) + TIME(8,59,1)</f>
        <v>41077.37431712963</v>
      </c>
      <c r="C1774">
        <v>80</v>
      </c>
      <c r="D1774">
        <v>79.972457886000001</v>
      </c>
      <c r="E1774">
        <v>60</v>
      </c>
      <c r="F1774">
        <v>57.076152802000003</v>
      </c>
      <c r="G1774">
        <v>1340.2873535000001</v>
      </c>
      <c r="H1774">
        <v>1337.8129882999999</v>
      </c>
      <c r="I1774">
        <v>1326.5235596</v>
      </c>
      <c r="J1774">
        <v>1324.4508057</v>
      </c>
      <c r="K1774">
        <v>2750</v>
      </c>
      <c r="L1774">
        <v>0</v>
      </c>
      <c r="M1774">
        <v>0</v>
      </c>
      <c r="N1774">
        <v>2750</v>
      </c>
    </row>
    <row r="1775" spans="1:14" x14ac:dyDescent="0.25">
      <c r="A1775">
        <v>779.335016</v>
      </c>
      <c r="B1775" s="1">
        <f>DATE(2012,6,18) + TIME(8,2,25)</f>
        <v>41078.335011574076</v>
      </c>
      <c r="C1775">
        <v>80</v>
      </c>
      <c r="D1775">
        <v>79.972427367999998</v>
      </c>
      <c r="E1775">
        <v>60</v>
      </c>
      <c r="F1775">
        <v>57.036067963000001</v>
      </c>
      <c r="G1775">
        <v>1340.2805175999999</v>
      </c>
      <c r="H1775">
        <v>1337.8105469</v>
      </c>
      <c r="I1775">
        <v>1326.5035399999999</v>
      </c>
      <c r="J1775">
        <v>1324.4221190999999</v>
      </c>
      <c r="K1775">
        <v>2750</v>
      </c>
      <c r="L1775">
        <v>0</v>
      </c>
      <c r="M1775">
        <v>0</v>
      </c>
      <c r="N1775">
        <v>2750</v>
      </c>
    </row>
    <row r="1776" spans="1:14" x14ac:dyDescent="0.25">
      <c r="A1776">
        <v>780.32077900000002</v>
      </c>
      <c r="B1776" s="1">
        <f>DATE(2012,6,19) + TIME(7,41,55)</f>
        <v>41079.320775462962</v>
      </c>
      <c r="C1776">
        <v>80</v>
      </c>
      <c r="D1776">
        <v>79.972404479999994</v>
      </c>
      <c r="E1776">
        <v>60</v>
      </c>
      <c r="F1776">
        <v>56.995361328000001</v>
      </c>
      <c r="G1776">
        <v>1340.2738036999999</v>
      </c>
      <c r="H1776">
        <v>1337.8081055</v>
      </c>
      <c r="I1776">
        <v>1326.4832764</v>
      </c>
      <c r="J1776">
        <v>1324.3929443</v>
      </c>
      <c r="K1776">
        <v>2750</v>
      </c>
      <c r="L1776">
        <v>0</v>
      </c>
      <c r="M1776">
        <v>0</v>
      </c>
      <c r="N1776">
        <v>2750</v>
      </c>
    </row>
    <row r="1777" spans="1:14" x14ac:dyDescent="0.25">
      <c r="A1777">
        <v>781.33481600000005</v>
      </c>
      <c r="B1777" s="1">
        <f>DATE(2012,6,20) + TIME(8,2,8)</f>
        <v>41080.334814814814</v>
      </c>
      <c r="C1777">
        <v>80</v>
      </c>
      <c r="D1777">
        <v>79.972373962000006</v>
      </c>
      <c r="E1777">
        <v>60</v>
      </c>
      <c r="F1777">
        <v>56.953926086000003</v>
      </c>
      <c r="G1777">
        <v>1340.2669678</v>
      </c>
      <c r="H1777">
        <v>1337.8055420000001</v>
      </c>
      <c r="I1777">
        <v>1326.4625243999999</v>
      </c>
      <c r="J1777">
        <v>1324.3631591999999</v>
      </c>
      <c r="K1777">
        <v>2750</v>
      </c>
      <c r="L1777">
        <v>0</v>
      </c>
      <c r="M1777">
        <v>0</v>
      </c>
      <c r="N1777">
        <v>2750</v>
      </c>
    </row>
    <row r="1778" spans="1:14" x14ac:dyDescent="0.25">
      <c r="A1778">
        <v>782.37224300000003</v>
      </c>
      <c r="B1778" s="1">
        <f>DATE(2012,6,21) + TIME(8,56,1)</f>
        <v>41081.372233796297</v>
      </c>
      <c r="C1778">
        <v>80</v>
      </c>
      <c r="D1778">
        <v>79.972351074000002</v>
      </c>
      <c r="E1778">
        <v>60</v>
      </c>
      <c r="F1778">
        <v>56.911762238000001</v>
      </c>
      <c r="G1778">
        <v>1340.2600098</v>
      </c>
      <c r="H1778">
        <v>1337.8029785000001</v>
      </c>
      <c r="I1778">
        <v>1326.4414062000001</v>
      </c>
      <c r="J1778">
        <v>1324.3328856999999</v>
      </c>
      <c r="K1778">
        <v>2750</v>
      </c>
      <c r="L1778">
        <v>0</v>
      </c>
      <c r="M1778">
        <v>0</v>
      </c>
      <c r="N1778">
        <v>2750</v>
      </c>
    </row>
    <row r="1779" spans="1:14" x14ac:dyDescent="0.25">
      <c r="A1779">
        <v>783.45425299999999</v>
      </c>
      <c r="B1779" s="1">
        <f>DATE(2012,6,22) + TIME(10,54,7)</f>
        <v>41082.454247685186</v>
      </c>
      <c r="C1779">
        <v>80</v>
      </c>
      <c r="D1779">
        <v>79.972328185999999</v>
      </c>
      <c r="E1779">
        <v>60</v>
      </c>
      <c r="F1779">
        <v>56.868587494000003</v>
      </c>
      <c r="G1779">
        <v>1340.2531738</v>
      </c>
      <c r="H1779">
        <v>1337.8004149999999</v>
      </c>
      <c r="I1779">
        <v>1326.4199219</v>
      </c>
      <c r="J1779">
        <v>1324.3020019999999</v>
      </c>
      <c r="K1779">
        <v>2750</v>
      </c>
      <c r="L1779">
        <v>0</v>
      </c>
      <c r="M1779">
        <v>0</v>
      </c>
      <c r="N1779">
        <v>2750</v>
      </c>
    </row>
    <row r="1780" spans="1:14" x14ac:dyDescent="0.25">
      <c r="A1780">
        <v>784.54472499999997</v>
      </c>
      <c r="B1780" s="1">
        <f>DATE(2012,6,23) + TIME(13,4,24)</f>
        <v>41083.544722222221</v>
      </c>
      <c r="C1780">
        <v>80</v>
      </c>
      <c r="D1780">
        <v>79.972297667999996</v>
      </c>
      <c r="E1780">
        <v>60</v>
      </c>
      <c r="F1780">
        <v>56.824661255000002</v>
      </c>
      <c r="G1780">
        <v>1340.2460937999999</v>
      </c>
      <c r="H1780">
        <v>1337.7977295000001</v>
      </c>
      <c r="I1780">
        <v>1326.3978271000001</v>
      </c>
      <c r="J1780">
        <v>1324.2702637</v>
      </c>
      <c r="K1780">
        <v>2750</v>
      </c>
      <c r="L1780">
        <v>0</v>
      </c>
      <c r="M1780">
        <v>0</v>
      </c>
      <c r="N1780">
        <v>2750</v>
      </c>
    </row>
    <row r="1781" spans="1:14" x14ac:dyDescent="0.25">
      <c r="A1781">
        <v>785.63906199999997</v>
      </c>
      <c r="B1781" s="1">
        <f>DATE(2012,6,24) + TIME(15,20,14)</f>
        <v>41084.639050925929</v>
      </c>
      <c r="C1781">
        <v>80</v>
      </c>
      <c r="D1781">
        <v>79.972274780000006</v>
      </c>
      <c r="E1781">
        <v>60</v>
      </c>
      <c r="F1781">
        <v>56.780483246000003</v>
      </c>
      <c r="G1781">
        <v>1340.2391356999999</v>
      </c>
      <c r="H1781">
        <v>1337.7950439000001</v>
      </c>
      <c r="I1781">
        <v>1326.3756103999999</v>
      </c>
      <c r="J1781">
        <v>1324.2382812000001</v>
      </c>
      <c r="K1781">
        <v>2750</v>
      </c>
      <c r="L1781">
        <v>0</v>
      </c>
      <c r="M1781">
        <v>0</v>
      </c>
      <c r="N1781">
        <v>2750</v>
      </c>
    </row>
    <row r="1782" spans="1:14" x14ac:dyDescent="0.25">
      <c r="A1782">
        <v>786.74150399999996</v>
      </c>
      <c r="B1782" s="1">
        <f>DATE(2012,6,25) + TIME(17,47,45)</f>
        <v>41085.741493055553</v>
      </c>
      <c r="C1782">
        <v>80</v>
      </c>
      <c r="D1782">
        <v>79.972251892000003</v>
      </c>
      <c r="E1782">
        <v>60</v>
      </c>
      <c r="F1782">
        <v>56.736228943</v>
      </c>
      <c r="G1782">
        <v>1340.2322998</v>
      </c>
      <c r="H1782">
        <v>1337.7923584</v>
      </c>
      <c r="I1782">
        <v>1326.3533935999999</v>
      </c>
      <c r="J1782">
        <v>1324.2062988</v>
      </c>
      <c r="K1782">
        <v>2750</v>
      </c>
      <c r="L1782">
        <v>0</v>
      </c>
      <c r="M1782">
        <v>0</v>
      </c>
      <c r="N1782">
        <v>2750</v>
      </c>
    </row>
    <row r="1783" spans="1:14" x14ac:dyDescent="0.25">
      <c r="A1783">
        <v>787.85643000000005</v>
      </c>
      <c r="B1783" s="1">
        <f>DATE(2012,6,26) + TIME(20,33,15)</f>
        <v>41086.856423611112</v>
      </c>
      <c r="C1783">
        <v>80</v>
      </c>
      <c r="D1783">
        <v>79.972229003999999</v>
      </c>
      <c r="E1783">
        <v>60</v>
      </c>
      <c r="F1783">
        <v>56.691841125000003</v>
      </c>
      <c r="G1783">
        <v>1340.2254639</v>
      </c>
      <c r="H1783">
        <v>1337.7896728999999</v>
      </c>
      <c r="I1783">
        <v>1326.3311768000001</v>
      </c>
      <c r="J1783">
        <v>1324.1743164</v>
      </c>
      <c r="K1783">
        <v>2750</v>
      </c>
      <c r="L1783">
        <v>0</v>
      </c>
      <c r="M1783">
        <v>0</v>
      </c>
      <c r="N1783">
        <v>2750</v>
      </c>
    </row>
    <row r="1784" spans="1:14" x14ac:dyDescent="0.25">
      <c r="A1784">
        <v>788.98810200000003</v>
      </c>
      <c r="B1784" s="1">
        <f>DATE(2012,6,27) + TIME(23,42,52)</f>
        <v>41087.98810185185</v>
      </c>
      <c r="C1784">
        <v>80</v>
      </c>
      <c r="D1784">
        <v>79.972206115999995</v>
      </c>
      <c r="E1784">
        <v>60</v>
      </c>
      <c r="F1784">
        <v>56.647186279000003</v>
      </c>
      <c r="G1784">
        <v>1340.2188721</v>
      </c>
      <c r="H1784">
        <v>1337.7871094</v>
      </c>
      <c r="I1784">
        <v>1326.3089600000001</v>
      </c>
      <c r="J1784">
        <v>1324.1423339999999</v>
      </c>
      <c r="K1784">
        <v>2750</v>
      </c>
      <c r="L1784">
        <v>0</v>
      </c>
      <c r="M1784">
        <v>0</v>
      </c>
      <c r="N1784">
        <v>2750</v>
      </c>
    </row>
    <row r="1785" spans="1:14" x14ac:dyDescent="0.25">
      <c r="A1785">
        <v>790.14099799999997</v>
      </c>
      <c r="B1785" s="1">
        <f>DATE(2012,6,29) + TIME(3,23,2)</f>
        <v>41089.14099537037</v>
      </c>
      <c r="C1785">
        <v>80</v>
      </c>
      <c r="D1785">
        <v>79.972190857000001</v>
      </c>
      <c r="E1785">
        <v>60</v>
      </c>
      <c r="F1785">
        <v>56.602096558</v>
      </c>
      <c r="G1785">
        <v>1340.2121582</v>
      </c>
      <c r="H1785">
        <v>1337.7844238</v>
      </c>
      <c r="I1785">
        <v>1326.2866211</v>
      </c>
      <c r="J1785">
        <v>1324.1099853999999</v>
      </c>
      <c r="K1785">
        <v>2750</v>
      </c>
      <c r="L1785">
        <v>0</v>
      </c>
      <c r="M1785">
        <v>0</v>
      </c>
      <c r="N1785">
        <v>2750</v>
      </c>
    </row>
    <row r="1786" spans="1:14" x14ac:dyDescent="0.25">
      <c r="A1786">
        <v>791.32008399999995</v>
      </c>
      <c r="B1786" s="1">
        <f>DATE(2012,6,30) + TIME(7,40,55)</f>
        <v>41090.320081018515</v>
      </c>
      <c r="C1786">
        <v>80</v>
      </c>
      <c r="D1786">
        <v>79.972167968999997</v>
      </c>
      <c r="E1786">
        <v>60</v>
      </c>
      <c r="F1786">
        <v>56.556392670000001</v>
      </c>
      <c r="G1786">
        <v>1340.2055664</v>
      </c>
      <c r="H1786">
        <v>1337.7817382999999</v>
      </c>
      <c r="I1786">
        <v>1326.2640381000001</v>
      </c>
      <c r="J1786">
        <v>1324.0775146000001</v>
      </c>
      <c r="K1786">
        <v>2750</v>
      </c>
      <c r="L1786">
        <v>0</v>
      </c>
      <c r="M1786">
        <v>0</v>
      </c>
      <c r="N1786">
        <v>2750</v>
      </c>
    </row>
    <row r="1787" spans="1:14" x14ac:dyDescent="0.25">
      <c r="A1787">
        <v>792</v>
      </c>
      <c r="B1787" s="1">
        <f>DATE(2012,7,1) + TIME(0,0,0)</f>
        <v>41091</v>
      </c>
      <c r="C1787">
        <v>80</v>
      </c>
      <c r="D1787">
        <v>79.972145080999994</v>
      </c>
      <c r="E1787">
        <v>60</v>
      </c>
      <c r="F1787">
        <v>56.519893646</v>
      </c>
      <c r="G1787">
        <v>1340.1988524999999</v>
      </c>
      <c r="H1787">
        <v>1337.7790527</v>
      </c>
      <c r="I1787">
        <v>1326.2421875</v>
      </c>
      <c r="J1787">
        <v>1324.0465088000001</v>
      </c>
      <c r="K1787">
        <v>2750</v>
      </c>
      <c r="L1787">
        <v>0</v>
      </c>
      <c r="M1787">
        <v>0</v>
      </c>
      <c r="N1787">
        <v>2750</v>
      </c>
    </row>
    <row r="1788" spans="1:14" x14ac:dyDescent="0.25">
      <c r="A1788">
        <v>793.21041200000002</v>
      </c>
      <c r="B1788" s="1">
        <f>DATE(2012,7,2) + TIME(5,2,59)</f>
        <v>41092.210405092592</v>
      </c>
      <c r="C1788">
        <v>80</v>
      </c>
      <c r="D1788">
        <v>79.972137450999995</v>
      </c>
      <c r="E1788">
        <v>60</v>
      </c>
      <c r="F1788">
        <v>56.47977066</v>
      </c>
      <c r="G1788">
        <v>1340.1950684000001</v>
      </c>
      <c r="H1788">
        <v>1337.7775879000001</v>
      </c>
      <c r="I1788">
        <v>1326.2263184000001</v>
      </c>
      <c r="J1788">
        <v>1324.0224608999999</v>
      </c>
      <c r="K1788">
        <v>2750</v>
      </c>
      <c r="L1788">
        <v>0</v>
      </c>
      <c r="M1788">
        <v>0</v>
      </c>
      <c r="N1788">
        <v>2750</v>
      </c>
    </row>
    <row r="1789" spans="1:14" x14ac:dyDescent="0.25">
      <c r="A1789">
        <v>794.46372499999995</v>
      </c>
      <c r="B1789" s="1">
        <f>DATE(2012,7,3) + TIME(11,7,45)</f>
        <v>41093.46371527778</v>
      </c>
      <c r="C1789">
        <v>80</v>
      </c>
      <c r="D1789">
        <v>79.972122192</v>
      </c>
      <c r="E1789">
        <v>60</v>
      </c>
      <c r="F1789">
        <v>56.434478759999998</v>
      </c>
      <c r="G1789">
        <v>1340.1884766000001</v>
      </c>
      <c r="H1789">
        <v>1337.7747803</v>
      </c>
      <c r="I1789">
        <v>1326.2043457</v>
      </c>
      <c r="J1789">
        <v>1323.9912108999999</v>
      </c>
      <c r="K1789">
        <v>2750</v>
      </c>
      <c r="L1789">
        <v>0</v>
      </c>
      <c r="M1789">
        <v>0</v>
      </c>
      <c r="N1789">
        <v>2750</v>
      </c>
    </row>
    <row r="1790" spans="1:14" x14ac:dyDescent="0.25">
      <c r="A1790">
        <v>795.751801</v>
      </c>
      <c r="B1790" s="1">
        <f>DATE(2012,7,4) + TIME(18,2,35)</f>
        <v>41094.751793981479</v>
      </c>
      <c r="C1790">
        <v>80</v>
      </c>
      <c r="D1790">
        <v>79.972106933999996</v>
      </c>
      <c r="E1790">
        <v>60</v>
      </c>
      <c r="F1790">
        <v>56.386444091999998</v>
      </c>
      <c r="G1790">
        <v>1340.1816406</v>
      </c>
      <c r="H1790">
        <v>1337.7719727000001</v>
      </c>
      <c r="I1790">
        <v>1326.1812743999999</v>
      </c>
      <c r="J1790">
        <v>1323.9578856999999</v>
      </c>
      <c r="K1790">
        <v>2750</v>
      </c>
      <c r="L1790">
        <v>0</v>
      </c>
      <c r="M1790">
        <v>0</v>
      </c>
      <c r="N1790">
        <v>2750</v>
      </c>
    </row>
    <row r="1791" spans="1:14" x14ac:dyDescent="0.25">
      <c r="A1791">
        <v>797.07640700000002</v>
      </c>
      <c r="B1791" s="1">
        <f>DATE(2012,7,6) + TIME(1,50,1)</f>
        <v>41096.07640046296</v>
      </c>
      <c r="C1791">
        <v>80</v>
      </c>
      <c r="D1791">
        <v>79.972084045000003</v>
      </c>
      <c r="E1791">
        <v>60</v>
      </c>
      <c r="F1791">
        <v>56.336643219000003</v>
      </c>
      <c r="G1791">
        <v>1340.1749268000001</v>
      </c>
      <c r="H1791">
        <v>1337.7691649999999</v>
      </c>
      <c r="I1791">
        <v>1326.1574707</v>
      </c>
      <c r="J1791">
        <v>1323.9235839999999</v>
      </c>
      <c r="K1791">
        <v>2750</v>
      </c>
      <c r="L1791">
        <v>0</v>
      </c>
      <c r="M1791">
        <v>0</v>
      </c>
      <c r="N1791">
        <v>2750</v>
      </c>
    </row>
    <row r="1792" spans="1:14" x14ac:dyDescent="0.25">
      <c r="A1792">
        <v>798.43781799999999</v>
      </c>
      <c r="B1792" s="1">
        <f>DATE(2012,7,7) + TIME(10,30,27)</f>
        <v>41097.4378125</v>
      </c>
      <c r="C1792">
        <v>80</v>
      </c>
      <c r="D1792">
        <v>79.972068786999998</v>
      </c>
      <c r="E1792">
        <v>60</v>
      </c>
      <c r="F1792">
        <v>56.285369873</v>
      </c>
      <c r="G1792">
        <v>1340.1680908000001</v>
      </c>
      <c r="H1792">
        <v>1337.7662353999999</v>
      </c>
      <c r="I1792">
        <v>1326.1333007999999</v>
      </c>
      <c r="J1792">
        <v>1323.8884277</v>
      </c>
      <c r="K1792">
        <v>2750</v>
      </c>
      <c r="L1792">
        <v>0</v>
      </c>
      <c r="M1792">
        <v>0</v>
      </c>
      <c r="N1792">
        <v>2750</v>
      </c>
    </row>
    <row r="1793" spans="1:14" x14ac:dyDescent="0.25">
      <c r="A1793">
        <v>799.84471399999995</v>
      </c>
      <c r="B1793" s="1">
        <f>DATE(2012,7,8) + TIME(20,16,23)</f>
        <v>41098.844710648147</v>
      </c>
      <c r="C1793">
        <v>80</v>
      </c>
      <c r="D1793">
        <v>79.972053528000004</v>
      </c>
      <c r="E1793">
        <v>60</v>
      </c>
      <c r="F1793">
        <v>56.232612609999997</v>
      </c>
      <c r="G1793">
        <v>1340.1611327999999</v>
      </c>
      <c r="H1793">
        <v>1337.7633057</v>
      </c>
      <c r="I1793">
        <v>1326.1085204999999</v>
      </c>
      <c r="J1793">
        <v>1323.8526611</v>
      </c>
      <c r="K1793">
        <v>2750</v>
      </c>
      <c r="L1793">
        <v>0</v>
      </c>
      <c r="M1793">
        <v>0</v>
      </c>
      <c r="N1793">
        <v>2750</v>
      </c>
    </row>
    <row r="1794" spans="1:14" x14ac:dyDescent="0.25">
      <c r="A1794">
        <v>801.30692899999997</v>
      </c>
      <c r="B1794" s="1">
        <f>DATE(2012,7,10) + TIME(7,21,58)</f>
        <v>41100.306921296295</v>
      </c>
      <c r="C1794">
        <v>80</v>
      </c>
      <c r="D1794">
        <v>79.972038268999995</v>
      </c>
      <c r="E1794">
        <v>60</v>
      </c>
      <c r="F1794">
        <v>56.178108215000002</v>
      </c>
      <c r="G1794">
        <v>1340.1541748</v>
      </c>
      <c r="H1794">
        <v>1337.760376</v>
      </c>
      <c r="I1794">
        <v>1326.083374</v>
      </c>
      <c r="J1794">
        <v>1323.8161620999999</v>
      </c>
      <c r="K1794">
        <v>2750</v>
      </c>
      <c r="L1794">
        <v>0</v>
      </c>
      <c r="M1794">
        <v>0</v>
      </c>
      <c r="N1794">
        <v>2750</v>
      </c>
    </row>
    <row r="1795" spans="1:14" x14ac:dyDescent="0.25">
      <c r="A1795">
        <v>802.80814599999997</v>
      </c>
      <c r="B1795" s="1">
        <f>DATE(2012,7,11) + TIME(19,23,43)</f>
        <v>41101.808136574073</v>
      </c>
      <c r="C1795">
        <v>80</v>
      </c>
      <c r="D1795">
        <v>79.97203064</v>
      </c>
      <c r="E1795">
        <v>60</v>
      </c>
      <c r="F1795">
        <v>56.121788025000001</v>
      </c>
      <c r="G1795">
        <v>1340.1469727000001</v>
      </c>
      <c r="H1795">
        <v>1337.7572021000001</v>
      </c>
      <c r="I1795">
        <v>1326.0576172000001</v>
      </c>
      <c r="J1795">
        <v>1323.7786865</v>
      </c>
      <c r="K1795">
        <v>2750</v>
      </c>
      <c r="L1795">
        <v>0</v>
      </c>
      <c r="M1795">
        <v>0</v>
      </c>
      <c r="N1795">
        <v>2750</v>
      </c>
    </row>
    <row r="1796" spans="1:14" x14ac:dyDescent="0.25">
      <c r="A1796">
        <v>804.31834500000002</v>
      </c>
      <c r="B1796" s="1">
        <f>DATE(2012,7,13) + TIME(7,38,25)</f>
        <v>41103.318344907406</v>
      </c>
      <c r="C1796">
        <v>80</v>
      </c>
      <c r="D1796">
        <v>79.972015381000006</v>
      </c>
      <c r="E1796">
        <v>60</v>
      </c>
      <c r="F1796">
        <v>56.064193725999999</v>
      </c>
      <c r="G1796">
        <v>1340.1398925999999</v>
      </c>
      <c r="H1796">
        <v>1337.7540283000001</v>
      </c>
      <c r="I1796">
        <v>1326.0314940999999</v>
      </c>
      <c r="J1796">
        <v>1323.7407227000001</v>
      </c>
      <c r="K1796">
        <v>2750</v>
      </c>
      <c r="L1796">
        <v>0</v>
      </c>
      <c r="M1796">
        <v>0</v>
      </c>
      <c r="N1796">
        <v>2750</v>
      </c>
    </row>
    <row r="1797" spans="1:14" x14ac:dyDescent="0.25">
      <c r="A1797">
        <v>805.84820100000002</v>
      </c>
      <c r="B1797" s="1">
        <f>DATE(2012,7,14) + TIME(20,21,24)</f>
        <v>41104.848194444443</v>
      </c>
      <c r="C1797">
        <v>80</v>
      </c>
      <c r="D1797">
        <v>79.972000121999997</v>
      </c>
      <c r="E1797">
        <v>60</v>
      </c>
      <c r="F1797">
        <v>56.005809784</v>
      </c>
      <c r="G1797">
        <v>1340.1328125</v>
      </c>
      <c r="H1797">
        <v>1337.7509766000001</v>
      </c>
      <c r="I1797">
        <v>1326.0054932</v>
      </c>
      <c r="J1797">
        <v>1323.7027588000001</v>
      </c>
      <c r="K1797">
        <v>2750</v>
      </c>
      <c r="L1797">
        <v>0</v>
      </c>
      <c r="M1797">
        <v>0</v>
      </c>
      <c r="N1797">
        <v>2750</v>
      </c>
    </row>
    <row r="1798" spans="1:14" x14ac:dyDescent="0.25">
      <c r="A1798">
        <v>807.40876500000002</v>
      </c>
      <c r="B1798" s="1">
        <f>DATE(2012,7,16) + TIME(9,48,37)</f>
        <v>41106.408761574072</v>
      </c>
      <c r="C1798">
        <v>80</v>
      </c>
      <c r="D1798">
        <v>79.971984863000003</v>
      </c>
      <c r="E1798">
        <v>60</v>
      </c>
      <c r="F1798">
        <v>55.946479797000002</v>
      </c>
      <c r="G1798">
        <v>1340.1257324000001</v>
      </c>
      <c r="H1798">
        <v>1337.7478027</v>
      </c>
      <c r="I1798">
        <v>1325.9794922000001</v>
      </c>
      <c r="J1798">
        <v>1323.6647949000001</v>
      </c>
      <c r="K1798">
        <v>2750</v>
      </c>
      <c r="L1798">
        <v>0</v>
      </c>
      <c r="M1798">
        <v>0</v>
      </c>
      <c r="N1798">
        <v>2750</v>
      </c>
    </row>
    <row r="1799" spans="1:14" x14ac:dyDescent="0.25">
      <c r="A1799">
        <v>808.98561700000005</v>
      </c>
      <c r="B1799" s="1">
        <f>DATE(2012,7,17) + TIME(23,39,17)</f>
        <v>41107.985613425924</v>
      </c>
      <c r="C1799">
        <v>80</v>
      </c>
      <c r="D1799">
        <v>79.971977233999993</v>
      </c>
      <c r="E1799">
        <v>60</v>
      </c>
      <c r="F1799">
        <v>55.886108397999998</v>
      </c>
      <c r="G1799">
        <v>1340.1186522999999</v>
      </c>
      <c r="H1799">
        <v>1337.7446289</v>
      </c>
      <c r="I1799">
        <v>1325.9533690999999</v>
      </c>
      <c r="J1799">
        <v>1323.6267089999999</v>
      </c>
      <c r="K1799">
        <v>2750</v>
      </c>
      <c r="L1799">
        <v>0</v>
      </c>
      <c r="M1799">
        <v>0</v>
      </c>
      <c r="N1799">
        <v>2750</v>
      </c>
    </row>
    <row r="1800" spans="1:14" x14ac:dyDescent="0.25">
      <c r="A1800">
        <v>810.57531400000005</v>
      </c>
      <c r="B1800" s="1">
        <f>DATE(2012,7,19) + TIME(13,48,27)</f>
        <v>41109.575312499997</v>
      </c>
      <c r="C1800">
        <v>80</v>
      </c>
      <c r="D1800">
        <v>79.971969603999995</v>
      </c>
      <c r="E1800">
        <v>60</v>
      </c>
      <c r="F1800">
        <v>55.824928284000002</v>
      </c>
      <c r="G1800">
        <v>1340.1116943</v>
      </c>
      <c r="H1800">
        <v>1337.7413329999999</v>
      </c>
      <c r="I1800">
        <v>1325.9274902</v>
      </c>
      <c r="J1800">
        <v>1323.5886230000001</v>
      </c>
      <c r="K1800">
        <v>2750</v>
      </c>
      <c r="L1800">
        <v>0</v>
      </c>
      <c r="M1800">
        <v>0</v>
      </c>
      <c r="N1800">
        <v>2750</v>
      </c>
    </row>
    <row r="1801" spans="1:14" x14ac:dyDescent="0.25">
      <c r="A1801">
        <v>812.18817100000001</v>
      </c>
      <c r="B1801" s="1">
        <f>DATE(2012,7,21) + TIME(4,30,57)</f>
        <v>41111.188159722224</v>
      </c>
      <c r="C1801">
        <v>80</v>
      </c>
      <c r="D1801">
        <v>79.971961974999999</v>
      </c>
      <c r="E1801">
        <v>60</v>
      </c>
      <c r="F1801">
        <v>55.762950897000003</v>
      </c>
      <c r="G1801">
        <v>1340.1048584</v>
      </c>
      <c r="H1801">
        <v>1337.7381591999999</v>
      </c>
      <c r="I1801">
        <v>1325.9017334</v>
      </c>
      <c r="J1801">
        <v>1323.5507812000001</v>
      </c>
      <c r="K1801">
        <v>2750</v>
      </c>
      <c r="L1801">
        <v>0</v>
      </c>
      <c r="M1801">
        <v>0</v>
      </c>
      <c r="N1801">
        <v>2750</v>
      </c>
    </row>
    <row r="1802" spans="1:14" x14ac:dyDescent="0.25">
      <c r="A1802">
        <v>813.83468100000005</v>
      </c>
      <c r="B1802" s="1">
        <f>DATE(2012,7,22) + TIME(20,1,56)</f>
        <v>41112.834675925929</v>
      </c>
      <c r="C1802">
        <v>80</v>
      </c>
      <c r="D1802">
        <v>79.971954346000004</v>
      </c>
      <c r="E1802">
        <v>60</v>
      </c>
      <c r="F1802">
        <v>55.699905395999998</v>
      </c>
      <c r="G1802">
        <v>1340.0980225000001</v>
      </c>
      <c r="H1802">
        <v>1337.7349853999999</v>
      </c>
      <c r="I1802">
        <v>1325.8760986</v>
      </c>
      <c r="J1802">
        <v>1323.5130615</v>
      </c>
      <c r="K1802">
        <v>2750</v>
      </c>
      <c r="L1802">
        <v>0</v>
      </c>
      <c r="M1802">
        <v>0</v>
      </c>
      <c r="N1802">
        <v>2750</v>
      </c>
    </row>
    <row r="1803" spans="1:14" x14ac:dyDescent="0.25">
      <c r="A1803">
        <v>815.52500399999997</v>
      </c>
      <c r="B1803" s="1">
        <f>DATE(2012,7,24) + TIME(12,36,0)</f>
        <v>41114.525000000001</v>
      </c>
      <c r="C1803">
        <v>80</v>
      </c>
      <c r="D1803">
        <v>79.971946716000005</v>
      </c>
      <c r="E1803">
        <v>60</v>
      </c>
      <c r="F1803">
        <v>55.635459900000001</v>
      </c>
      <c r="G1803">
        <v>1340.0910644999999</v>
      </c>
      <c r="H1803">
        <v>1337.7318115</v>
      </c>
      <c r="I1803">
        <v>1325.8504639</v>
      </c>
      <c r="J1803">
        <v>1323.4752197</v>
      </c>
      <c r="K1803">
        <v>2750</v>
      </c>
      <c r="L1803">
        <v>0</v>
      </c>
      <c r="M1803">
        <v>0</v>
      </c>
      <c r="N1803">
        <v>2750</v>
      </c>
    </row>
    <row r="1804" spans="1:14" x14ac:dyDescent="0.25">
      <c r="A1804">
        <v>817.24089100000003</v>
      </c>
      <c r="B1804" s="1">
        <f>DATE(2012,7,26) + TIME(5,46,52)</f>
        <v>41116.240879629629</v>
      </c>
      <c r="C1804">
        <v>80</v>
      </c>
      <c r="D1804">
        <v>79.971939086999996</v>
      </c>
      <c r="E1804">
        <v>60</v>
      </c>
      <c r="F1804">
        <v>55.569580078000001</v>
      </c>
      <c r="G1804">
        <v>1340.0842285000001</v>
      </c>
      <c r="H1804">
        <v>1337.7285156</v>
      </c>
      <c r="I1804">
        <v>1325.8248291</v>
      </c>
      <c r="J1804">
        <v>1323.4371338000001</v>
      </c>
      <c r="K1804">
        <v>2750</v>
      </c>
      <c r="L1804">
        <v>0</v>
      </c>
      <c r="M1804">
        <v>0</v>
      </c>
      <c r="N1804">
        <v>2750</v>
      </c>
    </row>
    <row r="1805" spans="1:14" x14ac:dyDescent="0.25">
      <c r="A1805">
        <v>818.98685</v>
      </c>
      <c r="B1805" s="1">
        <f>DATE(2012,7,27) + TIME(23,41,3)</f>
        <v>41117.986840277779</v>
      </c>
      <c r="C1805">
        <v>80</v>
      </c>
      <c r="D1805">
        <v>79.971931458</v>
      </c>
      <c r="E1805">
        <v>60</v>
      </c>
      <c r="F1805">
        <v>55.502658844000003</v>
      </c>
      <c r="G1805">
        <v>1340.0773925999999</v>
      </c>
      <c r="H1805">
        <v>1337.7252197</v>
      </c>
      <c r="I1805">
        <v>1325.7991943</v>
      </c>
      <c r="J1805">
        <v>1323.3990478999999</v>
      </c>
      <c r="K1805">
        <v>2750</v>
      </c>
      <c r="L1805">
        <v>0</v>
      </c>
      <c r="M1805">
        <v>0</v>
      </c>
      <c r="N1805">
        <v>2750</v>
      </c>
    </row>
    <row r="1806" spans="1:14" x14ac:dyDescent="0.25">
      <c r="A1806">
        <v>820.77180299999998</v>
      </c>
      <c r="B1806" s="1">
        <f>DATE(2012,7,29) + TIME(18,31,23)</f>
        <v>41119.771793981483</v>
      </c>
      <c r="C1806">
        <v>80</v>
      </c>
      <c r="D1806">
        <v>79.971931458</v>
      </c>
      <c r="E1806">
        <v>60</v>
      </c>
      <c r="F1806">
        <v>55.434806823999999</v>
      </c>
      <c r="G1806">
        <v>1340.0705565999999</v>
      </c>
      <c r="H1806">
        <v>1337.7219238</v>
      </c>
      <c r="I1806">
        <v>1325.7735596</v>
      </c>
      <c r="J1806">
        <v>1323.3609618999999</v>
      </c>
      <c r="K1806">
        <v>2750</v>
      </c>
      <c r="L1806">
        <v>0</v>
      </c>
      <c r="M1806">
        <v>0</v>
      </c>
      <c r="N1806">
        <v>2750</v>
      </c>
    </row>
    <row r="1807" spans="1:14" x14ac:dyDescent="0.25">
      <c r="A1807">
        <v>822.62337300000002</v>
      </c>
      <c r="B1807" s="1">
        <f>DATE(2012,7,31) + TIME(14,57,39)</f>
        <v>41121.623368055552</v>
      </c>
      <c r="C1807">
        <v>80</v>
      </c>
      <c r="D1807">
        <v>79.971923828000001</v>
      </c>
      <c r="E1807">
        <v>60</v>
      </c>
      <c r="F1807">
        <v>55.365898131999998</v>
      </c>
      <c r="G1807">
        <v>1340.0634766000001</v>
      </c>
      <c r="H1807">
        <v>1337.7183838000001</v>
      </c>
      <c r="I1807">
        <v>1325.7481689000001</v>
      </c>
      <c r="J1807">
        <v>1323.3227539</v>
      </c>
      <c r="K1807">
        <v>2750</v>
      </c>
      <c r="L1807">
        <v>0</v>
      </c>
      <c r="M1807">
        <v>0</v>
      </c>
      <c r="N1807">
        <v>2750</v>
      </c>
    </row>
    <row r="1808" spans="1:14" x14ac:dyDescent="0.25">
      <c r="A1808">
        <v>823</v>
      </c>
      <c r="B1808" s="1">
        <f>DATE(2012,8,1) + TIME(0,0,0)</f>
        <v>41122</v>
      </c>
      <c r="C1808">
        <v>80</v>
      </c>
      <c r="D1808">
        <v>79.971908568999993</v>
      </c>
      <c r="E1808">
        <v>60</v>
      </c>
      <c r="F1808">
        <v>55.330505371000001</v>
      </c>
      <c r="G1808">
        <v>1340.0562743999999</v>
      </c>
      <c r="H1808">
        <v>1337.7148437999999</v>
      </c>
      <c r="I1808">
        <v>1325.7249756000001</v>
      </c>
      <c r="J1808">
        <v>1323.2895507999999</v>
      </c>
      <c r="K1808">
        <v>2750</v>
      </c>
      <c r="L1808">
        <v>0</v>
      </c>
      <c r="M1808">
        <v>0</v>
      </c>
      <c r="N1808">
        <v>2750</v>
      </c>
    </row>
    <row r="1809" spans="1:14" x14ac:dyDescent="0.25">
      <c r="A1809">
        <v>824.95273899999995</v>
      </c>
      <c r="B1809" s="1">
        <f>DATE(2012,8,2) + TIME(22,51,56)</f>
        <v>41123.952731481484</v>
      </c>
      <c r="C1809">
        <v>80</v>
      </c>
      <c r="D1809">
        <v>79.971923828000001</v>
      </c>
      <c r="E1809">
        <v>60</v>
      </c>
      <c r="F1809">
        <v>55.276626587000003</v>
      </c>
      <c r="G1809">
        <v>1340.0548096</v>
      </c>
      <c r="H1809">
        <v>1337.7141113</v>
      </c>
      <c r="I1809">
        <v>1325.7144774999999</v>
      </c>
      <c r="J1809">
        <v>1323.2713623</v>
      </c>
      <c r="K1809">
        <v>2750</v>
      </c>
      <c r="L1809">
        <v>0</v>
      </c>
      <c r="M1809">
        <v>0</v>
      </c>
      <c r="N1809">
        <v>2750</v>
      </c>
    </row>
    <row r="1810" spans="1:14" x14ac:dyDescent="0.25">
      <c r="A1810">
        <v>825.98286599999994</v>
      </c>
      <c r="B1810" s="1">
        <f>DATE(2012,8,3) + TIME(23,35,19)</f>
        <v>41124.982858796298</v>
      </c>
      <c r="C1810">
        <v>80</v>
      </c>
      <c r="D1810">
        <v>79.971908568999993</v>
      </c>
      <c r="E1810">
        <v>60</v>
      </c>
      <c r="F1810">
        <v>55.221523285000004</v>
      </c>
      <c r="G1810">
        <v>1340.0473632999999</v>
      </c>
      <c r="H1810">
        <v>1337.7104492000001</v>
      </c>
      <c r="I1810">
        <v>1325.6915283000001</v>
      </c>
      <c r="J1810">
        <v>1323.237793</v>
      </c>
      <c r="K1810">
        <v>2750</v>
      </c>
      <c r="L1810">
        <v>0</v>
      </c>
      <c r="M1810">
        <v>0</v>
      </c>
      <c r="N1810">
        <v>2750</v>
      </c>
    </row>
    <row r="1811" spans="1:14" x14ac:dyDescent="0.25">
      <c r="A1811">
        <v>827.01299300000005</v>
      </c>
      <c r="B1811" s="1">
        <f>DATE(2012,8,5) + TIME(0,18,42)</f>
        <v>41126.012986111113</v>
      </c>
      <c r="C1811">
        <v>80</v>
      </c>
      <c r="D1811">
        <v>79.971900939999998</v>
      </c>
      <c r="E1811">
        <v>60</v>
      </c>
      <c r="F1811">
        <v>55.178764342999997</v>
      </c>
      <c r="G1811">
        <v>1340.0435791</v>
      </c>
      <c r="H1811">
        <v>1337.7084961</v>
      </c>
      <c r="I1811">
        <v>1325.6754149999999</v>
      </c>
      <c r="J1811">
        <v>1323.2124022999999</v>
      </c>
      <c r="K1811">
        <v>2750</v>
      </c>
      <c r="L1811">
        <v>0</v>
      </c>
      <c r="M1811">
        <v>0</v>
      </c>
      <c r="N1811">
        <v>2750</v>
      </c>
    </row>
    <row r="1812" spans="1:14" x14ac:dyDescent="0.25">
      <c r="A1812">
        <v>828.04312100000004</v>
      </c>
      <c r="B1812" s="1">
        <f>DATE(2012,8,6) + TIME(1,2,5)</f>
        <v>41127.043113425927</v>
      </c>
      <c r="C1812">
        <v>80</v>
      </c>
      <c r="D1812">
        <v>79.971900939999998</v>
      </c>
      <c r="E1812">
        <v>60</v>
      </c>
      <c r="F1812">
        <v>55.141437531000001</v>
      </c>
      <c r="G1812">
        <v>1340.0397949000001</v>
      </c>
      <c r="H1812">
        <v>1337.706543</v>
      </c>
      <c r="I1812">
        <v>1325.6611327999999</v>
      </c>
      <c r="J1812">
        <v>1323.1903076000001</v>
      </c>
      <c r="K1812">
        <v>2750</v>
      </c>
      <c r="L1812">
        <v>0</v>
      </c>
      <c r="M1812">
        <v>0</v>
      </c>
      <c r="N1812">
        <v>2750</v>
      </c>
    </row>
    <row r="1813" spans="1:14" x14ac:dyDescent="0.25">
      <c r="A1813">
        <v>830.10337600000003</v>
      </c>
      <c r="B1813" s="1">
        <f>DATE(2012,8,8) + TIME(2,28,51)</f>
        <v>41129.103368055556</v>
      </c>
      <c r="C1813">
        <v>80</v>
      </c>
      <c r="D1813">
        <v>79.971916199000006</v>
      </c>
      <c r="E1813">
        <v>60</v>
      </c>
      <c r="F1813">
        <v>55.099426270000002</v>
      </c>
      <c r="G1813">
        <v>1340.0361327999999</v>
      </c>
      <c r="H1813">
        <v>1337.7045897999999</v>
      </c>
      <c r="I1813">
        <v>1325.6469727000001</v>
      </c>
      <c r="J1813">
        <v>1323.1680908000001</v>
      </c>
      <c r="K1813">
        <v>2750</v>
      </c>
      <c r="L1813">
        <v>0</v>
      </c>
      <c r="M1813">
        <v>0</v>
      </c>
      <c r="N1813">
        <v>2750</v>
      </c>
    </row>
    <row r="1814" spans="1:14" x14ac:dyDescent="0.25">
      <c r="A1814">
        <v>832.17046300000004</v>
      </c>
      <c r="B1814" s="1">
        <f>DATE(2012,8,10) + TIME(4,5,28)</f>
        <v>41131.17046296296</v>
      </c>
      <c r="C1814">
        <v>80</v>
      </c>
      <c r="D1814">
        <v>79.971923828000001</v>
      </c>
      <c r="E1814">
        <v>60</v>
      </c>
      <c r="F1814">
        <v>55.042484283</v>
      </c>
      <c r="G1814">
        <v>1340.0286865</v>
      </c>
      <c r="H1814">
        <v>1337.7008057</v>
      </c>
      <c r="I1814">
        <v>1325.6252440999999</v>
      </c>
      <c r="J1814">
        <v>1323.1352539</v>
      </c>
      <c r="K1814">
        <v>2750</v>
      </c>
      <c r="L1814">
        <v>0</v>
      </c>
      <c r="M1814">
        <v>0</v>
      </c>
      <c r="N1814">
        <v>2750</v>
      </c>
    </row>
    <row r="1815" spans="1:14" x14ac:dyDescent="0.25">
      <c r="A1815">
        <v>834.26914999999997</v>
      </c>
      <c r="B1815" s="1">
        <f>DATE(2012,8,12) + TIME(6,27,34)</f>
        <v>41133.269143518519</v>
      </c>
      <c r="C1815">
        <v>80</v>
      </c>
      <c r="D1815">
        <v>79.971923828000001</v>
      </c>
      <c r="E1815">
        <v>60</v>
      </c>
      <c r="F1815">
        <v>54.988559723000002</v>
      </c>
      <c r="G1815">
        <v>1340.0213623</v>
      </c>
      <c r="H1815">
        <v>1337.6970214999999</v>
      </c>
      <c r="I1815">
        <v>1325.6015625</v>
      </c>
      <c r="J1815">
        <v>1323.0985106999999</v>
      </c>
      <c r="K1815">
        <v>2750</v>
      </c>
      <c r="L1815">
        <v>0</v>
      </c>
      <c r="M1815">
        <v>0</v>
      </c>
      <c r="N1815">
        <v>2750</v>
      </c>
    </row>
    <row r="1816" spans="1:14" x14ac:dyDescent="0.25">
      <c r="A1816">
        <v>836.41603799999996</v>
      </c>
      <c r="B1816" s="1">
        <f>DATE(2012,8,14) + TIME(9,59,5)</f>
        <v>41135.416030092594</v>
      </c>
      <c r="C1816">
        <v>80</v>
      </c>
      <c r="D1816">
        <v>79.971931458</v>
      </c>
      <c r="E1816">
        <v>60</v>
      </c>
      <c r="F1816">
        <v>54.943702698000003</v>
      </c>
      <c r="G1816">
        <v>1340.0141602000001</v>
      </c>
      <c r="H1816">
        <v>1337.6932373</v>
      </c>
      <c r="I1816">
        <v>1325.5780029</v>
      </c>
      <c r="J1816">
        <v>1323.0612793</v>
      </c>
      <c r="K1816">
        <v>2750</v>
      </c>
      <c r="L1816">
        <v>0</v>
      </c>
      <c r="M1816">
        <v>0</v>
      </c>
      <c r="N1816">
        <v>2750</v>
      </c>
    </row>
    <row r="1817" spans="1:14" x14ac:dyDescent="0.25">
      <c r="A1817">
        <v>837.51829299999997</v>
      </c>
      <c r="B1817" s="1">
        <f>DATE(2012,8,15) + TIME(12,26,20)</f>
        <v>41136.518287037034</v>
      </c>
      <c r="C1817">
        <v>80</v>
      </c>
      <c r="D1817">
        <v>79.971916199000006</v>
      </c>
      <c r="E1817">
        <v>60</v>
      </c>
      <c r="F1817">
        <v>54.917522429999998</v>
      </c>
      <c r="G1817">
        <v>1340.0069579999999</v>
      </c>
      <c r="H1817">
        <v>1337.6894531</v>
      </c>
      <c r="I1817">
        <v>1325.5560303</v>
      </c>
      <c r="J1817">
        <v>1323.0266113</v>
      </c>
      <c r="K1817">
        <v>2750</v>
      </c>
      <c r="L1817">
        <v>0</v>
      </c>
      <c r="M1817">
        <v>0</v>
      </c>
      <c r="N1817">
        <v>2750</v>
      </c>
    </row>
    <row r="1818" spans="1:14" x14ac:dyDescent="0.25">
      <c r="A1818">
        <v>838.62054799999999</v>
      </c>
      <c r="B1818" s="1">
        <f>DATE(2012,8,16) + TIME(14,53,35)</f>
        <v>41137.62054398148</v>
      </c>
      <c r="C1818">
        <v>80</v>
      </c>
      <c r="D1818">
        <v>79.971916199000006</v>
      </c>
      <c r="E1818">
        <v>60</v>
      </c>
      <c r="F1818">
        <v>54.905487061000002</v>
      </c>
      <c r="G1818">
        <v>1340.0032959</v>
      </c>
      <c r="H1818">
        <v>1337.6875</v>
      </c>
      <c r="I1818">
        <v>1325.5415039</v>
      </c>
      <c r="J1818">
        <v>1323.0029297000001</v>
      </c>
      <c r="K1818">
        <v>2750</v>
      </c>
      <c r="L1818">
        <v>0</v>
      </c>
      <c r="M1818">
        <v>0</v>
      </c>
      <c r="N1818">
        <v>2750</v>
      </c>
    </row>
    <row r="1819" spans="1:14" x14ac:dyDescent="0.25">
      <c r="A1819">
        <v>839.71827199999996</v>
      </c>
      <c r="B1819" s="1">
        <f>DATE(2012,8,17) + TIME(17,14,18)</f>
        <v>41138.718263888892</v>
      </c>
      <c r="C1819">
        <v>80</v>
      </c>
      <c r="D1819">
        <v>79.971916199000006</v>
      </c>
      <c r="E1819">
        <v>60</v>
      </c>
      <c r="F1819">
        <v>54.902378081999998</v>
      </c>
      <c r="G1819">
        <v>1339.9997559000001</v>
      </c>
      <c r="H1819">
        <v>1337.6855469</v>
      </c>
      <c r="I1819">
        <v>1325.5294189000001</v>
      </c>
      <c r="J1819">
        <v>1322.9831543</v>
      </c>
      <c r="K1819">
        <v>2750</v>
      </c>
      <c r="L1819">
        <v>0</v>
      </c>
      <c r="M1819">
        <v>0</v>
      </c>
      <c r="N1819">
        <v>2750</v>
      </c>
    </row>
    <row r="1820" spans="1:14" x14ac:dyDescent="0.25">
      <c r="A1820">
        <v>840.80911000000003</v>
      </c>
      <c r="B1820" s="1">
        <f>DATE(2012,8,18) + TIME(19,25,7)</f>
        <v>41139.809108796297</v>
      </c>
      <c r="C1820">
        <v>80</v>
      </c>
      <c r="D1820">
        <v>79.971916199000006</v>
      </c>
      <c r="E1820">
        <v>60</v>
      </c>
      <c r="F1820">
        <v>54.906578064000001</v>
      </c>
      <c r="G1820">
        <v>1339.9962158000001</v>
      </c>
      <c r="H1820">
        <v>1337.6835937999999</v>
      </c>
      <c r="I1820">
        <v>1325.5184326000001</v>
      </c>
      <c r="J1820">
        <v>1322.9652100000001</v>
      </c>
      <c r="K1820">
        <v>2750</v>
      </c>
      <c r="L1820">
        <v>0</v>
      </c>
      <c r="M1820">
        <v>0</v>
      </c>
      <c r="N1820">
        <v>2750</v>
      </c>
    </row>
    <row r="1821" spans="1:14" x14ac:dyDescent="0.25">
      <c r="A1821">
        <v>841.89433699999995</v>
      </c>
      <c r="B1821" s="1">
        <f>DATE(2012,8,19) + TIME(21,27,50)</f>
        <v>41140.894328703704</v>
      </c>
      <c r="C1821">
        <v>80</v>
      </c>
      <c r="D1821">
        <v>79.971923828000001</v>
      </c>
      <c r="E1821">
        <v>60</v>
      </c>
      <c r="F1821">
        <v>54.917724608999997</v>
      </c>
      <c r="G1821">
        <v>1339.9926757999999</v>
      </c>
      <c r="H1821">
        <v>1337.6817627</v>
      </c>
      <c r="I1821">
        <v>1325.5080565999999</v>
      </c>
      <c r="J1821">
        <v>1322.9482422000001</v>
      </c>
      <c r="K1821">
        <v>2750</v>
      </c>
      <c r="L1821">
        <v>0</v>
      </c>
      <c r="M1821">
        <v>0</v>
      </c>
      <c r="N1821">
        <v>2750</v>
      </c>
    </row>
    <row r="1822" spans="1:14" x14ac:dyDescent="0.25">
      <c r="A1822">
        <v>842.97545200000002</v>
      </c>
      <c r="B1822" s="1">
        <f>DATE(2012,8,20) + TIME(23,24,39)</f>
        <v>41141.975451388891</v>
      </c>
      <c r="C1822">
        <v>80</v>
      </c>
      <c r="D1822">
        <v>79.971923828000001</v>
      </c>
      <c r="E1822">
        <v>60</v>
      </c>
      <c r="F1822">
        <v>54.935939789000003</v>
      </c>
      <c r="G1822">
        <v>1339.9892577999999</v>
      </c>
      <c r="H1822">
        <v>1337.6799315999999</v>
      </c>
      <c r="I1822">
        <v>1325.4981689000001</v>
      </c>
      <c r="J1822">
        <v>1322.9321289</v>
      </c>
      <c r="K1822">
        <v>2750</v>
      </c>
      <c r="L1822">
        <v>0</v>
      </c>
      <c r="M1822">
        <v>0</v>
      </c>
      <c r="N1822">
        <v>2750</v>
      </c>
    </row>
    <row r="1823" spans="1:14" x14ac:dyDescent="0.25">
      <c r="A1823">
        <v>844.05379700000003</v>
      </c>
      <c r="B1823" s="1">
        <f>DATE(2012,8,22) + TIME(1,17,28)</f>
        <v>41143.053796296299</v>
      </c>
      <c r="C1823">
        <v>80</v>
      </c>
      <c r="D1823">
        <v>79.971931458</v>
      </c>
      <c r="E1823">
        <v>60</v>
      </c>
      <c r="F1823">
        <v>54.961460113999998</v>
      </c>
      <c r="G1823">
        <v>1339.9858397999999</v>
      </c>
      <c r="H1823">
        <v>1337.6781006000001</v>
      </c>
      <c r="I1823">
        <v>1325.4887695</v>
      </c>
      <c r="J1823">
        <v>1322.9165039</v>
      </c>
      <c r="K1823">
        <v>2750</v>
      </c>
      <c r="L1823">
        <v>0</v>
      </c>
      <c r="M1823">
        <v>0</v>
      </c>
      <c r="N1823">
        <v>2750</v>
      </c>
    </row>
    <row r="1824" spans="1:14" x14ac:dyDescent="0.25">
      <c r="A1824">
        <v>845.13069299999995</v>
      </c>
      <c r="B1824" s="1">
        <f>DATE(2012,8,23) + TIME(3,8,11)</f>
        <v>41144.130682870367</v>
      </c>
      <c r="C1824">
        <v>80</v>
      </c>
      <c r="D1824">
        <v>79.971931458</v>
      </c>
      <c r="E1824">
        <v>60</v>
      </c>
      <c r="F1824">
        <v>54.994560241999999</v>
      </c>
      <c r="G1824">
        <v>1339.9825439000001</v>
      </c>
      <c r="H1824">
        <v>1337.6761475000001</v>
      </c>
      <c r="I1824">
        <v>1325.4797363</v>
      </c>
      <c r="J1824">
        <v>1322.9016113</v>
      </c>
      <c r="K1824">
        <v>2750</v>
      </c>
      <c r="L1824">
        <v>0</v>
      </c>
      <c r="M1824">
        <v>0</v>
      </c>
      <c r="N1824">
        <v>2750</v>
      </c>
    </row>
    <row r="1825" spans="1:14" x14ac:dyDescent="0.25">
      <c r="A1825">
        <v>846.20746399999996</v>
      </c>
      <c r="B1825" s="1">
        <f>DATE(2012,8,24) + TIME(4,58,44)</f>
        <v>41145.207453703704</v>
      </c>
      <c r="C1825">
        <v>80</v>
      </c>
      <c r="D1825">
        <v>79.971939086999996</v>
      </c>
      <c r="E1825">
        <v>60</v>
      </c>
      <c r="F1825">
        <v>55.035545349000003</v>
      </c>
      <c r="G1825">
        <v>1339.9792480000001</v>
      </c>
      <c r="H1825">
        <v>1337.6743164</v>
      </c>
      <c r="I1825">
        <v>1325.4710693</v>
      </c>
      <c r="J1825">
        <v>1322.887207</v>
      </c>
      <c r="K1825">
        <v>2750</v>
      </c>
      <c r="L1825">
        <v>0</v>
      </c>
      <c r="M1825">
        <v>0</v>
      </c>
      <c r="N1825">
        <v>2750</v>
      </c>
    </row>
    <row r="1826" spans="1:14" x14ac:dyDescent="0.25">
      <c r="A1826">
        <v>847.28423499999997</v>
      </c>
      <c r="B1826" s="1">
        <f>DATE(2012,8,25) + TIME(6,49,17)</f>
        <v>41146.284224537034</v>
      </c>
      <c r="C1826">
        <v>80</v>
      </c>
      <c r="D1826">
        <v>79.971939086999996</v>
      </c>
      <c r="E1826">
        <v>60</v>
      </c>
      <c r="F1826">
        <v>55.084751128999997</v>
      </c>
      <c r="G1826">
        <v>1339.9759521000001</v>
      </c>
      <c r="H1826">
        <v>1337.6724853999999</v>
      </c>
      <c r="I1826">
        <v>1325.4627685999999</v>
      </c>
      <c r="J1826">
        <v>1322.8732910000001</v>
      </c>
      <c r="K1826">
        <v>2750</v>
      </c>
      <c r="L1826">
        <v>0</v>
      </c>
      <c r="M1826">
        <v>0</v>
      </c>
      <c r="N1826">
        <v>2750</v>
      </c>
    </row>
    <row r="1827" spans="1:14" x14ac:dyDescent="0.25">
      <c r="A1827">
        <v>848.36100599999997</v>
      </c>
      <c r="B1827" s="1">
        <f>DATE(2012,8,26) + TIME(8,39,50)</f>
        <v>41147.360995370371</v>
      </c>
      <c r="C1827">
        <v>80</v>
      </c>
      <c r="D1827">
        <v>79.971946716000005</v>
      </c>
      <c r="E1827">
        <v>60</v>
      </c>
      <c r="F1827">
        <v>55.142307281000001</v>
      </c>
      <c r="G1827">
        <v>1339.9726562000001</v>
      </c>
      <c r="H1827">
        <v>1337.6707764</v>
      </c>
      <c r="I1827">
        <v>1325.4548339999999</v>
      </c>
      <c r="J1827">
        <v>1322.8599853999999</v>
      </c>
      <c r="K1827">
        <v>2750</v>
      </c>
      <c r="L1827">
        <v>0</v>
      </c>
      <c r="M1827">
        <v>0</v>
      </c>
      <c r="N1827">
        <v>2750</v>
      </c>
    </row>
    <row r="1828" spans="1:14" x14ac:dyDescent="0.25">
      <c r="A1828">
        <v>849.43777699999998</v>
      </c>
      <c r="B1828" s="1">
        <f>DATE(2012,8,27) + TIME(10,30,23)</f>
        <v>41148.4377662037</v>
      </c>
      <c r="C1828">
        <v>80</v>
      </c>
      <c r="D1828">
        <v>79.971954346000004</v>
      </c>
      <c r="E1828">
        <v>60</v>
      </c>
      <c r="F1828">
        <v>55.208274840999998</v>
      </c>
      <c r="G1828">
        <v>1339.9693603999999</v>
      </c>
      <c r="H1828">
        <v>1337.6689452999999</v>
      </c>
      <c r="I1828">
        <v>1325.4471435999999</v>
      </c>
      <c r="J1828">
        <v>1322.847168</v>
      </c>
      <c r="K1828">
        <v>2750</v>
      </c>
      <c r="L1828">
        <v>0</v>
      </c>
      <c r="M1828">
        <v>0</v>
      </c>
      <c r="N1828">
        <v>2750</v>
      </c>
    </row>
    <row r="1829" spans="1:14" x14ac:dyDescent="0.25">
      <c r="A1829">
        <v>850.51454799999999</v>
      </c>
      <c r="B1829" s="1">
        <f>DATE(2012,8,28) + TIME(12,20,56)</f>
        <v>41149.514537037037</v>
      </c>
      <c r="C1829">
        <v>80</v>
      </c>
      <c r="D1829">
        <v>79.971954346000004</v>
      </c>
      <c r="E1829">
        <v>60</v>
      </c>
      <c r="F1829">
        <v>55.282680511000002</v>
      </c>
      <c r="G1829">
        <v>1339.9661865</v>
      </c>
      <c r="H1829">
        <v>1337.6671143000001</v>
      </c>
      <c r="I1829">
        <v>1325.4398193</v>
      </c>
      <c r="J1829">
        <v>1322.8349608999999</v>
      </c>
      <c r="K1829">
        <v>2750</v>
      </c>
      <c r="L1829">
        <v>0</v>
      </c>
      <c r="M1829">
        <v>0</v>
      </c>
      <c r="N1829">
        <v>2750</v>
      </c>
    </row>
    <row r="1830" spans="1:14" x14ac:dyDescent="0.25">
      <c r="A1830">
        <v>851.591319</v>
      </c>
      <c r="B1830" s="1">
        <f>DATE(2012,8,29) + TIME(14,11,29)</f>
        <v>41150.591307870367</v>
      </c>
      <c r="C1830">
        <v>80</v>
      </c>
      <c r="D1830">
        <v>79.971961974999999</v>
      </c>
      <c r="E1830">
        <v>60</v>
      </c>
      <c r="F1830">
        <v>55.365451813</v>
      </c>
      <c r="G1830">
        <v>1339.9630127</v>
      </c>
      <c r="H1830">
        <v>1337.6652832</v>
      </c>
      <c r="I1830">
        <v>1325.4328613</v>
      </c>
      <c r="J1830">
        <v>1322.8231201000001</v>
      </c>
      <c r="K1830">
        <v>2750</v>
      </c>
      <c r="L1830">
        <v>0</v>
      </c>
      <c r="M1830">
        <v>0</v>
      </c>
      <c r="N1830">
        <v>2750</v>
      </c>
    </row>
    <row r="1831" spans="1:14" x14ac:dyDescent="0.25">
      <c r="A1831">
        <v>852.66809000000001</v>
      </c>
      <c r="B1831" s="1">
        <f>DATE(2012,8,30) + TIME(16,2,2)</f>
        <v>41151.668078703704</v>
      </c>
      <c r="C1831">
        <v>80</v>
      </c>
      <c r="D1831">
        <v>79.971969603999995</v>
      </c>
      <c r="E1831">
        <v>60</v>
      </c>
      <c r="F1831">
        <v>55.456417084000002</v>
      </c>
      <c r="G1831">
        <v>1339.9598389</v>
      </c>
      <c r="H1831">
        <v>1337.6635742000001</v>
      </c>
      <c r="I1831">
        <v>1325.4261475000001</v>
      </c>
      <c r="J1831">
        <v>1322.8118896000001</v>
      </c>
      <c r="K1831">
        <v>2750</v>
      </c>
      <c r="L1831">
        <v>0</v>
      </c>
      <c r="M1831">
        <v>0</v>
      </c>
      <c r="N1831">
        <v>2750</v>
      </c>
    </row>
    <row r="1832" spans="1:14" x14ac:dyDescent="0.25">
      <c r="A1832">
        <v>854</v>
      </c>
      <c r="B1832" s="1">
        <f>DATE(2012,9,1) + TIME(0,0,0)</f>
        <v>41153</v>
      </c>
      <c r="C1832">
        <v>80</v>
      </c>
      <c r="D1832">
        <v>79.971977233999993</v>
      </c>
      <c r="E1832">
        <v>60</v>
      </c>
      <c r="F1832">
        <v>55.562213898000003</v>
      </c>
      <c r="G1832">
        <v>1339.9567870999999</v>
      </c>
      <c r="H1832">
        <v>1337.6617432</v>
      </c>
      <c r="I1832">
        <v>1325.4194336</v>
      </c>
      <c r="J1832">
        <v>1322.8009033000001</v>
      </c>
      <c r="K1832">
        <v>2750</v>
      </c>
      <c r="L1832">
        <v>0</v>
      </c>
      <c r="M1832">
        <v>0</v>
      </c>
      <c r="N1832">
        <v>2750</v>
      </c>
    </row>
    <row r="1833" spans="1:14" x14ac:dyDescent="0.25">
      <c r="A1833">
        <v>856.15354200000002</v>
      </c>
      <c r="B1833" s="1">
        <f>DATE(2012,9,3) + TIME(3,41,6)</f>
        <v>41155.153541666667</v>
      </c>
      <c r="C1833">
        <v>80</v>
      </c>
      <c r="D1833">
        <v>79.972000121999997</v>
      </c>
      <c r="E1833">
        <v>60</v>
      </c>
      <c r="F1833">
        <v>55.705825806</v>
      </c>
      <c r="G1833">
        <v>1339.9528809000001</v>
      </c>
      <c r="H1833">
        <v>1337.6595459</v>
      </c>
      <c r="I1833">
        <v>1325.4117432</v>
      </c>
      <c r="J1833">
        <v>1322.7884521000001</v>
      </c>
      <c r="K1833">
        <v>2750</v>
      </c>
      <c r="L1833">
        <v>0</v>
      </c>
      <c r="M1833">
        <v>0</v>
      </c>
      <c r="N1833">
        <v>2750</v>
      </c>
    </row>
    <row r="1834" spans="1:14" x14ac:dyDescent="0.25">
      <c r="A1834">
        <v>858.33355700000004</v>
      </c>
      <c r="B1834" s="1">
        <f>DATE(2012,9,5) + TIME(8,0,19)</f>
        <v>41157.333553240744</v>
      </c>
      <c r="C1834">
        <v>80</v>
      </c>
      <c r="D1834">
        <v>79.972015381000006</v>
      </c>
      <c r="E1834">
        <v>60</v>
      </c>
      <c r="F1834">
        <v>55.924812316999997</v>
      </c>
      <c r="G1834">
        <v>1339.9466553</v>
      </c>
      <c r="H1834">
        <v>1337.6561279</v>
      </c>
      <c r="I1834">
        <v>1325.4022216999999</v>
      </c>
      <c r="J1834">
        <v>1322.7717285000001</v>
      </c>
      <c r="K1834">
        <v>2750</v>
      </c>
      <c r="L1834">
        <v>0</v>
      </c>
      <c r="M1834">
        <v>0</v>
      </c>
      <c r="N1834">
        <v>2750</v>
      </c>
    </row>
    <row r="1835" spans="1:14" x14ac:dyDescent="0.25">
      <c r="A1835">
        <v>860.56837499999995</v>
      </c>
      <c r="B1835" s="1">
        <f>DATE(2012,9,7) + TIME(13,38,27)</f>
        <v>41159.568368055552</v>
      </c>
      <c r="C1835">
        <v>80</v>
      </c>
      <c r="D1835">
        <v>79.972023010000001</v>
      </c>
      <c r="E1835">
        <v>60</v>
      </c>
      <c r="F1835">
        <v>56.183311461999999</v>
      </c>
      <c r="G1835">
        <v>1339.9405518000001</v>
      </c>
      <c r="H1835">
        <v>1337.6525879000001</v>
      </c>
      <c r="I1835">
        <v>1325.3919678</v>
      </c>
      <c r="J1835">
        <v>1322.7546387</v>
      </c>
      <c r="K1835">
        <v>2750</v>
      </c>
      <c r="L1835">
        <v>0</v>
      </c>
      <c r="M1835">
        <v>0</v>
      </c>
      <c r="N1835">
        <v>2750</v>
      </c>
    </row>
    <row r="1836" spans="1:14" x14ac:dyDescent="0.25">
      <c r="A1836">
        <v>862.87039300000004</v>
      </c>
      <c r="B1836" s="1">
        <f>DATE(2012,9,9) + TIME(20,53,21)</f>
        <v>41161.870381944442</v>
      </c>
      <c r="C1836">
        <v>80</v>
      </c>
      <c r="D1836">
        <v>79.972038268999995</v>
      </c>
      <c r="E1836">
        <v>60</v>
      </c>
      <c r="F1836">
        <v>56.472896575999997</v>
      </c>
      <c r="G1836">
        <v>1339.9344481999999</v>
      </c>
      <c r="H1836">
        <v>1337.6490478999999</v>
      </c>
      <c r="I1836">
        <v>1325.3822021000001</v>
      </c>
      <c r="J1836">
        <v>1322.7385254000001</v>
      </c>
      <c r="K1836">
        <v>2750</v>
      </c>
      <c r="L1836">
        <v>0</v>
      </c>
      <c r="M1836">
        <v>0</v>
      </c>
      <c r="N1836">
        <v>2750</v>
      </c>
    </row>
    <row r="1837" spans="1:14" x14ac:dyDescent="0.25">
      <c r="A1837">
        <v>865.25327000000004</v>
      </c>
      <c r="B1837" s="1">
        <f>DATE(2012,9,12) + TIME(6,4,42)</f>
        <v>41164.253263888888</v>
      </c>
      <c r="C1837">
        <v>80</v>
      </c>
      <c r="D1837">
        <v>79.972053528000004</v>
      </c>
      <c r="E1837">
        <v>60</v>
      </c>
      <c r="F1837">
        <v>56.790756225999999</v>
      </c>
      <c r="G1837">
        <v>1339.9282227000001</v>
      </c>
      <c r="H1837">
        <v>1337.6453856999999</v>
      </c>
      <c r="I1837">
        <v>1325.3730469</v>
      </c>
      <c r="J1837">
        <v>1322.7236327999999</v>
      </c>
      <c r="K1837">
        <v>2750</v>
      </c>
      <c r="L1837">
        <v>0</v>
      </c>
      <c r="M1837">
        <v>0</v>
      </c>
      <c r="N1837">
        <v>2750</v>
      </c>
    </row>
    <row r="1838" spans="1:14" x14ac:dyDescent="0.25">
      <c r="A1838">
        <v>867.73294599999997</v>
      </c>
      <c r="B1838" s="1">
        <f>DATE(2012,9,14) + TIME(17,35,26)</f>
        <v>41166.732939814814</v>
      </c>
      <c r="C1838">
        <v>80</v>
      </c>
      <c r="D1838">
        <v>79.972068786999998</v>
      </c>
      <c r="E1838">
        <v>60</v>
      </c>
      <c r="F1838">
        <v>57.133617401000002</v>
      </c>
      <c r="G1838">
        <v>1339.921875</v>
      </c>
      <c r="H1838">
        <v>1337.6417236</v>
      </c>
      <c r="I1838">
        <v>1325.3645019999999</v>
      </c>
      <c r="J1838">
        <v>1322.7099608999999</v>
      </c>
      <c r="K1838">
        <v>2750</v>
      </c>
      <c r="L1838">
        <v>0</v>
      </c>
      <c r="M1838">
        <v>0</v>
      </c>
      <c r="N1838">
        <v>2750</v>
      </c>
    </row>
    <row r="1839" spans="1:14" x14ac:dyDescent="0.25">
      <c r="A1839">
        <v>870.32710999999995</v>
      </c>
      <c r="B1839" s="1">
        <f>DATE(2012,9,17) + TIME(7,51,2)</f>
        <v>41169.327106481483</v>
      </c>
      <c r="C1839">
        <v>80</v>
      </c>
      <c r="D1839">
        <v>79.972091675000001</v>
      </c>
      <c r="E1839">
        <v>60</v>
      </c>
      <c r="F1839">
        <v>57.499279022000003</v>
      </c>
      <c r="G1839">
        <v>1339.9154053</v>
      </c>
      <c r="H1839">
        <v>1337.6379394999999</v>
      </c>
      <c r="I1839">
        <v>1325.3565673999999</v>
      </c>
      <c r="J1839">
        <v>1322.6973877</v>
      </c>
      <c r="K1839">
        <v>2750</v>
      </c>
      <c r="L1839">
        <v>0</v>
      </c>
      <c r="M1839">
        <v>0</v>
      </c>
      <c r="N1839">
        <v>2750</v>
      </c>
    </row>
    <row r="1840" spans="1:14" x14ac:dyDescent="0.25">
      <c r="A1840">
        <v>873.05593099999999</v>
      </c>
      <c r="B1840" s="1">
        <f>DATE(2012,9,20) + TIME(1,20,32)</f>
        <v>41172.055925925924</v>
      </c>
      <c r="C1840">
        <v>80</v>
      </c>
      <c r="D1840">
        <v>79.972106933999996</v>
      </c>
      <c r="E1840">
        <v>60</v>
      </c>
      <c r="F1840">
        <v>57.884365082000002</v>
      </c>
      <c r="G1840">
        <v>1339.9088135</v>
      </c>
      <c r="H1840">
        <v>1337.6341553</v>
      </c>
      <c r="I1840">
        <v>1325.3491211</v>
      </c>
      <c r="J1840">
        <v>1322.6857910000001</v>
      </c>
      <c r="K1840">
        <v>2750</v>
      </c>
      <c r="L1840">
        <v>0</v>
      </c>
      <c r="M1840">
        <v>0</v>
      </c>
      <c r="N1840">
        <v>2750</v>
      </c>
    </row>
    <row r="1841" spans="1:14" x14ac:dyDescent="0.25">
      <c r="A1841">
        <v>875.94683799999996</v>
      </c>
      <c r="B1841" s="1">
        <f>DATE(2012,9,22) + TIME(22,43,26)</f>
        <v>41174.946828703702</v>
      </c>
      <c r="C1841">
        <v>80</v>
      </c>
      <c r="D1841">
        <v>79.972129821999999</v>
      </c>
      <c r="E1841">
        <v>60</v>
      </c>
      <c r="F1841">
        <v>58.287952423</v>
      </c>
      <c r="G1841">
        <v>1339.9020995999999</v>
      </c>
      <c r="H1841">
        <v>1337.6301269999999</v>
      </c>
      <c r="I1841">
        <v>1325.3421631000001</v>
      </c>
      <c r="J1841">
        <v>1322.6750488</v>
      </c>
      <c r="K1841">
        <v>2750</v>
      </c>
      <c r="L1841">
        <v>0</v>
      </c>
      <c r="M1841">
        <v>0</v>
      </c>
      <c r="N1841">
        <v>2750</v>
      </c>
    </row>
    <row r="1842" spans="1:14" x14ac:dyDescent="0.25">
      <c r="A1842">
        <v>879.02722600000004</v>
      </c>
      <c r="B1842" s="1">
        <f>DATE(2012,9,26) + TIME(0,39,12)</f>
        <v>41178.027222222219</v>
      </c>
      <c r="C1842">
        <v>80</v>
      </c>
      <c r="D1842">
        <v>79.972160338999998</v>
      </c>
      <c r="E1842">
        <v>60</v>
      </c>
      <c r="F1842">
        <v>58.707843781000001</v>
      </c>
      <c r="G1842">
        <v>1339.8950195</v>
      </c>
      <c r="H1842">
        <v>1337.6259766000001</v>
      </c>
      <c r="I1842">
        <v>1325.3356934000001</v>
      </c>
      <c r="J1842">
        <v>1322.6651611</v>
      </c>
      <c r="K1842">
        <v>2750</v>
      </c>
      <c r="L1842">
        <v>0</v>
      </c>
      <c r="M1842">
        <v>0</v>
      </c>
      <c r="N1842">
        <v>2750</v>
      </c>
    </row>
    <row r="1843" spans="1:14" x14ac:dyDescent="0.25">
      <c r="A1843">
        <v>882.30292399999996</v>
      </c>
      <c r="B1843" s="1">
        <f>DATE(2012,9,29) + TIME(7,16,12)</f>
        <v>41181.302916666667</v>
      </c>
      <c r="C1843">
        <v>80</v>
      </c>
      <c r="D1843">
        <v>79.972183228000006</v>
      </c>
      <c r="E1843">
        <v>60</v>
      </c>
      <c r="F1843">
        <v>59.142742157000001</v>
      </c>
      <c r="G1843">
        <v>1339.8876952999999</v>
      </c>
      <c r="H1843">
        <v>1337.6217041</v>
      </c>
      <c r="I1843">
        <v>1325.3294678</v>
      </c>
      <c r="J1843">
        <v>1322.6558838000001</v>
      </c>
      <c r="K1843">
        <v>2750</v>
      </c>
      <c r="L1843">
        <v>0</v>
      </c>
      <c r="M1843">
        <v>0</v>
      </c>
      <c r="N1843">
        <v>2750</v>
      </c>
    </row>
    <row r="1844" spans="1:14" x14ac:dyDescent="0.25">
      <c r="A1844">
        <v>884</v>
      </c>
      <c r="B1844" s="1">
        <f>DATE(2012,10,1) + TIME(0,0,0)</f>
        <v>41183</v>
      </c>
      <c r="C1844">
        <v>80</v>
      </c>
      <c r="D1844">
        <v>79.972183228000006</v>
      </c>
      <c r="E1844">
        <v>60</v>
      </c>
      <c r="F1844">
        <v>59.53453064</v>
      </c>
      <c r="G1844">
        <v>1339.880249</v>
      </c>
      <c r="H1844">
        <v>1337.6173096</v>
      </c>
      <c r="I1844">
        <v>1325.3251952999999</v>
      </c>
      <c r="J1844">
        <v>1322.6479492000001</v>
      </c>
      <c r="K1844">
        <v>2750</v>
      </c>
      <c r="L1844">
        <v>0</v>
      </c>
      <c r="M1844">
        <v>0</v>
      </c>
      <c r="N1844">
        <v>2750</v>
      </c>
    </row>
    <row r="1845" spans="1:14" x14ac:dyDescent="0.25">
      <c r="A1845">
        <v>887.33736299999998</v>
      </c>
      <c r="B1845" s="1">
        <f>DATE(2012,10,4) + TIME(8,5,48)</f>
        <v>41186.337361111109</v>
      </c>
      <c r="C1845">
        <v>80</v>
      </c>
      <c r="D1845">
        <v>79.972221375000004</v>
      </c>
      <c r="E1845">
        <v>60</v>
      </c>
      <c r="F1845">
        <v>59.826793670999997</v>
      </c>
      <c r="G1845">
        <v>1339.8764647999999</v>
      </c>
      <c r="H1845">
        <v>1337.6151123</v>
      </c>
      <c r="I1845">
        <v>1325.3204346</v>
      </c>
      <c r="J1845">
        <v>1322.6434326000001</v>
      </c>
      <c r="K1845">
        <v>2750</v>
      </c>
      <c r="L1845">
        <v>0</v>
      </c>
      <c r="M1845">
        <v>0</v>
      </c>
      <c r="N1845">
        <v>2750</v>
      </c>
    </row>
    <row r="1846" spans="1:14" x14ac:dyDescent="0.25">
      <c r="A1846">
        <v>890.80267100000003</v>
      </c>
      <c r="B1846" s="1">
        <f>DATE(2012,10,7) + TIME(19,15,50)</f>
        <v>41189.802662037036</v>
      </c>
      <c r="C1846">
        <v>80</v>
      </c>
      <c r="D1846">
        <v>79.972251892000003</v>
      </c>
      <c r="E1846">
        <v>60</v>
      </c>
      <c r="F1846">
        <v>60.228500365999999</v>
      </c>
      <c r="G1846">
        <v>1339.8690185999999</v>
      </c>
      <c r="H1846">
        <v>1337.6107178</v>
      </c>
      <c r="I1846">
        <v>1325.3157959</v>
      </c>
      <c r="J1846">
        <v>1322.6356201000001</v>
      </c>
      <c r="K1846">
        <v>2750</v>
      </c>
      <c r="L1846">
        <v>0</v>
      </c>
      <c r="M1846">
        <v>0</v>
      </c>
      <c r="N1846">
        <v>2750</v>
      </c>
    </row>
    <row r="1847" spans="1:14" x14ac:dyDescent="0.25">
      <c r="A1847">
        <v>894.32319900000005</v>
      </c>
      <c r="B1847" s="1">
        <f>DATE(2012,10,11) + TIME(7,45,24)</f>
        <v>41193.323194444441</v>
      </c>
      <c r="C1847">
        <v>80</v>
      </c>
      <c r="D1847">
        <v>79.972282410000005</v>
      </c>
      <c r="E1847">
        <v>60</v>
      </c>
      <c r="F1847">
        <v>60.637493134000003</v>
      </c>
      <c r="G1847">
        <v>1339.8615723</v>
      </c>
      <c r="H1847">
        <v>1337.6063231999999</v>
      </c>
      <c r="I1847">
        <v>1325.3112793</v>
      </c>
      <c r="J1847">
        <v>1322.6287841999999</v>
      </c>
      <c r="K1847">
        <v>2750</v>
      </c>
      <c r="L1847">
        <v>0</v>
      </c>
      <c r="M1847">
        <v>0</v>
      </c>
      <c r="N1847">
        <v>2750</v>
      </c>
    </row>
    <row r="1848" spans="1:14" x14ac:dyDescent="0.25">
      <c r="A1848">
        <v>897.95552299999997</v>
      </c>
      <c r="B1848" s="1">
        <f>DATE(2012,10,14) + TIME(22,55,57)</f>
        <v>41196.955520833333</v>
      </c>
      <c r="C1848">
        <v>80</v>
      </c>
      <c r="D1848">
        <v>79.972312927000004</v>
      </c>
      <c r="E1848">
        <v>60</v>
      </c>
      <c r="F1848">
        <v>61.026920318999998</v>
      </c>
      <c r="G1848">
        <v>1339.8542480000001</v>
      </c>
      <c r="H1848">
        <v>1337.6019286999999</v>
      </c>
      <c r="I1848">
        <v>1325.3068848</v>
      </c>
      <c r="J1848">
        <v>1322.6223144999999</v>
      </c>
      <c r="K1848">
        <v>2750</v>
      </c>
      <c r="L1848">
        <v>0</v>
      </c>
      <c r="M1848">
        <v>0</v>
      </c>
      <c r="N1848">
        <v>2750</v>
      </c>
    </row>
    <row r="1849" spans="1:14" x14ac:dyDescent="0.25">
      <c r="A1849">
        <v>901.63036099999999</v>
      </c>
      <c r="B1849" s="1">
        <f>DATE(2012,10,18) + TIME(15,7,43)</f>
        <v>41200.630358796298</v>
      </c>
      <c r="C1849">
        <v>80</v>
      </c>
      <c r="D1849">
        <v>79.972351074000002</v>
      </c>
      <c r="E1849">
        <v>60</v>
      </c>
      <c r="F1849">
        <v>61.411224365000002</v>
      </c>
      <c r="G1849">
        <v>1339.8469238</v>
      </c>
      <c r="H1849">
        <v>1337.5976562000001</v>
      </c>
      <c r="I1849">
        <v>1325.3028564000001</v>
      </c>
      <c r="J1849">
        <v>1322.6163329999999</v>
      </c>
      <c r="K1849">
        <v>2750</v>
      </c>
      <c r="L1849">
        <v>0</v>
      </c>
      <c r="M1849">
        <v>0</v>
      </c>
      <c r="N1849">
        <v>2750</v>
      </c>
    </row>
    <row r="1850" spans="1:14" x14ac:dyDescent="0.25">
      <c r="A1850">
        <v>905.38848399999995</v>
      </c>
      <c r="B1850" s="1">
        <f>DATE(2012,10,22) + TIME(9,19,24)</f>
        <v>41204.388472222221</v>
      </c>
      <c r="C1850">
        <v>80</v>
      </c>
      <c r="D1850">
        <v>79.972373962000006</v>
      </c>
      <c r="E1850">
        <v>60</v>
      </c>
      <c r="F1850">
        <v>61.761085510000001</v>
      </c>
      <c r="G1850">
        <v>1339.8397216999999</v>
      </c>
      <c r="H1850">
        <v>1337.5933838000001</v>
      </c>
      <c r="I1850">
        <v>1325.2990723</v>
      </c>
      <c r="J1850">
        <v>1322.6105957</v>
      </c>
      <c r="K1850">
        <v>2750</v>
      </c>
      <c r="L1850">
        <v>0</v>
      </c>
      <c r="M1850">
        <v>0</v>
      </c>
      <c r="N1850">
        <v>2750</v>
      </c>
    </row>
    <row r="1851" spans="1:14" x14ac:dyDescent="0.25">
      <c r="A1851">
        <v>909.23836500000004</v>
      </c>
      <c r="B1851" s="1">
        <f>DATE(2012,10,26) + TIME(5,43,14)</f>
        <v>41208.238356481481</v>
      </c>
      <c r="C1851">
        <v>80</v>
      </c>
      <c r="D1851">
        <v>79.972419739000003</v>
      </c>
      <c r="E1851">
        <v>60</v>
      </c>
      <c r="F1851">
        <v>62.121238708</v>
      </c>
      <c r="G1851">
        <v>1339.8325195</v>
      </c>
      <c r="H1851">
        <v>1337.5891113</v>
      </c>
      <c r="I1851">
        <v>1325.2954102000001</v>
      </c>
      <c r="J1851">
        <v>1322.6052245999999</v>
      </c>
      <c r="K1851">
        <v>2750</v>
      </c>
      <c r="L1851">
        <v>0</v>
      </c>
      <c r="M1851">
        <v>0</v>
      </c>
      <c r="N1851">
        <v>2750</v>
      </c>
    </row>
    <row r="1852" spans="1:14" x14ac:dyDescent="0.25">
      <c r="A1852">
        <v>913.13682400000005</v>
      </c>
      <c r="B1852" s="1">
        <f>DATE(2012,10,30) + TIME(3,17,1)</f>
        <v>41212.136817129627</v>
      </c>
      <c r="C1852">
        <v>80</v>
      </c>
      <c r="D1852">
        <v>79.972442627000007</v>
      </c>
      <c r="E1852">
        <v>60</v>
      </c>
      <c r="F1852">
        <v>62.416988373000002</v>
      </c>
      <c r="G1852">
        <v>1339.8254394999999</v>
      </c>
      <c r="H1852">
        <v>1337.5848389</v>
      </c>
      <c r="I1852">
        <v>1325.2921143000001</v>
      </c>
      <c r="J1852">
        <v>1322.5998535000001</v>
      </c>
      <c r="K1852">
        <v>2750</v>
      </c>
      <c r="L1852">
        <v>0</v>
      </c>
      <c r="M1852">
        <v>0</v>
      </c>
      <c r="N1852">
        <v>2750</v>
      </c>
    </row>
    <row r="1853" spans="1:14" x14ac:dyDescent="0.25">
      <c r="A1853">
        <v>915</v>
      </c>
      <c r="B1853" s="1">
        <f>DATE(2012,11,1) + TIME(0,0,0)</f>
        <v>41214</v>
      </c>
      <c r="C1853">
        <v>80</v>
      </c>
      <c r="D1853">
        <v>79.972457886000001</v>
      </c>
      <c r="E1853">
        <v>60</v>
      </c>
      <c r="F1853">
        <v>62.743083953999999</v>
      </c>
      <c r="G1853">
        <v>1339.8183594</v>
      </c>
      <c r="H1853">
        <v>1337.5806885</v>
      </c>
      <c r="I1853">
        <v>1325.2897949000001</v>
      </c>
      <c r="J1853">
        <v>1322.5957031</v>
      </c>
      <c r="K1853">
        <v>2750</v>
      </c>
      <c r="L1853">
        <v>0</v>
      </c>
      <c r="M1853">
        <v>0</v>
      </c>
      <c r="N1853">
        <v>2750</v>
      </c>
    </row>
    <row r="1854" spans="1:14" x14ac:dyDescent="0.25">
      <c r="A1854">
        <v>915.000001</v>
      </c>
      <c r="B1854" s="1">
        <f>DATE(2012,11,1) + TIME(0,0,0)</f>
        <v>41214</v>
      </c>
      <c r="C1854">
        <v>80</v>
      </c>
      <c r="D1854">
        <v>79.972358704000001</v>
      </c>
      <c r="E1854">
        <v>60</v>
      </c>
      <c r="F1854">
        <v>62.743217467999997</v>
      </c>
      <c r="G1854">
        <v>1336.8778076000001</v>
      </c>
      <c r="H1854">
        <v>1336.0843506000001</v>
      </c>
      <c r="I1854">
        <v>1328.9415283000001</v>
      </c>
      <c r="J1854">
        <v>1326.340332</v>
      </c>
      <c r="K1854">
        <v>0</v>
      </c>
      <c r="L1854">
        <v>2750</v>
      </c>
      <c r="M1854">
        <v>2750</v>
      </c>
      <c r="N1854">
        <v>0</v>
      </c>
    </row>
    <row r="1855" spans="1:14" x14ac:dyDescent="0.25">
      <c r="A1855">
        <v>915.00000399999999</v>
      </c>
      <c r="B1855" s="1">
        <f>DATE(2012,11,1) + TIME(0,0,0)</f>
        <v>41214</v>
      </c>
      <c r="C1855">
        <v>80</v>
      </c>
      <c r="D1855">
        <v>79.972221375000004</v>
      </c>
      <c r="E1855">
        <v>60</v>
      </c>
      <c r="F1855">
        <v>62.743396758999999</v>
      </c>
      <c r="G1855">
        <v>1335.9387207</v>
      </c>
      <c r="H1855">
        <v>1335.1334228999999</v>
      </c>
      <c r="I1855">
        <v>1330.2958983999999</v>
      </c>
      <c r="J1855">
        <v>1327.8134766000001</v>
      </c>
      <c r="K1855">
        <v>0</v>
      </c>
      <c r="L1855">
        <v>2750</v>
      </c>
      <c r="M1855">
        <v>2750</v>
      </c>
      <c r="N1855">
        <v>0</v>
      </c>
    </row>
    <row r="1856" spans="1:14" x14ac:dyDescent="0.25">
      <c r="A1856">
        <v>915.00001299999997</v>
      </c>
      <c r="B1856" s="1">
        <f>DATE(2012,11,1) + TIME(0,0,1)</f>
        <v>41214.000011574077</v>
      </c>
      <c r="C1856">
        <v>80</v>
      </c>
      <c r="D1856">
        <v>79.972084045000003</v>
      </c>
      <c r="E1856">
        <v>60</v>
      </c>
      <c r="F1856">
        <v>62.743564606</v>
      </c>
      <c r="G1856">
        <v>1334.9650879000001</v>
      </c>
      <c r="H1856">
        <v>1334.1260986</v>
      </c>
      <c r="I1856">
        <v>1331.9158935999999</v>
      </c>
      <c r="J1856">
        <v>1329.4150391000001</v>
      </c>
      <c r="K1856">
        <v>0</v>
      </c>
      <c r="L1856">
        <v>2750</v>
      </c>
      <c r="M1856">
        <v>2750</v>
      </c>
      <c r="N1856">
        <v>0</v>
      </c>
    </row>
    <row r="1857" spans="1:14" x14ac:dyDescent="0.25">
      <c r="A1857">
        <v>915.00004000000001</v>
      </c>
      <c r="B1857" s="1">
        <f>DATE(2012,11,1) + TIME(0,0,3)</f>
        <v>41214.000034722223</v>
      </c>
      <c r="C1857">
        <v>80</v>
      </c>
      <c r="D1857">
        <v>79.971939086999996</v>
      </c>
      <c r="E1857">
        <v>60</v>
      </c>
      <c r="F1857">
        <v>62.743629456000001</v>
      </c>
      <c r="G1857">
        <v>1334.0020752</v>
      </c>
      <c r="H1857">
        <v>1333.1151123</v>
      </c>
      <c r="I1857">
        <v>1333.5532227000001</v>
      </c>
      <c r="J1857">
        <v>1331.0015868999999</v>
      </c>
      <c r="K1857">
        <v>0</v>
      </c>
      <c r="L1857">
        <v>2750</v>
      </c>
      <c r="M1857">
        <v>2750</v>
      </c>
      <c r="N1857">
        <v>0</v>
      </c>
    </row>
    <row r="1858" spans="1:14" x14ac:dyDescent="0.25">
      <c r="A1858">
        <v>915.00012100000004</v>
      </c>
      <c r="B1858" s="1">
        <f>DATE(2012,11,1) + TIME(0,0,10)</f>
        <v>41214.000115740739</v>
      </c>
      <c r="C1858">
        <v>80</v>
      </c>
      <c r="D1858">
        <v>79.971794127999999</v>
      </c>
      <c r="E1858">
        <v>60</v>
      </c>
      <c r="F1858">
        <v>62.743385314999998</v>
      </c>
      <c r="G1858">
        <v>1333.0018310999999</v>
      </c>
      <c r="H1858">
        <v>1332.0506591999999</v>
      </c>
      <c r="I1858">
        <v>1335.1618652</v>
      </c>
      <c r="J1858">
        <v>1332.5593262</v>
      </c>
      <c r="K1858">
        <v>0</v>
      </c>
      <c r="L1858">
        <v>2750</v>
      </c>
      <c r="M1858">
        <v>2750</v>
      </c>
      <c r="N1858">
        <v>0</v>
      </c>
    </row>
    <row r="1859" spans="1:14" x14ac:dyDescent="0.25">
      <c r="A1859">
        <v>915.00036399999999</v>
      </c>
      <c r="B1859" s="1">
        <f>DATE(2012,11,1) + TIME(0,0,31)</f>
        <v>41214.000358796293</v>
      </c>
      <c r="C1859">
        <v>80</v>
      </c>
      <c r="D1859">
        <v>79.971603393999999</v>
      </c>
      <c r="E1859">
        <v>60</v>
      </c>
      <c r="F1859">
        <v>62.742214203000003</v>
      </c>
      <c r="G1859">
        <v>1331.9357910000001</v>
      </c>
      <c r="H1859">
        <v>1330.9105225000001</v>
      </c>
      <c r="I1859">
        <v>1336.7403564000001</v>
      </c>
      <c r="J1859">
        <v>1334.0760498</v>
      </c>
      <c r="K1859">
        <v>0</v>
      </c>
      <c r="L1859">
        <v>2750</v>
      </c>
      <c r="M1859">
        <v>2750</v>
      </c>
      <c r="N1859">
        <v>0</v>
      </c>
    </row>
    <row r="1860" spans="1:14" x14ac:dyDescent="0.25">
      <c r="A1860">
        <v>915.00109299999997</v>
      </c>
      <c r="B1860" s="1">
        <f>DATE(2012,11,1) + TIME(0,1,34)</f>
        <v>41214.001087962963</v>
      </c>
      <c r="C1860">
        <v>80</v>
      </c>
      <c r="D1860">
        <v>79.971359253000003</v>
      </c>
      <c r="E1860">
        <v>60</v>
      </c>
      <c r="F1860">
        <v>62.738174438000001</v>
      </c>
      <c r="G1860">
        <v>1330.9002685999999</v>
      </c>
      <c r="H1860">
        <v>1329.8099365</v>
      </c>
      <c r="I1860">
        <v>1338.1687012</v>
      </c>
      <c r="J1860">
        <v>1335.4373779</v>
      </c>
      <c r="K1860">
        <v>0</v>
      </c>
      <c r="L1860">
        <v>2750</v>
      </c>
      <c r="M1860">
        <v>2750</v>
      </c>
      <c r="N1860">
        <v>0</v>
      </c>
    </row>
    <row r="1861" spans="1:14" x14ac:dyDescent="0.25">
      <c r="A1861">
        <v>915.00328000000002</v>
      </c>
      <c r="B1861" s="1">
        <f>DATE(2012,11,1) + TIME(0,4,43)</f>
        <v>41214.003275462965</v>
      </c>
      <c r="C1861">
        <v>80</v>
      </c>
      <c r="D1861">
        <v>79.970939635999997</v>
      </c>
      <c r="E1861">
        <v>60</v>
      </c>
      <c r="F1861">
        <v>62.725494384999998</v>
      </c>
      <c r="G1861">
        <v>1330.1074219</v>
      </c>
      <c r="H1861">
        <v>1328.9810791</v>
      </c>
      <c r="I1861">
        <v>1339.2084961</v>
      </c>
      <c r="J1861">
        <v>1336.4309082</v>
      </c>
      <c r="K1861">
        <v>0</v>
      </c>
      <c r="L1861">
        <v>2750</v>
      </c>
      <c r="M1861">
        <v>2750</v>
      </c>
      <c r="N1861">
        <v>0</v>
      </c>
    </row>
    <row r="1862" spans="1:14" x14ac:dyDescent="0.25">
      <c r="A1862">
        <v>915.00984100000005</v>
      </c>
      <c r="B1862" s="1">
        <f>DATE(2012,11,1) + TIME(0,14,10)</f>
        <v>41214.009837962964</v>
      </c>
      <c r="C1862">
        <v>80</v>
      </c>
      <c r="D1862">
        <v>79.969947814999998</v>
      </c>
      <c r="E1862">
        <v>60</v>
      </c>
      <c r="F1862">
        <v>62.687454224</v>
      </c>
      <c r="G1862">
        <v>1329.6877440999999</v>
      </c>
      <c r="H1862">
        <v>1328.5499268000001</v>
      </c>
      <c r="I1862">
        <v>1339.7113036999999</v>
      </c>
      <c r="J1862">
        <v>1336.9180908000001</v>
      </c>
      <c r="K1862">
        <v>0</v>
      </c>
      <c r="L1862">
        <v>2750</v>
      </c>
      <c r="M1862">
        <v>2750</v>
      </c>
      <c r="N1862">
        <v>0</v>
      </c>
    </row>
    <row r="1863" spans="1:14" x14ac:dyDescent="0.25">
      <c r="A1863">
        <v>915.02952400000004</v>
      </c>
      <c r="B1863" s="1">
        <f>DATE(2012,11,1) + TIME(0,42,30)</f>
        <v>41214.029513888891</v>
      </c>
      <c r="C1863">
        <v>80</v>
      </c>
      <c r="D1863">
        <v>79.967185974000003</v>
      </c>
      <c r="E1863">
        <v>60</v>
      </c>
      <c r="F1863">
        <v>62.578155518000003</v>
      </c>
      <c r="G1863">
        <v>1329.5634766000001</v>
      </c>
      <c r="H1863">
        <v>1328.4226074000001</v>
      </c>
      <c r="I1863">
        <v>1339.8077393000001</v>
      </c>
      <c r="J1863">
        <v>1337.0197754000001</v>
      </c>
      <c r="K1863">
        <v>0</v>
      </c>
      <c r="L1863">
        <v>2750</v>
      </c>
      <c r="M1863">
        <v>2750</v>
      </c>
      <c r="N1863">
        <v>0</v>
      </c>
    </row>
    <row r="1864" spans="1:14" x14ac:dyDescent="0.25">
      <c r="A1864">
        <v>915.05823599999997</v>
      </c>
      <c r="B1864" s="1">
        <f>DATE(2012,11,1) + TIME(1,23,51)</f>
        <v>41214.058229166665</v>
      </c>
      <c r="C1864">
        <v>80</v>
      </c>
      <c r="D1864">
        <v>79.963233947999996</v>
      </c>
      <c r="E1864">
        <v>60</v>
      </c>
      <c r="F1864">
        <v>62.428710938000002</v>
      </c>
      <c r="G1864">
        <v>1329.5446777</v>
      </c>
      <c r="H1864">
        <v>1328.4017334</v>
      </c>
      <c r="I1864">
        <v>1339.7895507999999</v>
      </c>
      <c r="J1864">
        <v>1337.0111084</v>
      </c>
      <c r="K1864">
        <v>0</v>
      </c>
      <c r="L1864">
        <v>2750</v>
      </c>
      <c r="M1864">
        <v>2750</v>
      </c>
      <c r="N1864">
        <v>0</v>
      </c>
    </row>
    <row r="1865" spans="1:14" x14ac:dyDescent="0.25">
      <c r="A1865">
        <v>915.08756900000003</v>
      </c>
      <c r="B1865" s="1">
        <f>DATE(2012,11,1) + TIME(2,6,5)</f>
        <v>41214.087557870371</v>
      </c>
      <c r="C1865">
        <v>80</v>
      </c>
      <c r="D1865">
        <v>79.959220885999997</v>
      </c>
      <c r="E1865">
        <v>60</v>
      </c>
      <c r="F1865">
        <v>62.285598755000002</v>
      </c>
      <c r="G1865">
        <v>1329.5389404</v>
      </c>
      <c r="H1865">
        <v>1328.3936768000001</v>
      </c>
      <c r="I1865">
        <v>1339.7706298999999</v>
      </c>
      <c r="J1865">
        <v>1336.9987793</v>
      </c>
      <c r="K1865">
        <v>0</v>
      </c>
      <c r="L1865">
        <v>2750</v>
      </c>
      <c r="M1865">
        <v>2750</v>
      </c>
      <c r="N1865">
        <v>0</v>
      </c>
    </row>
    <row r="1866" spans="1:14" x14ac:dyDescent="0.25">
      <c r="A1866">
        <v>915.11758199999997</v>
      </c>
      <c r="B1866" s="1">
        <f>DATE(2012,11,1) + TIME(2,49,19)</f>
        <v>41214.117581018516</v>
      </c>
      <c r="C1866">
        <v>80</v>
      </c>
      <c r="D1866">
        <v>79.955139160000002</v>
      </c>
      <c r="E1866">
        <v>60</v>
      </c>
      <c r="F1866">
        <v>62.148464203000003</v>
      </c>
      <c r="G1866">
        <v>1329.534668</v>
      </c>
      <c r="H1866">
        <v>1328.387207</v>
      </c>
      <c r="I1866">
        <v>1339.7531738</v>
      </c>
      <c r="J1866">
        <v>1336.9873047000001</v>
      </c>
      <c r="K1866">
        <v>0</v>
      </c>
      <c r="L1866">
        <v>2750</v>
      </c>
      <c r="M1866">
        <v>2750</v>
      </c>
      <c r="N1866">
        <v>0</v>
      </c>
    </row>
    <row r="1867" spans="1:14" x14ac:dyDescent="0.25">
      <c r="A1867">
        <v>915.14828899999998</v>
      </c>
      <c r="B1867" s="1">
        <f>DATE(2012,11,1) + TIME(3,33,32)</f>
        <v>41214.148287037038</v>
      </c>
      <c r="C1867">
        <v>80</v>
      </c>
      <c r="D1867">
        <v>79.950988769999995</v>
      </c>
      <c r="E1867">
        <v>60</v>
      </c>
      <c r="F1867">
        <v>62.017166138</v>
      </c>
      <c r="G1867">
        <v>1329.5305175999999</v>
      </c>
      <c r="H1867">
        <v>1328.3808594</v>
      </c>
      <c r="I1867">
        <v>1339.7373047000001</v>
      </c>
      <c r="J1867">
        <v>1336.9769286999999</v>
      </c>
      <c r="K1867">
        <v>0</v>
      </c>
      <c r="L1867">
        <v>2750</v>
      </c>
      <c r="M1867">
        <v>2750</v>
      </c>
      <c r="N1867">
        <v>0</v>
      </c>
    </row>
    <row r="1868" spans="1:14" x14ac:dyDescent="0.25">
      <c r="A1868">
        <v>915.17972799999995</v>
      </c>
      <c r="B1868" s="1">
        <f>DATE(2012,11,1) + TIME(4,18,48)</f>
        <v>41214.179722222223</v>
      </c>
      <c r="C1868">
        <v>80</v>
      </c>
      <c r="D1868">
        <v>79.946762085000003</v>
      </c>
      <c r="E1868">
        <v>60</v>
      </c>
      <c r="F1868">
        <v>61.891490935999997</v>
      </c>
      <c r="G1868">
        <v>1329.5263672000001</v>
      </c>
      <c r="H1868">
        <v>1328.3743896000001</v>
      </c>
      <c r="I1868">
        <v>1339.7230225000001</v>
      </c>
      <c r="J1868">
        <v>1336.9675293</v>
      </c>
      <c r="K1868">
        <v>0</v>
      </c>
      <c r="L1868">
        <v>2750</v>
      </c>
      <c r="M1868">
        <v>2750</v>
      </c>
      <c r="N1868">
        <v>0</v>
      </c>
    </row>
    <row r="1869" spans="1:14" x14ac:dyDescent="0.25">
      <c r="A1869">
        <v>915.21195</v>
      </c>
      <c r="B1869" s="1">
        <f>DATE(2012,11,1) + TIME(5,5,12)</f>
        <v>41214.211944444447</v>
      </c>
      <c r="C1869">
        <v>80</v>
      </c>
      <c r="D1869">
        <v>79.942459106000001</v>
      </c>
      <c r="E1869">
        <v>60</v>
      </c>
      <c r="F1869">
        <v>61.771205901999998</v>
      </c>
      <c r="G1869">
        <v>1329.5220947</v>
      </c>
      <c r="H1869">
        <v>1328.3679199000001</v>
      </c>
      <c r="I1869">
        <v>1339.7102050999999</v>
      </c>
      <c r="J1869">
        <v>1336.9591064000001</v>
      </c>
      <c r="K1869">
        <v>0</v>
      </c>
      <c r="L1869">
        <v>2750</v>
      </c>
      <c r="M1869">
        <v>2750</v>
      </c>
      <c r="N1869">
        <v>0</v>
      </c>
    </row>
    <row r="1870" spans="1:14" x14ac:dyDescent="0.25">
      <c r="A1870">
        <v>915.24499800000001</v>
      </c>
      <c r="B1870" s="1">
        <f>DATE(2012,11,1) + TIME(5,52,47)</f>
        <v>41214.244988425926</v>
      </c>
      <c r="C1870">
        <v>80</v>
      </c>
      <c r="D1870">
        <v>79.938072204999997</v>
      </c>
      <c r="E1870">
        <v>60</v>
      </c>
      <c r="F1870">
        <v>61.656127929999997</v>
      </c>
      <c r="G1870">
        <v>1329.5179443</v>
      </c>
      <c r="H1870">
        <v>1328.3614502</v>
      </c>
      <c r="I1870">
        <v>1339.6988524999999</v>
      </c>
      <c r="J1870">
        <v>1336.9516602000001</v>
      </c>
      <c r="K1870">
        <v>0</v>
      </c>
      <c r="L1870">
        <v>2750</v>
      </c>
      <c r="M1870">
        <v>2750</v>
      </c>
      <c r="N1870">
        <v>0</v>
      </c>
    </row>
    <row r="1871" spans="1:14" x14ac:dyDescent="0.25">
      <c r="A1871">
        <v>915.27892999999995</v>
      </c>
      <c r="B1871" s="1">
        <f>DATE(2012,11,1) + TIME(6,41,39)</f>
        <v>41214.278923611113</v>
      </c>
      <c r="C1871">
        <v>80</v>
      </c>
      <c r="D1871">
        <v>79.933601378999995</v>
      </c>
      <c r="E1871">
        <v>60</v>
      </c>
      <c r="F1871">
        <v>61.546047211000001</v>
      </c>
      <c r="G1871">
        <v>1329.5136719</v>
      </c>
      <c r="H1871">
        <v>1328.3548584</v>
      </c>
      <c r="I1871">
        <v>1339.6888428</v>
      </c>
      <c r="J1871">
        <v>1336.9450684000001</v>
      </c>
      <c r="K1871">
        <v>0</v>
      </c>
      <c r="L1871">
        <v>2750</v>
      </c>
      <c r="M1871">
        <v>2750</v>
      </c>
      <c r="N1871">
        <v>0</v>
      </c>
    </row>
    <row r="1872" spans="1:14" x14ac:dyDescent="0.25">
      <c r="A1872">
        <v>915.31382099999996</v>
      </c>
      <c r="B1872" s="1">
        <f>DATE(2012,11,1) + TIME(7,31,54)</f>
        <v>41214.313819444447</v>
      </c>
      <c r="C1872">
        <v>80</v>
      </c>
      <c r="D1872">
        <v>79.929023743000002</v>
      </c>
      <c r="E1872">
        <v>60</v>
      </c>
      <c r="F1872">
        <v>61.440750121999997</v>
      </c>
      <c r="G1872">
        <v>1329.5093993999999</v>
      </c>
      <c r="H1872">
        <v>1328.3482666</v>
      </c>
      <c r="I1872">
        <v>1339.6800536999999</v>
      </c>
      <c r="J1872">
        <v>1336.9393310999999</v>
      </c>
      <c r="K1872">
        <v>0</v>
      </c>
      <c r="L1872">
        <v>2750</v>
      </c>
      <c r="M1872">
        <v>2750</v>
      </c>
      <c r="N1872">
        <v>0</v>
      </c>
    </row>
    <row r="1873" spans="1:14" x14ac:dyDescent="0.25">
      <c r="A1873">
        <v>915.34974</v>
      </c>
      <c r="B1873" s="1">
        <f>DATE(2012,11,1) + TIME(8,23,37)</f>
        <v>41214.349733796298</v>
      </c>
      <c r="C1873">
        <v>80</v>
      </c>
      <c r="D1873">
        <v>79.924354553000001</v>
      </c>
      <c r="E1873">
        <v>60</v>
      </c>
      <c r="F1873">
        <v>61.340068817000002</v>
      </c>
      <c r="G1873">
        <v>1329.5050048999999</v>
      </c>
      <c r="H1873">
        <v>1328.3415527</v>
      </c>
      <c r="I1873">
        <v>1339.6726074000001</v>
      </c>
      <c r="J1873">
        <v>1336.9343262</v>
      </c>
      <c r="K1873">
        <v>0</v>
      </c>
      <c r="L1873">
        <v>2750</v>
      </c>
      <c r="M1873">
        <v>2750</v>
      </c>
      <c r="N1873">
        <v>0</v>
      </c>
    </row>
    <row r="1874" spans="1:14" x14ac:dyDescent="0.25">
      <c r="A1874">
        <v>915.38676099999998</v>
      </c>
      <c r="B1874" s="1">
        <f>DATE(2012,11,1) + TIME(9,16,56)</f>
        <v>41214.386759259258</v>
      </c>
      <c r="C1874">
        <v>80</v>
      </c>
      <c r="D1874">
        <v>79.919563292999996</v>
      </c>
      <c r="E1874">
        <v>60</v>
      </c>
      <c r="F1874">
        <v>61.243854523000003</v>
      </c>
      <c r="G1874">
        <v>1329.5006103999999</v>
      </c>
      <c r="H1874">
        <v>1328.3348389</v>
      </c>
      <c r="I1874">
        <v>1339.6662598</v>
      </c>
      <c r="J1874">
        <v>1336.9301757999999</v>
      </c>
      <c r="K1874">
        <v>0</v>
      </c>
      <c r="L1874">
        <v>2750</v>
      </c>
      <c r="M1874">
        <v>2750</v>
      </c>
      <c r="N1874">
        <v>0</v>
      </c>
    </row>
    <row r="1875" spans="1:14" x14ac:dyDescent="0.25">
      <c r="A1875">
        <v>915.42496200000005</v>
      </c>
      <c r="B1875" s="1">
        <f>DATE(2012,11,1) + TIME(10,11,56)</f>
        <v>41214.424953703703</v>
      </c>
      <c r="C1875">
        <v>80</v>
      </c>
      <c r="D1875">
        <v>79.914657593000001</v>
      </c>
      <c r="E1875">
        <v>60</v>
      </c>
      <c r="F1875">
        <v>61.151977539000001</v>
      </c>
      <c r="G1875">
        <v>1329.4960937999999</v>
      </c>
      <c r="H1875">
        <v>1328.3280029</v>
      </c>
      <c r="I1875">
        <v>1339.6610106999999</v>
      </c>
      <c r="J1875">
        <v>1336.9267577999999</v>
      </c>
      <c r="K1875">
        <v>0</v>
      </c>
      <c r="L1875">
        <v>2750</v>
      </c>
      <c r="M1875">
        <v>2750</v>
      </c>
      <c r="N1875">
        <v>0</v>
      </c>
    </row>
    <row r="1876" spans="1:14" x14ac:dyDescent="0.25">
      <c r="A1876">
        <v>915.46443099999999</v>
      </c>
      <c r="B1876" s="1">
        <f>DATE(2012,11,1) + TIME(11,8,46)</f>
        <v>41214.464421296296</v>
      </c>
      <c r="C1876">
        <v>80</v>
      </c>
      <c r="D1876">
        <v>79.909622192</v>
      </c>
      <c r="E1876">
        <v>60</v>
      </c>
      <c r="F1876">
        <v>61.064311981000003</v>
      </c>
      <c r="G1876">
        <v>1329.4915771000001</v>
      </c>
      <c r="H1876">
        <v>1328.3210449000001</v>
      </c>
      <c r="I1876">
        <v>1339.6568603999999</v>
      </c>
      <c r="J1876">
        <v>1336.9239502</v>
      </c>
      <c r="K1876">
        <v>0</v>
      </c>
      <c r="L1876">
        <v>2750</v>
      </c>
      <c r="M1876">
        <v>2750</v>
      </c>
      <c r="N1876">
        <v>0</v>
      </c>
    </row>
    <row r="1877" spans="1:14" x14ac:dyDescent="0.25">
      <c r="A1877">
        <v>915.50527</v>
      </c>
      <c r="B1877" s="1">
        <f>DATE(2012,11,1) + TIME(12,7,35)</f>
        <v>41214.505266203705</v>
      </c>
      <c r="C1877">
        <v>80</v>
      </c>
      <c r="D1877">
        <v>79.904449463000006</v>
      </c>
      <c r="E1877">
        <v>60</v>
      </c>
      <c r="F1877">
        <v>60.980731964</v>
      </c>
      <c r="G1877">
        <v>1329.4869385</v>
      </c>
      <c r="H1877">
        <v>1328.3139647999999</v>
      </c>
      <c r="I1877">
        <v>1339.6536865</v>
      </c>
      <c r="J1877">
        <v>1336.921875</v>
      </c>
      <c r="K1877">
        <v>0</v>
      </c>
      <c r="L1877">
        <v>2750</v>
      </c>
      <c r="M1877">
        <v>2750</v>
      </c>
      <c r="N1877">
        <v>0</v>
      </c>
    </row>
    <row r="1878" spans="1:14" x14ac:dyDescent="0.25">
      <c r="A1878">
        <v>915.54758700000002</v>
      </c>
      <c r="B1878" s="1">
        <f>DATE(2012,11,1) + TIME(13,8,31)</f>
        <v>41214.547581018516</v>
      </c>
      <c r="C1878">
        <v>80</v>
      </c>
      <c r="D1878">
        <v>79.899124146000005</v>
      </c>
      <c r="E1878">
        <v>60</v>
      </c>
      <c r="F1878">
        <v>60.901134491000001</v>
      </c>
      <c r="G1878">
        <v>1329.4821777</v>
      </c>
      <c r="H1878">
        <v>1328.3067627</v>
      </c>
      <c r="I1878">
        <v>1339.6514893000001</v>
      </c>
      <c r="J1878">
        <v>1336.9204102000001</v>
      </c>
      <c r="K1878">
        <v>0</v>
      </c>
      <c r="L1878">
        <v>2750</v>
      </c>
      <c r="M1878">
        <v>2750</v>
      </c>
      <c r="N1878">
        <v>0</v>
      </c>
    </row>
    <row r="1879" spans="1:14" x14ac:dyDescent="0.25">
      <c r="A1879">
        <v>915.59150099999999</v>
      </c>
      <c r="B1879" s="1">
        <f>DATE(2012,11,1) + TIME(14,11,45)</f>
        <v>41214.591493055559</v>
      </c>
      <c r="C1879">
        <v>80</v>
      </c>
      <c r="D1879">
        <v>79.893646239999995</v>
      </c>
      <c r="E1879">
        <v>60</v>
      </c>
      <c r="F1879">
        <v>60.825416564999998</v>
      </c>
      <c r="G1879">
        <v>1329.4774170000001</v>
      </c>
      <c r="H1879">
        <v>1328.2994385</v>
      </c>
      <c r="I1879">
        <v>1339.6501464999999</v>
      </c>
      <c r="J1879">
        <v>1336.9195557</v>
      </c>
      <c r="K1879">
        <v>0</v>
      </c>
      <c r="L1879">
        <v>2750</v>
      </c>
      <c r="M1879">
        <v>2750</v>
      </c>
      <c r="N1879">
        <v>0</v>
      </c>
    </row>
    <row r="1880" spans="1:14" x14ac:dyDescent="0.25">
      <c r="A1880">
        <v>915.63714300000004</v>
      </c>
      <c r="B1880" s="1">
        <f>DATE(2012,11,1) + TIME(15,17,29)</f>
        <v>41214.637141203704</v>
      </c>
      <c r="C1880">
        <v>80</v>
      </c>
      <c r="D1880">
        <v>79.887992858999993</v>
      </c>
      <c r="E1880">
        <v>60</v>
      </c>
      <c r="F1880">
        <v>60.753498077000003</v>
      </c>
      <c r="G1880">
        <v>1329.4725341999999</v>
      </c>
      <c r="H1880">
        <v>1328.2918701000001</v>
      </c>
      <c r="I1880">
        <v>1339.6497803</v>
      </c>
      <c r="J1880">
        <v>1336.9193115</v>
      </c>
      <c r="K1880">
        <v>0</v>
      </c>
      <c r="L1880">
        <v>2750</v>
      </c>
      <c r="M1880">
        <v>2750</v>
      </c>
      <c r="N1880">
        <v>0</v>
      </c>
    </row>
    <row r="1881" spans="1:14" x14ac:dyDescent="0.25">
      <c r="A1881">
        <v>915.68466100000001</v>
      </c>
      <c r="B1881" s="1">
        <f>DATE(2012,11,1) + TIME(16,25,54)</f>
        <v>41214.684652777774</v>
      </c>
      <c r="C1881">
        <v>80</v>
      </c>
      <c r="D1881">
        <v>79.882148743000002</v>
      </c>
      <c r="E1881">
        <v>60</v>
      </c>
      <c r="F1881">
        <v>60.685291290000002</v>
      </c>
      <c r="G1881">
        <v>1329.4675293</v>
      </c>
      <c r="H1881">
        <v>1328.2843018000001</v>
      </c>
      <c r="I1881">
        <v>1339.6500243999999</v>
      </c>
      <c r="J1881">
        <v>1336.9194336</v>
      </c>
      <c r="K1881">
        <v>0</v>
      </c>
      <c r="L1881">
        <v>2750</v>
      </c>
      <c r="M1881">
        <v>2750</v>
      </c>
      <c r="N1881">
        <v>0</v>
      </c>
    </row>
    <row r="1882" spans="1:14" x14ac:dyDescent="0.25">
      <c r="A1882">
        <v>915.73421800000006</v>
      </c>
      <c r="B1882" s="1">
        <f>DATE(2012,11,1) + TIME(17,37,16)</f>
        <v>41214.734212962961</v>
      </c>
      <c r="C1882">
        <v>80</v>
      </c>
      <c r="D1882">
        <v>79.876106261999993</v>
      </c>
      <c r="E1882">
        <v>60</v>
      </c>
      <c r="F1882">
        <v>60.620723724000001</v>
      </c>
      <c r="G1882">
        <v>1329.4624022999999</v>
      </c>
      <c r="H1882">
        <v>1328.2764893000001</v>
      </c>
      <c r="I1882">
        <v>1339.6511230000001</v>
      </c>
      <c r="J1882">
        <v>1336.9201660000001</v>
      </c>
      <c r="K1882">
        <v>0</v>
      </c>
      <c r="L1882">
        <v>2750</v>
      </c>
      <c r="M1882">
        <v>2750</v>
      </c>
      <c r="N1882">
        <v>0</v>
      </c>
    </row>
    <row r="1883" spans="1:14" x14ac:dyDescent="0.25">
      <c r="A1883">
        <v>915.78599999999994</v>
      </c>
      <c r="B1883" s="1">
        <f>DATE(2012,11,1) + TIME(18,51,50)</f>
        <v>41214.785995370374</v>
      </c>
      <c r="C1883">
        <v>80</v>
      </c>
      <c r="D1883">
        <v>79.869842528999996</v>
      </c>
      <c r="E1883">
        <v>60</v>
      </c>
      <c r="F1883">
        <v>60.559719086000001</v>
      </c>
      <c r="G1883">
        <v>1329.4570312000001</v>
      </c>
      <c r="H1883">
        <v>1328.2684326000001</v>
      </c>
      <c r="I1883">
        <v>1339.652832</v>
      </c>
      <c r="J1883">
        <v>1336.9212646000001</v>
      </c>
      <c r="K1883">
        <v>0</v>
      </c>
      <c r="L1883">
        <v>2750</v>
      </c>
      <c r="M1883">
        <v>2750</v>
      </c>
      <c r="N1883">
        <v>0</v>
      </c>
    </row>
    <row r="1884" spans="1:14" x14ac:dyDescent="0.25">
      <c r="A1884">
        <v>915.84021299999995</v>
      </c>
      <c r="B1884" s="1">
        <f>DATE(2012,11,1) + TIME(20,9,54)</f>
        <v>41214.840208333335</v>
      </c>
      <c r="C1884">
        <v>80</v>
      </c>
      <c r="D1884">
        <v>79.863342285000002</v>
      </c>
      <c r="E1884">
        <v>60</v>
      </c>
      <c r="F1884">
        <v>60.502216339</v>
      </c>
      <c r="G1884">
        <v>1329.4516602000001</v>
      </c>
      <c r="H1884">
        <v>1328.2601318</v>
      </c>
      <c r="I1884">
        <v>1339.6551514</v>
      </c>
      <c r="J1884">
        <v>1336.9228516000001</v>
      </c>
      <c r="K1884">
        <v>0</v>
      </c>
      <c r="L1884">
        <v>2750</v>
      </c>
      <c r="M1884">
        <v>2750</v>
      </c>
      <c r="N1884">
        <v>0</v>
      </c>
    </row>
    <row r="1885" spans="1:14" x14ac:dyDescent="0.25">
      <c r="A1885">
        <v>915.89709500000004</v>
      </c>
      <c r="B1885" s="1">
        <f>DATE(2012,11,1) + TIME(21,31,49)</f>
        <v>41214.897094907406</v>
      </c>
      <c r="C1885">
        <v>80</v>
      </c>
      <c r="D1885">
        <v>79.856575011999993</v>
      </c>
      <c r="E1885">
        <v>60</v>
      </c>
      <c r="F1885">
        <v>60.448154449</v>
      </c>
      <c r="G1885">
        <v>1329.4460449000001</v>
      </c>
      <c r="H1885">
        <v>1328.2517089999999</v>
      </c>
      <c r="I1885">
        <v>1339.6579589999999</v>
      </c>
      <c r="J1885">
        <v>1336.9248047000001</v>
      </c>
      <c r="K1885">
        <v>0</v>
      </c>
      <c r="L1885">
        <v>2750</v>
      </c>
      <c r="M1885">
        <v>2750</v>
      </c>
      <c r="N1885">
        <v>0</v>
      </c>
    </row>
    <row r="1886" spans="1:14" x14ac:dyDescent="0.25">
      <c r="A1886">
        <v>915.95690100000002</v>
      </c>
      <c r="B1886" s="1">
        <f>DATE(2012,11,1) + TIME(22,57,56)</f>
        <v>41214.95689814815</v>
      </c>
      <c r="C1886">
        <v>80</v>
      </c>
      <c r="D1886">
        <v>79.849525451999995</v>
      </c>
      <c r="E1886">
        <v>60</v>
      </c>
      <c r="F1886">
        <v>60.397476196</v>
      </c>
      <c r="G1886">
        <v>1329.4403076000001</v>
      </c>
      <c r="H1886">
        <v>1328.2429199000001</v>
      </c>
      <c r="I1886">
        <v>1339.6613769999999</v>
      </c>
      <c r="J1886">
        <v>1336.927124</v>
      </c>
      <c r="K1886">
        <v>0</v>
      </c>
      <c r="L1886">
        <v>2750</v>
      </c>
      <c r="M1886">
        <v>2750</v>
      </c>
      <c r="N1886">
        <v>0</v>
      </c>
    </row>
    <row r="1887" spans="1:14" x14ac:dyDescent="0.25">
      <c r="A1887">
        <v>916.01995099999999</v>
      </c>
      <c r="B1887" s="1">
        <f>DATE(2012,11,2) + TIME(0,28,43)</f>
        <v>41215.019942129627</v>
      </c>
      <c r="C1887">
        <v>80</v>
      </c>
      <c r="D1887">
        <v>79.842163085999999</v>
      </c>
      <c r="E1887">
        <v>60</v>
      </c>
      <c r="F1887">
        <v>60.350120543999999</v>
      </c>
      <c r="G1887">
        <v>1329.4343262</v>
      </c>
      <c r="H1887">
        <v>1328.2338867000001</v>
      </c>
      <c r="I1887">
        <v>1339.6651611</v>
      </c>
      <c r="J1887">
        <v>1336.9296875</v>
      </c>
      <c r="K1887">
        <v>0</v>
      </c>
      <c r="L1887">
        <v>2750</v>
      </c>
      <c r="M1887">
        <v>2750</v>
      </c>
      <c r="N1887">
        <v>0</v>
      </c>
    </row>
    <row r="1888" spans="1:14" x14ac:dyDescent="0.25">
      <c r="A1888">
        <v>916.08660299999997</v>
      </c>
      <c r="B1888" s="1">
        <f>DATE(2012,11,2) + TIME(2,4,42)</f>
        <v>41215.086597222224</v>
      </c>
      <c r="C1888">
        <v>80</v>
      </c>
      <c r="D1888">
        <v>79.834457396999994</v>
      </c>
      <c r="E1888">
        <v>60</v>
      </c>
      <c r="F1888">
        <v>60.306022644000002</v>
      </c>
      <c r="G1888">
        <v>1329.4281006000001</v>
      </c>
      <c r="H1888">
        <v>1328.2244873</v>
      </c>
      <c r="I1888">
        <v>1339.6691894999999</v>
      </c>
      <c r="J1888">
        <v>1336.9324951000001</v>
      </c>
      <c r="K1888">
        <v>0</v>
      </c>
      <c r="L1888">
        <v>2750</v>
      </c>
      <c r="M1888">
        <v>2750</v>
      </c>
      <c r="N1888">
        <v>0</v>
      </c>
    </row>
    <row r="1889" spans="1:14" x14ac:dyDescent="0.25">
      <c r="A1889">
        <v>916.15727300000003</v>
      </c>
      <c r="B1889" s="1">
        <f>DATE(2012,11,2) + TIME(3,46,28)</f>
        <v>41215.157268518517</v>
      </c>
      <c r="C1889">
        <v>80</v>
      </c>
      <c r="D1889">
        <v>79.826362610000004</v>
      </c>
      <c r="E1889">
        <v>60</v>
      </c>
      <c r="F1889">
        <v>60.265129088999998</v>
      </c>
      <c r="G1889">
        <v>1329.4216309000001</v>
      </c>
      <c r="H1889">
        <v>1328.2148437999999</v>
      </c>
      <c r="I1889">
        <v>1339.6735839999999</v>
      </c>
      <c r="J1889">
        <v>1336.9355469</v>
      </c>
      <c r="K1889">
        <v>0</v>
      </c>
      <c r="L1889">
        <v>2750</v>
      </c>
      <c r="M1889">
        <v>2750</v>
      </c>
      <c r="N1889">
        <v>0</v>
      </c>
    </row>
    <row r="1890" spans="1:14" x14ac:dyDescent="0.25">
      <c r="A1890">
        <v>916.23244799999998</v>
      </c>
      <c r="B1890" s="1">
        <f>DATE(2012,11,2) + TIME(5,34,43)</f>
        <v>41215.232442129629</v>
      </c>
      <c r="C1890">
        <v>80</v>
      </c>
      <c r="D1890">
        <v>79.817848205999994</v>
      </c>
      <c r="E1890">
        <v>60</v>
      </c>
      <c r="F1890">
        <v>60.227378844999997</v>
      </c>
      <c r="G1890">
        <v>1329.4149170000001</v>
      </c>
      <c r="H1890">
        <v>1328.2047118999999</v>
      </c>
      <c r="I1890">
        <v>1339.6782227000001</v>
      </c>
      <c r="J1890">
        <v>1336.9387207</v>
      </c>
      <c r="K1890">
        <v>0</v>
      </c>
      <c r="L1890">
        <v>2750</v>
      </c>
      <c r="M1890">
        <v>2750</v>
      </c>
      <c r="N1890">
        <v>0</v>
      </c>
    </row>
    <row r="1891" spans="1:14" x14ac:dyDescent="0.25">
      <c r="A1891">
        <v>916.31270500000005</v>
      </c>
      <c r="B1891" s="1">
        <f>DATE(2012,11,2) + TIME(7,30,17)</f>
        <v>41215.312696759262</v>
      </c>
      <c r="C1891">
        <v>80</v>
      </c>
      <c r="D1891">
        <v>79.808853149000001</v>
      </c>
      <c r="E1891">
        <v>60</v>
      </c>
      <c r="F1891">
        <v>60.192714690999999</v>
      </c>
      <c r="G1891">
        <v>1329.4078368999999</v>
      </c>
      <c r="H1891">
        <v>1328.1940918</v>
      </c>
      <c r="I1891">
        <v>1339.6829834</v>
      </c>
      <c r="J1891">
        <v>1336.9421387</v>
      </c>
      <c r="K1891">
        <v>0</v>
      </c>
      <c r="L1891">
        <v>2750</v>
      </c>
      <c r="M1891">
        <v>2750</v>
      </c>
      <c r="N1891">
        <v>0</v>
      </c>
    </row>
    <row r="1892" spans="1:14" x14ac:dyDescent="0.25">
      <c r="A1892">
        <v>916.39870699999994</v>
      </c>
      <c r="B1892" s="1">
        <f>DATE(2012,11,2) + TIME(9,34,8)</f>
        <v>41215.3987037037</v>
      </c>
      <c r="C1892">
        <v>80</v>
      </c>
      <c r="D1892">
        <v>79.799324036000002</v>
      </c>
      <c r="E1892">
        <v>60</v>
      </c>
      <c r="F1892">
        <v>60.161071776999997</v>
      </c>
      <c r="G1892">
        <v>1329.4005127</v>
      </c>
      <c r="H1892">
        <v>1328.1829834</v>
      </c>
      <c r="I1892">
        <v>1339.6878661999999</v>
      </c>
      <c r="J1892">
        <v>1336.9455565999999</v>
      </c>
      <c r="K1892">
        <v>0</v>
      </c>
      <c r="L1892">
        <v>2750</v>
      </c>
      <c r="M1892">
        <v>2750</v>
      </c>
      <c r="N1892">
        <v>0</v>
      </c>
    </row>
    <row r="1893" spans="1:14" x14ac:dyDescent="0.25">
      <c r="A1893">
        <v>916.49095999999997</v>
      </c>
      <c r="B1893" s="1">
        <f>DATE(2012,11,2) + TIME(11,46,58)</f>
        <v>41215.490949074076</v>
      </c>
      <c r="C1893">
        <v>80</v>
      </c>
      <c r="D1893">
        <v>79.789215088000006</v>
      </c>
      <c r="E1893">
        <v>60</v>
      </c>
      <c r="F1893">
        <v>60.132472991999997</v>
      </c>
      <c r="G1893">
        <v>1329.3927002</v>
      </c>
      <c r="H1893">
        <v>1328.1713867000001</v>
      </c>
      <c r="I1893">
        <v>1339.6926269999999</v>
      </c>
      <c r="J1893">
        <v>1336.9489745999999</v>
      </c>
      <c r="K1893">
        <v>0</v>
      </c>
      <c r="L1893">
        <v>2750</v>
      </c>
      <c r="M1893">
        <v>2750</v>
      </c>
      <c r="N1893">
        <v>0</v>
      </c>
    </row>
    <row r="1894" spans="1:14" x14ac:dyDescent="0.25">
      <c r="A1894">
        <v>916.59031500000003</v>
      </c>
      <c r="B1894" s="1">
        <f>DATE(2012,11,2) + TIME(14,10,3)</f>
        <v>41215.590312499997</v>
      </c>
      <c r="C1894">
        <v>80</v>
      </c>
      <c r="D1894">
        <v>79.778465271000002</v>
      </c>
      <c r="E1894">
        <v>60</v>
      </c>
      <c r="F1894">
        <v>60.106826781999999</v>
      </c>
      <c r="G1894">
        <v>1329.3845214999999</v>
      </c>
      <c r="H1894">
        <v>1328.1590576000001</v>
      </c>
      <c r="I1894">
        <v>1339.6973877</v>
      </c>
      <c r="J1894">
        <v>1336.9523925999999</v>
      </c>
      <c r="K1894">
        <v>0</v>
      </c>
      <c r="L1894">
        <v>2750</v>
      </c>
      <c r="M1894">
        <v>2750</v>
      </c>
      <c r="N1894">
        <v>0</v>
      </c>
    </row>
    <row r="1895" spans="1:14" x14ac:dyDescent="0.25">
      <c r="A1895">
        <v>916.69779400000004</v>
      </c>
      <c r="B1895" s="1">
        <f>DATE(2012,11,2) + TIME(16,44,49)</f>
        <v>41215.697789351849</v>
      </c>
      <c r="C1895">
        <v>80</v>
      </c>
      <c r="D1895">
        <v>79.766990661999998</v>
      </c>
      <c r="E1895">
        <v>60</v>
      </c>
      <c r="F1895">
        <v>60.084033966</v>
      </c>
      <c r="G1895">
        <v>1329.3758545000001</v>
      </c>
      <c r="H1895">
        <v>1328.1461182</v>
      </c>
      <c r="I1895">
        <v>1339.7019043</v>
      </c>
      <c r="J1895">
        <v>1336.9558105000001</v>
      </c>
      <c r="K1895">
        <v>0</v>
      </c>
      <c r="L1895">
        <v>2750</v>
      </c>
      <c r="M1895">
        <v>2750</v>
      </c>
      <c r="N1895">
        <v>0</v>
      </c>
    </row>
    <row r="1896" spans="1:14" x14ac:dyDescent="0.25">
      <c r="A1896">
        <v>916.81463699999995</v>
      </c>
      <c r="B1896" s="1">
        <f>DATE(2012,11,2) + TIME(19,33,4)</f>
        <v>41215.814629629633</v>
      </c>
      <c r="C1896">
        <v>80</v>
      </c>
      <c r="D1896">
        <v>79.754684448000006</v>
      </c>
      <c r="E1896">
        <v>60</v>
      </c>
      <c r="F1896">
        <v>60.063995361000003</v>
      </c>
      <c r="G1896">
        <v>1329.3666992000001</v>
      </c>
      <c r="H1896">
        <v>1328.1323242000001</v>
      </c>
      <c r="I1896">
        <v>1339.7059326000001</v>
      </c>
      <c r="J1896">
        <v>1336.9588623</v>
      </c>
      <c r="K1896">
        <v>0</v>
      </c>
      <c r="L1896">
        <v>2750</v>
      </c>
      <c r="M1896">
        <v>2750</v>
      </c>
      <c r="N1896">
        <v>0</v>
      </c>
    </row>
    <row r="1897" spans="1:14" x14ac:dyDescent="0.25">
      <c r="A1897">
        <v>916.93487400000004</v>
      </c>
      <c r="B1897" s="1">
        <f>DATE(2012,11,2) + TIME(22,26,13)</f>
        <v>41215.934872685182</v>
      </c>
      <c r="C1897">
        <v>80</v>
      </c>
      <c r="D1897">
        <v>79.742103576999995</v>
      </c>
      <c r="E1897">
        <v>60</v>
      </c>
      <c r="F1897">
        <v>60.047401428000001</v>
      </c>
      <c r="G1897">
        <v>1329.3569336</v>
      </c>
      <c r="H1897">
        <v>1328.1179199000001</v>
      </c>
      <c r="I1897">
        <v>1339.7103271000001</v>
      </c>
      <c r="J1897">
        <v>1336.9622803</v>
      </c>
      <c r="K1897">
        <v>0</v>
      </c>
      <c r="L1897">
        <v>2750</v>
      </c>
      <c r="M1897">
        <v>2750</v>
      </c>
      <c r="N1897">
        <v>0</v>
      </c>
    </row>
    <row r="1898" spans="1:14" x14ac:dyDescent="0.25">
      <c r="A1898">
        <v>917.056059</v>
      </c>
      <c r="B1898" s="1">
        <f>DATE(2012,11,3) + TIME(1,20,43)</f>
        <v>41216.05605324074</v>
      </c>
      <c r="C1898">
        <v>80</v>
      </c>
      <c r="D1898">
        <v>79.729469299000002</v>
      </c>
      <c r="E1898">
        <v>60</v>
      </c>
      <c r="F1898">
        <v>60.033966063999998</v>
      </c>
      <c r="G1898">
        <v>1329.347168</v>
      </c>
      <c r="H1898">
        <v>1328.1033935999999</v>
      </c>
      <c r="I1898">
        <v>1339.7141113</v>
      </c>
      <c r="J1898">
        <v>1336.9652100000001</v>
      </c>
      <c r="K1898">
        <v>0</v>
      </c>
      <c r="L1898">
        <v>2750</v>
      </c>
      <c r="M1898">
        <v>2750</v>
      </c>
      <c r="N1898">
        <v>0</v>
      </c>
    </row>
    <row r="1899" spans="1:14" x14ac:dyDescent="0.25">
      <c r="A1899">
        <v>917.178766</v>
      </c>
      <c r="B1899" s="1">
        <f>DATE(2012,11,3) + TIME(4,17,25)</f>
        <v>41216.178761574076</v>
      </c>
      <c r="C1899">
        <v>80</v>
      </c>
      <c r="D1899">
        <v>79.716751099000007</v>
      </c>
      <c r="E1899">
        <v>60</v>
      </c>
      <c r="F1899">
        <v>60.023063659999998</v>
      </c>
      <c r="G1899">
        <v>1329.3374022999999</v>
      </c>
      <c r="H1899">
        <v>1328.0888672000001</v>
      </c>
      <c r="I1899">
        <v>1339.7169189000001</v>
      </c>
      <c r="J1899">
        <v>1336.9676514</v>
      </c>
      <c r="K1899">
        <v>0</v>
      </c>
      <c r="L1899">
        <v>2750</v>
      </c>
      <c r="M1899">
        <v>2750</v>
      </c>
      <c r="N1899">
        <v>0</v>
      </c>
    </row>
    <row r="1900" spans="1:14" x14ac:dyDescent="0.25">
      <c r="A1900">
        <v>917.30341599999997</v>
      </c>
      <c r="B1900" s="1">
        <f>DATE(2012,11,3) + TIME(7,16,55)</f>
        <v>41216.303414351853</v>
      </c>
      <c r="C1900">
        <v>80</v>
      </c>
      <c r="D1900">
        <v>79.703895568999997</v>
      </c>
      <c r="E1900">
        <v>60</v>
      </c>
      <c r="F1900">
        <v>60.014213562000002</v>
      </c>
      <c r="G1900">
        <v>1329.3275146000001</v>
      </c>
      <c r="H1900">
        <v>1328.0744629000001</v>
      </c>
      <c r="I1900">
        <v>1339.7188721</v>
      </c>
      <c r="J1900">
        <v>1336.9694824000001</v>
      </c>
      <c r="K1900">
        <v>0</v>
      </c>
      <c r="L1900">
        <v>2750</v>
      </c>
      <c r="M1900">
        <v>2750</v>
      </c>
      <c r="N1900">
        <v>0</v>
      </c>
    </row>
    <row r="1901" spans="1:14" x14ac:dyDescent="0.25">
      <c r="A1901">
        <v>917.43043899999998</v>
      </c>
      <c r="B1901" s="1">
        <f>DATE(2012,11,3) + TIME(10,19,49)</f>
        <v>41216.430428240739</v>
      </c>
      <c r="C1901">
        <v>80</v>
      </c>
      <c r="D1901">
        <v>79.690879821999999</v>
      </c>
      <c r="E1901">
        <v>60</v>
      </c>
      <c r="F1901">
        <v>60.007030487000002</v>
      </c>
      <c r="G1901">
        <v>1329.317749</v>
      </c>
      <c r="H1901">
        <v>1328.0598144999999</v>
      </c>
      <c r="I1901">
        <v>1339.7200928</v>
      </c>
      <c r="J1901">
        <v>1336.9708252</v>
      </c>
      <c r="K1901">
        <v>0</v>
      </c>
      <c r="L1901">
        <v>2750</v>
      </c>
      <c r="M1901">
        <v>2750</v>
      </c>
      <c r="N1901">
        <v>0</v>
      </c>
    </row>
    <row r="1902" spans="1:14" x14ac:dyDescent="0.25">
      <c r="A1902">
        <v>917.56027600000004</v>
      </c>
      <c r="B1902" s="1">
        <f>DATE(2012,11,3) + TIME(13,26,47)</f>
        <v>41216.560266203705</v>
      </c>
      <c r="C1902">
        <v>80</v>
      </c>
      <c r="D1902">
        <v>79.677658081000004</v>
      </c>
      <c r="E1902">
        <v>60</v>
      </c>
      <c r="F1902">
        <v>60.001213073999999</v>
      </c>
      <c r="G1902">
        <v>1329.3077393000001</v>
      </c>
      <c r="H1902">
        <v>1328.0451660000001</v>
      </c>
      <c r="I1902">
        <v>1339.7205810999999</v>
      </c>
      <c r="J1902">
        <v>1336.9718018000001</v>
      </c>
      <c r="K1902">
        <v>0</v>
      </c>
      <c r="L1902">
        <v>2750</v>
      </c>
      <c r="M1902">
        <v>2750</v>
      </c>
      <c r="N1902">
        <v>0</v>
      </c>
    </row>
    <row r="1903" spans="1:14" x14ac:dyDescent="0.25">
      <c r="A1903">
        <v>917.69342099999994</v>
      </c>
      <c r="B1903" s="1">
        <f>DATE(2012,11,3) + TIME(16,38,31)</f>
        <v>41216.693414351852</v>
      </c>
      <c r="C1903">
        <v>80</v>
      </c>
      <c r="D1903">
        <v>79.664192200000002</v>
      </c>
      <c r="E1903">
        <v>60</v>
      </c>
      <c r="F1903">
        <v>59.996501922999997</v>
      </c>
      <c r="G1903">
        <v>1329.2977295000001</v>
      </c>
      <c r="H1903">
        <v>1328.0303954999999</v>
      </c>
      <c r="I1903">
        <v>1339.7203368999999</v>
      </c>
      <c r="J1903">
        <v>1336.9722899999999</v>
      </c>
      <c r="K1903">
        <v>0</v>
      </c>
      <c r="L1903">
        <v>2750</v>
      </c>
      <c r="M1903">
        <v>2750</v>
      </c>
      <c r="N1903">
        <v>0</v>
      </c>
    </row>
    <row r="1904" spans="1:14" x14ac:dyDescent="0.25">
      <c r="A1904">
        <v>917.83042</v>
      </c>
      <c r="B1904" s="1">
        <f>DATE(2012,11,3) + TIME(19,55,48)</f>
        <v>41216.830416666664</v>
      </c>
      <c r="C1904">
        <v>80</v>
      </c>
      <c r="D1904">
        <v>79.650444031000006</v>
      </c>
      <c r="E1904">
        <v>60</v>
      </c>
      <c r="F1904">
        <v>59.992694855000003</v>
      </c>
      <c r="G1904">
        <v>1329.2875977000001</v>
      </c>
      <c r="H1904">
        <v>1328.0155029</v>
      </c>
      <c r="I1904">
        <v>1339.7194824000001</v>
      </c>
      <c r="J1904">
        <v>1336.9724120999999</v>
      </c>
      <c r="K1904">
        <v>0</v>
      </c>
      <c r="L1904">
        <v>2750</v>
      </c>
      <c r="M1904">
        <v>2750</v>
      </c>
      <c r="N1904">
        <v>0</v>
      </c>
    </row>
    <row r="1905" spans="1:14" x14ac:dyDescent="0.25">
      <c r="A1905">
        <v>917.971812</v>
      </c>
      <c r="B1905" s="1">
        <f>DATE(2012,11,3) + TIME(23,19,24)</f>
        <v>41216.971805555557</v>
      </c>
      <c r="C1905">
        <v>80</v>
      </c>
      <c r="D1905">
        <v>79.636360167999996</v>
      </c>
      <c r="E1905">
        <v>60</v>
      </c>
      <c r="F1905">
        <v>59.989631653000004</v>
      </c>
      <c r="G1905">
        <v>1329.2772216999999</v>
      </c>
      <c r="H1905">
        <v>1328.0002440999999</v>
      </c>
      <c r="I1905">
        <v>1339.7181396000001</v>
      </c>
      <c r="J1905">
        <v>1336.972168</v>
      </c>
      <c r="K1905">
        <v>0</v>
      </c>
      <c r="L1905">
        <v>2750</v>
      </c>
      <c r="M1905">
        <v>2750</v>
      </c>
      <c r="N1905">
        <v>0</v>
      </c>
    </row>
    <row r="1906" spans="1:14" x14ac:dyDescent="0.25">
      <c r="A1906">
        <v>918.11822600000005</v>
      </c>
      <c r="B1906" s="1">
        <f>DATE(2012,11,4) + TIME(2,50,14)</f>
        <v>41217.118217592593</v>
      </c>
      <c r="C1906">
        <v>80</v>
      </c>
      <c r="D1906">
        <v>79.621902465999995</v>
      </c>
      <c r="E1906">
        <v>60</v>
      </c>
      <c r="F1906">
        <v>59.987174988</v>
      </c>
      <c r="G1906">
        <v>1329.2667236</v>
      </c>
      <c r="H1906">
        <v>1327.9847411999999</v>
      </c>
      <c r="I1906">
        <v>1339.7161865</v>
      </c>
      <c r="J1906">
        <v>1336.9715576000001</v>
      </c>
      <c r="K1906">
        <v>0</v>
      </c>
      <c r="L1906">
        <v>2750</v>
      </c>
      <c r="M1906">
        <v>2750</v>
      </c>
      <c r="N1906">
        <v>0</v>
      </c>
    </row>
    <row r="1907" spans="1:14" x14ac:dyDescent="0.25">
      <c r="A1907">
        <v>918.27037399999995</v>
      </c>
      <c r="B1907" s="1">
        <f>DATE(2012,11,4) + TIME(6,29,20)</f>
        <v>41217.270370370374</v>
      </c>
      <c r="C1907">
        <v>80</v>
      </c>
      <c r="D1907">
        <v>79.607002257999994</v>
      </c>
      <c r="E1907">
        <v>60</v>
      </c>
      <c r="F1907">
        <v>59.985214233000001</v>
      </c>
      <c r="G1907">
        <v>1329.2559814000001</v>
      </c>
      <c r="H1907">
        <v>1327.9689940999999</v>
      </c>
      <c r="I1907">
        <v>1339.7137451000001</v>
      </c>
      <c r="J1907">
        <v>1336.9707031</v>
      </c>
      <c r="K1907">
        <v>0</v>
      </c>
      <c r="L1907">
        <v>2750</v>
      </c>
      <c r="M1907">
        <v>2750</v>
      </c>
      <c r="N1907">
        <v>0</v>
      </c>
    </row>
    <row r="1908" spans="1:14" x14ac:dyDescent="0.25">
      <c r="A1908">
        <v>918.42847700000004</v>
      </c>
      <c r="B1908" s="1">
        <f>DATE(2012,11,4) + TIME(10,17,0)</f>
        <v>41217.428472222222</v>
      </c>
      <c r="C1908">
        <v>80</v>
      </c>
      <c r="D1908">
        <v>79.591651916999993</v>
      </c>
      <c r="E1908">
        <v>60</v>
      </c>
      <c r="F1908">
        <v>59.983657837000003</v>
      </c>
      <c r="G1908">
        <v>1329.2448730000001</v>
      </c>
      <c r="H1908">
        <v>1327.9527588000001</v>
      </c>
      <c r="I1908">
        <v>1339.7106934000001</v>
      </c>
      <c r="J1908">
        <v>1336.9694824000001</v>
      </c>
      <c r="K1908">
        <v>0</v>
      </c>
      <c r="L1908">
        <v>2750</v>
      </c>
      <c r="M1908">
        <v>2750</v>
      </c>
      <c r="N1908">
        <v>0</v>
      </c>
    </row>
    <row r="1909" spans="1:14" x14ac:dyDescent="0.25">
      <c r="A1909">
        <v>918.59142199999997</v>
      </c>
      <c r="B1909" s="1">
        <f>DATE(2012,11,4) + TIME(14,11,38)</f>
        <v>41217.591412037036</v>
      </c>
      <c r="C1909">
        <v>80</v>
      </c>
      <c r="D1909">
        <v>79.575942992999998</v>
      </c>
      <c r="E1909">
        <v>60</v>
      </c>
      <c r="F1909">
        <v>59.982444762999997</v>
      </c>
      <c r="G1909">
        <v>1329.2336425999999</v>
      </c>
      <c r="H1909">
        <v>1327.9361572</v>
      </c>
      <c r="I1909">
        <v>1339.7073975000001</v>
      </c>
      <c r="J1909">
        <v>1336.9680175999999</v>
      </c>
      <c r="K1909">
        <v>0</v>
      </c>
      <c r="L1909">
        <v>2750</v>
      </c>
      <c r="M1909">
        <v>2750</v>
      </c>
      <c r="N1909">
        <v>0</v>
      </c>
    </row>
    <row r="1910" spans="1:14" x14ac:dyDescent="0.25">
      <c r="A1910">
        <v>918.75991499999998</v>
      </c>
      <c r="B1910" s="1">
        <f>DATE(2012,11,4) + TIME(18,14,16)</f>
        <v>41217.75990740741</v>
      </c>
      <c r="C1910">
        <v>80</v>
      </c>
      <c r="D1910">
        <v>79.559822083</v>
      </c>
      <c r="E1910">
        <v>60</v>
      </c>
      <c r="F1910">
        <v>59.981494904000002</v>
      </c>
      <c r="G1910">
        <v>1329.2220459</v>
      </c>
      <c r="H1910">
        <v>1327.9193115</v>
      </c>
      <c r="I1910">
        <v>1339.7034911999999</v>
      </c>
      <c r="J1910">
        <v>1336.9663086</v>
      </c>
      <c r="K1910">
        <v>0</v>
      </c>
      <c r="L1910">
        <v>2750</v>
      </c>
      <c r="M1910">
        <v>2750</v>
      </c>
      <c r="N1910">
        <v>0</v>
      </c>
    </row>
    <row r="1911" spans="1:14" x14ac:dyDescent="0.25">
      <c r="A1911">
        <v>918.93467799999996</v>
      </c>
      <c r="B1911" s="1">
        <f>DATE(2012,11,4) + TIME(22,25,56)</f>
        <v>41217.934675925928</v>
      </c>
      <c r="C1911">
        <v>80</v>
      </c>
      <c r="D1911">
        <v>79.543228149000001</v>
      </c>
      <c r="E1911">
        <v>60</v>
      </c>
      <c r="F1911">
        <v>59.980758667000003</v>
      </c>
      <c r="G1911">
        <v>1329.2103271000001</v>
      </c>
      <c r="H1911">
        <v>1327.9020995999999</v>
      </c>
      <c r="I1911">
        <v>1339.6993408000001</v>
      </c>
      <c r="J1911">
        <v>1336.9643555</v>
      </c>
      <c r="K1911">
        <v>0</v>
      </c>
      <c r="L1911">
        <v>2750</v>
      </c>
      <c r="M1911">
        <v>2750</v>
      </c>
      <c r="N1911">
        <v>0</v>
      </c>
    </row>
    <row r="1912" spans="1:14" x14ac:dyDescent="0.25">
      <c r="A1912">
        <v>919.11651900000004</v>
      </c>
      <c r="B1912" s="1">
        <f>DATE(2012,11,5) + TIME(2,47,47)</f>
        <v>41218.116516203707</v>
      </c>
      <c r="C1912">
        <v>80</v>
      </c>
      <c r="D1912">
        <v>79.526115417</v>
      </c>
      <c r="E1912">
        <v>60</v>
      </c>
      <c r="F1912">
        <v>59.980186461999999</v>
      </c>
      <c r="G1912">
        <v>1329.1981201000001</v>
      </c>
      <c r="H1912">
        <v>1327.8843993999999</v>
      </c>
      <c r="I1912">
        <v>1339.6947021000001</v>
      </c>
      <c r="J1912">
        <v>1336.9621582</v>
      </c>
      <c r="K1912">
        <v>0</v>
      </c>
      <c r="L1912">
        <v>2750</v>
      </c>
      <c r="M1912">
        <v>2750</v>
      </c>
      <c r="N1912">
        <v>0</v>
      </c>
    </row>
    <row r="1913" spans="1:14" x14ac:dyDescent="0.25">
      <c r="A1913">
        <v>919.306331</v>
      </c>
      <c r="B1913" s="1">
        <f>DATE(2012,11,5) + TIME(7,21,7)</f>
        <v>41218.306331018517</v>
      </c>
      <c r="C1913">
        <v>80</v>
      </c>
      <c r="D1913">
        <v>79.508407593000001</v>
      </c>
      <c r="E1913">
        <v>60</v>
      </c>
      <c r="F1913">
        <v>59.979743958</v>
      </c>
      <c r="G1913">
        <v>1329.1857910000001</v>
      </c>
      <c r="H1913">
        <v>1327.8662108999999</v>
      </c>
      <c r="I1913">
        <v>1339.6898193</v>
      </c>
      <c r="J1913">
        <v>1336.9597168</v>
      </c>
      <c r="K1913">
        <v>0</v>
      </c>
      <c r="L1913">
        <v>2750</v>
      </c>
      <c r="M1913">
        <v>2750</v>
      </c>
      <c r="N1913">
        <v>0</v>
      </c>
    </row>
    <row r="1914" spans="1:14" x14ac:dyDescent="0.25">
      <c r="A1914">
        <v>919.50515199999995</v>
      </c>
      <c r="B1914" s="1">
        <f>DATE(2012,11,5) + TIME(12,7,25)</f>
        <v>41218.505150462966</v>
      </c>
      <c r="C1914">
        <v>80</v>
      </c>
      <c r="D1914">
        <v>79.490028381000002</v>
      </c>
      <c r="E1914">
        <v>60</v>
      </c>
      <c r="F1914">
        <v>59.979400634999998</v>
      </c>
      <c r="G1914">
        <v>1329.1729736</v>
      </c>
      <c r="H1914">
        <v>1327.8476562000001</v>
      </c>
      <c r="I1914">
        <v>1339.6845702999999</v>
      </c>
      <c r="J1914">
        <v>1336.9570312000001</v>
      </c>
      <c r="K1914">
        <v>0</v>
      </c>
      <c r="L1914">
        <v>2750</v>
      </c>
      <c r="M1914">
        <v>2750</v>
      </c>
      <c r="N1914">
        <v>0</v>
      </c>
    </row>
    <row r="1915" spans="1:14" x14ac:dyDescent="0.25">
      <c r="A1915">
        <v>919.71419400000002</v>
      </c>
      <c r="B1915" s="1">
        <f>DATE(2012,11,5) + TIME(17,8,26)</f>
        <v>41218.714189814818</v>
      </c>
      <c r="C1915">
        <v>80</v>
      </c>
      <c r="D1915">
        <v>79.470901488999999</v>
      </c>
      <c r="E1915">
        <v>60</v>
      </c>
      <c r="F1915">
        <v>59.979137420999997</v>
      </c>
      <c r="G1915">
        <v>1329.159668</v>
      </c>
      <c r="H1915">
        <v>1327.8282471</v>
      </c>
      <c r="I1915">
        <v>1339.6789550999999</v>
      </c>
      <c r="J1915">
        <v>1336.9542236</v>
      </c>
      <c r="K1915">
        <v>0</v>
      </c>
      <c r="L1915">
        <v>2750</v>
      </c>
      <c r="M1915">
        <v>2750</v>
      </c>
      <c r="N1915">
        <v>0</v>
      </c>
    </row>
    <row r="1916" spans="1:14" x14ac:dyDescent="0.25">
      <c r="A1916">
        <v>919.934888</v>
      </c>
      <c r="B1916" s="1">
        <f>DATE(2012,11,5) + TIME(22,26,14)</f>
        <v>41218.934884259259</v>
      </c>
      <c r="C1916">
        <v>80</v>
      </c>
      <c r="D1916">
        <v>79.450912475999999</v>
      </c>
      <c r="E1916">
        <v>60</v>
      </c>
      <c r="F1916">
        <v>59.978935241999999</v>
      </c>
      <c r="G1916">
        <v>1329.145874</v>
      </c>
      <c r="H1916">
        <v>1327.8083495999999</v>
      </c>
      <c r="I1916">
        <v>1339.6729736</v>
      </c>
      <c r="J1916">
        <v>1336.9512939000001</v>
      </c>
      <c r="K1916">
        <v>0</v>
      </c>
      <c r="L1916">
        <v>2750</v>
      </c>
      <c r="M1916">
        <v>2750</v>
      </c>
      <c r="N1916">
        <v>0</v>
      </c>
    </row>
    <row r="1917" spans="1:14" x14ac:dyDescent="0.25">
      <c r="A1917">
        <v>920.16520100000002</v>
      </c>
      <c r="B1917" s="1">
        <f>DATE(2012,11,6) + TIME(3,57,53)</f>
        <v>41219.165196759262</v>
      </c>
      <c r="C1917">
        <v>80</v>
      </c>
      <c r="D1917">
        <v>79.430213928000001</v>
      </c>
      <c r="E1917">
        <v>60</v>
      </c>
      <c r="F1917">
        <v>59.978775024000001</v>
      </c>
      <c r="G1917">
        <v>1329.1315918</v>
      </c>
      <c r="H1917">
        <v>1327.7875977000001</v>
      </c>
      <c r="I1917">
        <v>1339.666626</v>
      </c>
      <c r="J1917">
        <v>1336.9481201000001</v>
      </c>
      <c r="K1917">
        <v>0</v>
      </c>
      <c r="L1917">
        <v>2750</v>
      </c>
      <c r="M1917">
        <v>2750</v>
      </c>
      <c r="N1917">
        <v>0</v>
      </c>
    </row>
    <row r="1918" spans="1:14" x14ac:dyDescent="0.25">
      <c r="A1918">
        <v>920.40528900000004</v>
      </c>
      <c r="B1918" s="1">
        <f>DATE(2012,11,6) + TIME(9,43,36)</f>
        <v>41219.405277777776</v>
      </c>
      <c r="C1918">
        <v>80</v>
      </c>
      <c r="D1918">
        <v>79.408782959000007</v>
      </c>
      <c r="E1918">
        <v>60</v>
      </c>
      <c r="F1918">
        <v>59.978656768999997</v>
      </c>
      <c r="G1918">
        <v>1329.1168213000001</v>
      </c>
      <c r="H1918">
        <v>1327.7662353999999</v>
      </c>
      <c r="I1918">
        <v>1339.6601562000001</v>
      </c>
      <c r="J1918">
        <v>1336.9447021000001</v>
      </c>
      <c r="K1918">
        <v>0</v>
      </c>
      <c r="L1918">
        <v>2750</v>
      </c>
      <c r="M1918">
        <v>2750</v>
      </c>
      <c r="N1918">
        <v>0</v>
      </c>
    </row>
    <row r="1919" spans="1:14" x14ac:dyDescent="0.25">
      <c r="A1919">
        <v>920.64855599999999</v>
      </c>
      <c r="B1919" s="1">
        <f>DATE(2012,11,6) + TIME(15,33,55)</f>
        <v>41219.648553240739</v>
      </c>
      <c r="C1919">
        <v>80</v>
      </c>
      <c r="D1919">
        <v>79.387077332000004</v>
      </c>
      <c r="E1919">
        <v>60</v>
      </c>
      <c r="F1919">
        <v>59.978561401</v>
      </c>
      <c r="G1919">
        <v>1329.1016846</v>
      </c>
      <c r="H1919">
        <v>1327.7442627</v>
      </c>
      <c r="I1919">
        <v>1339.6533202999999</v>
      </c>
      <c r="J1919">
        <v>1336.9412841999999</v>
      </c>
      <c r="K1919">
        <v>0</v>
      </c>
      <c r="L1919">
        <v>2750</v>
      </c>
      <c r="M1919">
        <v>2750</v>
      </c>
      <c r="N1919">
        <v>0</v>
      </c>
    </row>
    <row r="1920" spans="1:14" x14ac:dyDescent="0.25">
      <c r="A1920">
        <v>920.89576399999999</v>
      </c>
      <c r="B1920" s="1">
        <f>DATE(2012,11,6) + TIME(21,29,53)</f>
        <v>41219.895752314813</v>
      </c>
      <c r="C1920">
        <v>80</v>
      </c>
      <c r="D1920">
        <v>79.365081786999994</v>
      </c>
      <c r="E1920">
        <v>60</v>
      </c>
      <c r="F1920">
        <v>59.978485106999997</v>
      </c>
      <c r="G1920">
        <v>1329.0864257999999</v>
      </c>
      <c r="H1920">
        <v>1327.7222899999999</v>
      </c>
      <c r="I1920">
        <v>1339.6466064000001</v>
      </c>
      <c r="J1920">
        <v>1336.9378661999999</v>
      </c>
      <c r="K1920">
        <v>0</v>
      </c>
      <c r="L1920">
        <v>2750</v>
      </c>
      <c r="M1920">
        <v>2750</v>
      </c>
      <c r="N1920">
        <v>0</v>
      </c>
    </row>
    <row r="1921" spans="1:14" x14ac:dyDescent="0.25">
      <c r="A1921">
        <v>921.14805899999999</v>
      </c>
      <c r="B1921" s="1">
        <f>DATE(2012,11,7) + TIME(3,33,12)</f>
        <v>41220.148055555554</v>
      </c>
      <c r="C1921">
        <v>80</v>
      </c>
      <c r="D1921">
        <v>79.342735290999997</v>
      </c>
      <c r="E1921">
        <v>60</v>
      </c>
      <c r="F1921">
        <v>59.978427887000002</v>
      </c>
      <c r="G1921">
        <v>1329.0711670000001</v>
      </c>
      <c r="H1921">
        <v>1327.7000731999999</v>
      </c>
      <c r="I1921">
        <v>1339.6398925999999</v>
      </c>
      <c r="J1921">
        <v>1336.9344481999999</v>
      </c>
      <c r="K1921">
        <v>0</v>
      </c>
      <c r="L1921">
        <v>2750</v>
      </c>
      <c r="M1921">
        <v>2750</v>
      </c>
      <c r="N1921">
        <v>0</v>
      </c>
    </row>
    <row r="1922" spans="1:14" x14ac:dyDescent="0.25">
      <c r="A1922">
        <v>921.40665100000001</v>
      </c>
      <c r="B1922" s="1">
        <f>DATE(2012,11,7) + TIME(9,45,34)</f>
        <v>41220.406643518516</v>
      </c>
      <c r="C1922">
        <v>80</v>
      </c>
      <c r="D1922">
        <v>79.319976807000003</v>
      </c>
      <c r="E1922">
        <v>60</v>
      </c>
      <c r="F1922">
        <v>59.978374481000003</v>
      </c>
      <c r="G1922">
        <v>1329.0555420000001</v>
      </c>
      <c r="H1922">
        <v>1327.6777344</v>
      </c>
      <c r="I1922">
        <v>1339.6330565999999</v>
      </c>
      <c r="J1922">
        <v>1336.9309082</v>
      </c>
      <c r="K1922">
        <v>0</v>
      </c>
      <c r="L1922">
        <v>2750</v>
      </c>
      <c r="M1922">
        <v>2750</v>
      </c>
      <c r="N1922">
        <v>0</v>
      </c>
    </row>
    <row r="1923" spans="1:14" x14ac:dyDescent="0.25">
      <c r="A1923">
        <v>921.67285100000004</v>
      </c>
      <c r="B1923" s="1">
        <f>DATE(2012,11,7) + TIME(16,8,54)</f>
        <v>41220.672847222224</v>
      </c>
      <c r="C1923">
        <v>80</v>
      </c>
      <c r="D1923">
        <v>79.296722411999994</v>
      </c>
      <c r="E1923">
        <v>60</v>
      </c>
      <c r="F1923">
        <v>59.978332520000002</v>
      </c>
      <c r="G1923">
        <v>1329.0397949000001</v>
      </c>
      <c r="H1923">
        <v>1327.6550293</v>
      </c>
      <c r="I1923">
        <v>1339.6262207</v>
      </c>
      <c r="J1923">
        <v>1336.9274902</v>
      </c>
      <c r="K1923">
        <v>0</v>
      </c>
      <c r="L1923">
        <v>2750</v>
      </c>
      <c r="M1923">
        <v>2750</v>
      </c>
      <c r="N1923">
        <v>0</v>
      </c>
    </row>
    <row r="1924" spans="1:14" x14ac:dyDescent="0.25">
      <c r="A1924">
        <v>921.94500700000003</v>
      </c>
      <c r="B1924" s="1">
        <f>DATE(2012,11,7) + TIME(22,40,48)</f>
        <v>41220.945</v>
      </c>
      <c r="C1924">
        <v>80</v>
      </c>
      <c r="D1924">
        <v>79.273086547999995</v>
      </c>
      <c r="E1924">
        <v>60</v>
      </c>
      <c r="F1924">
        <v>59.978294372999997</v>
      </c>
      <c r="G1924">
        <v>1329.0238036999999</v>
      </c>
      <c r="H1924">
        <v>1327.6319579999999</v>
      </c>
      <c r="I1924">
        <v>1339.6193848</v>
      </c>
      <c r="J1924">
        <v>1336.9239502</v>
      </c>
      <c r="K1924">
        <v>0</v>
      </c>
      <c r="L1924">
        <v>2750</v>
      </c>
      <c r="M1924">
        <v>2750</v>
      </c>
      <c r="N1924">
        <v>0</v>
      </c>
    </row>
    <row r="1925" spans="1:14" x14ac:dyDescent="0.25">
      <c r="A1925">
        <v>922.22085300000003</v>
      </c>
      <c r="B1925" s="1">
        <f>DATE(2012,11,8) + TIME(5,18,1)</f>
        <v>41221.22084490741</v>
      </c>
      <c r="C1925">
        <v>80</v>
      </c>
      <c r="D1925">
        <v>79.249221801999994</v>
      </c>
      <c r="E1925">
        <v>60</v>
      </c>
      <c r="F1925">
        <v>59.978256225999999</v>
      </c>
      <c r="G1925">
        <v>1329.0076904</v>
      </c>
      <c r="H1925">
        <v>1327.6087646000001</v>
      </c>
      <c r="I1925">
        <v>1339.6124268000001</v>
      </c>
      <c r="J1925">
        <v>1336.9205322</v>
      </c>
      <c r="K1925">
        <v>0</v>
      </c>
      <c r="L1925">
        <v>2750</v>
      </c>
      <c r="M1925">
        <v>2750</v>
      </c>
      <c r="N1925">
        <v>0</v>
      </c>
    </row>
    <row r="1926" spans="1:14" x14ac:dyDescent="0.25">
      <c r="A1926">
        <v>922.50140099999999</v>
      </c>
      <c r="B1926" s="1">
        <f>DATE(2012,11,8) + TIME(12,2,1)</f>
        <v>41221.501400462963</v>
      </c>
      <c r="C1926">
        <v>80</v>
      </c>
      <c r="D1926">
        <v>79.225074767999999</v>
      </c>
      <c r="E1926">
        <v>60</v>
      </c>
      <c r="F1926">
        <v>59.978225707999997</v>
      </c>
      <c r="G1926">
        <v>1328.9914550999999</v>
      </c>
      <c r="H1926">
        <v>1327.5853271000001</v>
      </c>
      <c r="I1926">
        <v>1339.6057129000001</v>
      </c>
      <c r="J1926">
        <v>1336.9169922000001</v>
      </c>
      <c r="K1926">
        <v>0</v>
      </c>
      <c r="L1926">
        <v>2750</v>
      </c>
      <c r="M1926">
        <v>2750</v>
      </c>
      <c r="N1926">
        <v>0</v>
      </c>
    </row>
    <row r="1927" spans="1:14" x14ac:dyDescent="0.25">
      <c r="A1927">
        <v>922.78804500000001</v>
      </c>
      <c r="B1927" s="1">
        <f>DATE(2012,11,8) + TIME(18,54,47)</f>
        <v>41221.788043981483</v>
      </c>
      <c r="C1927">
        <v>80</v>
      </c>
      <c r="D1927">
        <v>79.200592040999993</v>
      </c>
      <c r="E1927">
        <v>60</v>
      </c>
      <c r="F1927">
        <v>59.978195190000001</v>
      </c>
      <c r="G1927">
        <v>1328.9750977000001</v>
      </c>
      <c r="H1927">
        <v>1327.5618896000001</v>
      </c>
      <c r="I1927">
        <v>1339.5988769999999</v>
      </c>
      <c r="J1927">
        <v>1336.9135742000001</v>
      </c>
      <c r="K1927">
        <v>0</v>
      </c>
      <c r="L1927">
        <v>2750</v>
      </c>
      <c r="M1927">
        <v>2750</v>
      </c>
      <c r="N1927">
        <v>0</v>
      </c>
    </row>
    <row r="1928" spans="1:14" x14ac:dyDescent="0.25">
      <c r="A1928">
        <v>923.08202200000005</v>
      </c>
      <c r="B1928" s="1">
        <f>DATE(2012,11,9) + TIME(1,58,6)</f>
        <v>41222.082013888888</v>
      </c>
      <c r="C1928">
        <v>80</v>
      </c>
      <c r="D1928">
        <v>79.175682068</v>
      </c>
      <c r="E1928">
        <v>60</v>
      </c>
      <c r="F1928">
        <v>59.978168488000001</v>
      </c>
      <c r="G1928">
        <v>1328.9584961</v>
      </c>
      <c r="H1928">
        <v>1327.5380858999999</v>
      </c>
      <c r="I1928">
        <v>1339.5921631000001</v>
      </c>
      <c r="J1928">
        <v>1336.9102783000001</v>
      </c>
      <c r="K1928">
        <v>0</v>
      </c>
      <c r="L1928">
        <v>2750</v>
      </c>
      <c r="M1928">
        <v>2750</v>
      </c>
      <c r="N1928">
        <v>0</v>
      </c>
    </row>
    <row r="1929" spans="1:14" x14ac:dyDescent="0.25">
      <c r="A1929">
        <v>923.38455399999998</v>
      </c>
      <c r="B1929" s="1">
        <f>DATE(2012,11,9) + TIME(9,13,45)</f>
        <v>41222.384548611109</v>
      </c>
      <c r="C1929">
        <v>80</v>
      </c>
      <c r="D1929">
        <v>79.150276184000006</v>
      </c>
      <c r="E1929">
        <v>60</v>
      </c>
      <c r="F1929">
        <v>59.978141784999998</v>
      </c>
      <c r="G1929">
        <v>1328.9417725000001</v>
      </c>
      <c r="H1929">
        <v>1327.5140381000001</v>
      </c>
      <c r="I1929">
        <v>1339.5854492000001</v>
      </c>
      <c r="J1929">
        <v>1336.9068603999999</v>
      </c>
      <c r="K1929">
        <v>0</v>
      </c>
      <c r="L1929">
        <v>2750</v>
      </c>
      <c r="M1929">
        <v>2750</v>
      </c>
      <c r="N1929">
        <v>0</v>
      </c>
    </row>
    <row r="1930" spans="1:14" x14ac:dyDescent="0.25">
      <c r="A1930">
        <v>923.697092</v>
      </c>
      <c r="B1930" s="1">
        <f>DATE(2012,11,9) + TIME(16,43,48)</f>
        <v>41222.697083333333</v>
      </c>
      <c r="C1930">
        <v>80</v>
      </c>
      <c r="D1930">
        <v>79.124282836999996</v>
      </c>
      <c r="E1930">
        <v>60</v>
      </c>
      <c r="F1930">
        <v>59.978115082000002</v>
      </c>
      <c r="G1930">
        <v>1328.9246826000001</v>
      </c>
      <c r="H1930">
        <v>1327.4895019999999</v>
      </c>
      <c r="I1930">
        <v>1339.5787353999999</v>
      </c>
      <c r="J1930">
        <v>1336.9035644999999</v>
      </c>
      <c r="K1930">
        <v>0</v>
      </c>
      <c r="L1930">
        <v>2750</v>
      </c>
      <c r="M1930">
        <v>2750</v>
      </c>
      <c r="N1930">
        <v>0</v>
      </c>
    </row>
    <row r="1931" spans="1:14" x14ac:dyDescent="0.25">
      <c r="A1931">
        <v>924.02120300000001</v>
      </c>
      <c r="B1931" s="1">
        <f>DATE(2012,11,10) + TIME(0,30,31)</f>
        <v>41223.021192129629</v>
      </c>
      <c r="C1931">
        <v>80</v>
      </c>
      <c r="D1931">
        <v>79.097595214999998</v>
      </c>
      <c r="E1931">
        <v>60</v>
      </c>
      <c r="F1931">
        <v>59.978088378999999</v>
      </c>
      <c r="G1931">
        <v>1328.9072266000001</v>
      </c>
      <c r="H1931">
        <v>1327.4645995999999</v>
      </c>
      <c r="I1931">
        <v>1339.5720214999999</v>
      </c>
      <c r="J1931">
        <v>1336.9001464999999</v>
      </c>
      <c r="K1931">
        <v>0</v>
      </c>
      <c r="L1931">
        <v>2750</v>
      </c>
      <c r="M1931">
        <v>2750</v>
      </c>
      <c r="N1931">
        <v>0</v>
      </c>
    </row>
    <row r="1932" spans="1:14" x14ac:dyDescent="0.25">
      <c r="A1932">
        <v>924.35868300000004</v>
      </c>
      <c r="B1932" s="1">
        <f>DATE(2012,11,10) + TIME(8,36,30)</f>
        <v>41223.358680555553</v>
      </c>
      <c r="C1932">
        <v>80</v>
      </c>
      <c r="D1932">
        <v>79.070114136000001</v>
      </c>
      <c r="E1932">
        <v>60</v>
      </c>
      <c r="F1932">
        <v>59.978061676000003</v>
      </c>
      <c r="G1932">
        <v>1328.8892822</v>
      </c>
      <c r="H1932">
        <v>1327.4389647999999</v>
      </c>
      <c r="I1932">
        <v>1339.5651855000001</v>
      </c>
      <c r="J1932">
        <v>1336.8967285000001</v>
      </c>
      <c r="K1932">
        <v>0</v>
      </c>
      <c r="L1932">
        <v>2750</v>
      </c>
      <c r="M1932">
        <v>2750</v>
      </c>
      <c r="N1932">
        <v>0</v>
      </c>
    </row>
    <row r="1933" spans="1:14" x14ac:dyDescent="0.25">
      <c r="A1933">
        <v>924.70984499999997</v>
      </c>
      <c r="B1933" s="1">
        <f>DATE(2012,11,10) + TIME(17,2,10)</f>
        <v>41223.709837962961</v>
      </c>
      <c r="C1933">
        <v>80</v>
      </c>
      <c r="D1933">
        <v>79.041801453000005</v>
      </c>
      <c r="E1933">
        <v>60</v>
      </c>
      <c r="F1933">
        <v>59.978034973</v>
      </c>
      <c r="G1933">
        <v>1328.8708495999999</v>
      </c>
      <c r="H1933">
        <v>1327.4127197</v>
      </c>
      <c r="I1933">
        <v>1339.5582274999999</v>
      </c>
      <c r="J1933">
        <v>1336.8934326000001</v>
      </c>
      <c r="K1933">
        <v>0</v>
      </c>
      <c r="L1933">
        <v>2750</v>
      </c>
      <c r="M1933">
        <v>2750</v>
      </c>
      <c r="N1933">
        <v>0</v>
      </c>
    </row>
    <row r="1934" spans="1:14" x14ac:dyDescent="0.25">
      <c r="A1934">
        <v>925.06828299999995</v>
      </c>
      <c r="B1934" s="1">
        <f>DATE(2012,11,11) + TIME(1,38,19)</f>
        <v>41224.06827546296</v>
      </c>
      <c r="C1934">
        <v>80</v>
      </c>
      <c r="D1934">
        <v>79.012969971000004</v>
      </c>
      <c r="E1934">
        <v>60</v>
      </c>
      <c r="F1934">
        <v>59.978008269999997</v>
      </c>
      <c r="G1934">
        <v>1328.8520507999999</v>
      </c>
      <c r="H1934">
        <v>1327.3858643000001</v>
      </c>
      <c r="I1934">
        <v>1339.5512695</v>
      </c>
      <c r="J1934">
        <v>1336.8898925999999</v>
      </c>
      <c r="K1934">
        <v>0</v>
      </c>
      <c r="L1934">
        <v>2750</v>
      </c>
      <c r="M1934">
        <v>2750</v>
      </c>
      <c r="N1934">
        <v>0</v>
      </c>
    </row>
    <row r="1935" spans="1:14" x14ac:dyDescent="0.25">
      <c r="A1935">
        <v>925.43619100000001</v>
      </c>
      <c r="B1935" s="1">
        <f>DATE(2012,11,11) + TIME(10,28,6)</f>
        <v>41224.436180555553</v>
      </c>
      <c r="C1935">
        <v>80</v>
      </c>
      <c r="D1935">
        <v>78.983573914000004</v>
      </c>
      <c r="E1935">
        <v>60</v>
      </c>
      <c r="F1935">
        <v>59.977985382</v>
      </c>
      <c r="G1935">
        <v>1328.8328856999999</v>
      </c>
      <c r="H1935">
        <v>1327.3586425999999</v>
      </c>
      <c r="I1935">
        <v>1339.5443115</v>
      </c>
      <c r="J1935">
        <v>1336.8865966999999</v>
      </c>
      <c r="K1935">
        <v>0</v>
      </c>
      <c r="L1935">
        <v>2750</v>
      </c>
      <c r="M1935">
        <v>2750</v>
      </c>
      <c r="N1935">
        <v>0</v>
      </c>
    </row>
    <row r="1936" spans="1:14" x14ac:dyDescent="0.25">
      <c r="A1936">
        <v>925.81497200000001</v>
      </c>
      <c r="B1936" s="1">
        <f>DATE(2012,11,11) + TIME(19,33,33)</f>
        <v>41224.814965277779</v>
      </c>
      <c r="C1936">
        <v>80</v>
      </c>
      <c r="D1936">
        <v>78.953536987000007</v>
      </c>
      <c r="E1936">
        <v>60</v>
      </c>
      <c r="F1936">
        <v>59.977958678999997</v>
      </c>
      <c r="G1936">
        <v>1328.8134766000001</v>
      </c>
      <c r="H1936">
        <v>1327.3310547000001</v>
      </c>
      <c r="I1936">
        <v>1339.5374756000001</v>
      </c>
      <c r="J1936">
        <v>1336.8831786999999</v>
      </c>
      <c r="K1936">
        <v>0</v>
      </c>
      <c r="L1936">
        <v>2750</v>
      </c>
      <c r="M1936">
        <v>2750</v>
      </c>
      <c r="N1936">
        <v>0</v>
      </c>
    </row>
    <row r="1937" spans="1:14" x14ac:dyDescent="0.25">
      <c r="A1937">
        <v>926.20637399999998</v>
      </c>
      <c r="B1937" s="1">
        <f>DATE(2012,11,12) + TIME(4,57,10)</f>
        <v>41225.206365740742</v>
      </c>
      <c r="C1937">
        <v>80</v>
      </c>
      <c r="D1937">
        <v>78.922790527000004</v>
      </c>
      <c r="E1937">
        <v>60</v>
      </c>
      <c r="F1937">
        <v>59.977935791</v>
      </c>
      <c r="G1937">
        <v>1328.7937012</v>
      </c>
      <c r="H1937">
        <v>1327.3028564000001</v>
      </c>
      <c r="I1937">
        <v>1339.5305175999999</v>
      </c>
      <c r="J1937">
        <v>1336.8798827999999</v>
      </c>
      <c r="K1937">
        <v>0</v>
      </c>
      <c r="L1937">
        <v>2750</v>
      </c>
      <c r="M1937">
        <v>2750</v>
      </c>
      <c r="N1937">
        <v>0</v>
      </c>
    </row>
    <row r="1938" spans="1:14" x14ac:dyDescent="0.25">
      <c r="A1938">
        <v>926.61231599999996</v>
      </c>
      <c r="B1938" s="1">
        <f>DATE(2012,11,12) + TIME(14,41,44)</f>
        <v>41225.612314814818</v>
      </c>
      <c r="C1938">
        <v>80</v>
      </c>
      <c r="D1938">
        <v>78.891220093000001</v>
      </c>
      <c r="E1938">
        <v>60</v>
      </c>
      <c r="F1938">
        <v>59.977909087999997</v>
      </c>
      <c r="G1938">
        <v>1328.7735596</v>
      </c>
      <c r="H1938">
        <v>1327.2741699000001</v>
      </c>
      <c r="I1938">
        <v>1339.5236815999999</v>
      </c>
      <c r="J1938">
        <v>1336.8765868999999</v>
      </c>
      <c r="K1938">
        <v>0</v>
      </c>
      <c r="L1938">
        <v>2750</v>
      </c>
      <c r="M1938">
        <v>2750</v>
      </c>
      <c r="N1938">
        <v>0</v>
      </c>
    </row>
    <row r="1939" spans="1:14" x14ac:dyDescent="0.25">
      <c r="A1939">
        <v>927.02280499999995</v>
      </c>
      <c r="B1939" s="1">
        <f>DATE(2012,11,13) + TIME(0,32,50)</f>
        <v>41226.022800925923</v>
      </c>
      <c r="C1939">
        <v>80</v>
      </c>
      <c r="D1939">
        <v>78.859306334999999</v>
      </c>
      <c r="E1939">
        <v>60</v>
      </c>
      <c r="F1939">
        <v>59.9778862</v>
      </c>
      <c r="G1939">
        <v>1328.7529297000001</v>
      </c>
      <c r="H1939">
        <v>1327.2448730000001</v>
      </c>
      <c r="I1939">
        <v>1339.5167236</v>
      </c>
      <c r="J1939">
        <v>1336.8732910000001</v>
      </c>
      <c r="K1939">
        <v>0</v>
      </c>
      <c r="L1939">
        <v>2750</v>
      </c>
      <c r="M1939">
        <v>2750</v>
      </c>
      <c r="N1939">
        <v>0</v>
      </c>
    </row>
    <row r="1940" spans="1:14" x14ac:dyDescent="0.25">
      <c r="A1940">
        <v>927.43765699999994</v>
      </c>
      <c r="B1940" s="1">
        <f>DATE(2012,11,13) + TIME(10,30,13)</f>
        <v>41226.437650462962</v>
      </c>
      <c r="C1940">
        <v>80</v>
      </c>
      <c r="D1940">
        <v>78.827140807999996</v>
      </c>
      <c r="E1940">
        <v>60</v>
      </c>
      <c r="F1940">
        <v>59.977859496999997</v>
      </c>
      <c r="G1940">
        <v>1328.7321777</v>
      </c>
      <c r="H1940">
        <v>1327.2155762</v>
      </c>
      <c r="I1940">
        <v>1339.5098877</v>
      </c>
      <c r="J1940">
        <v>1336.8701172000001</v>
      </c>
      <c r="K1940">
        <v>0</v>
      </c>
      <c r="L1940">
        <v>2750</v>
      </c>
      <c r="M1940">
        <v>2750</v>
      </c>
      <c r="N1940">
        <v>0</v>
      </c>
    </row>
    <row r="1941" spans="1:14" x14ac:dyDescent="0.25">
      <c r="A1941">
        <v>927.85864600000002</v>
      </c>
      <c r="B1941" s="1">
        <f>DATE(2012,11,13) + TIME(20,36,26)</f>
        <v>41226.858634259261</v>
      </c>
      <c r="C1941">
        <v>80</v>
      </c>
      <c r="D1941">
        <v>78.794708252000007</v>
      </c>
      <c r="E1941">
        <v>60</v>
      </c>
      <c r="F1941">
        <v>59.977836609000001</v>
      </c>
      <c r="G1941">
        <v>1328.7114257999999</v>
      </c>
      <c r="H1941">
        <v>1327.1860352000001</v>
      </c>
      <c r="I1941">
        <v>1339.5031738</v>
      </c>
      <c r="J1941">
        <v>1336.8669434000001</v>
      </c>
      <c r="K1941">
        <v>0</v>
      </c>
      <c r="L1941">
        <v>2750</v>
      </c>
      <c r="M1941">
        <v>2750</v>
      </c>
      <c r="N1941">
        <v>0</v>
      </c>
    </row>
    <row r="1942" spans="1:14" x14ac:dyDescent="0.25">
      <c r="A1942">
        <v>928.28758300000004</v>
      </c>
      <c r="B1942" s="1">
        <f>DATE(2012,11,14) + TIME(6,54,7)</f>
        <v>41227.287581018521</v>
      </c>
      <c r="C1942">
        <v>80</v>
      </c>
      <c r="D1942">
        <v>78.761932372999993</v>
      </c>
      <c r="E1942">
        <v>60</v>
      </c>
      <c r="F1942">
        <v>59.977813720999997</v>
      </c>
      <c r="G1942">
        <v>1328.6904297000001</v>
      </c>
      <c r="H1942">
        <v>1327.1564940999999</v>
      </c>
      <c r="I1942">
        <v>1339.4964600000001</v>
      </c>
      <c r="J1942">
        <v>1336.8637695</v>
      </c>
      <c r="K1942">
        <v>0</v>
      </c>
      <c r="L1942">
        <v>2750</v>
      </c>
      <c r="M1942">
        <v>2750</v>
      </c>
      <c r="N1942">
        <v>0</v>
      </c>
    </row>
    <row r="1943" spans="1:14" x14ac:dyDescent="0.25">
      <c r="A1943">
        <v>928.72637899999995</v>
      </c>
      <c r="B1943" s="1">
        <f>DATE(2012,11,14) + TIME(17,25,59)</f>
        <v>41227.726377314815</v>
      </c>
      <c r="C1943">
        <v>80</v>
      </c>
      <c r="D1943">
        <v>78.728729247999993</v>
      </c>
      <c r="E1943">
        <v>60</v>
      </c>
      <c r="F1943">
        <v>59.977790833</v>
      </c>
      <c r="G1943">
        <v>1328.6694336</v>
      </c>
      <c r="H1943">
        <v>1327.1267089999999</v>
      </c>
      <c r="I1943">
        <v>1339.4899902</v>
      </c>
      <c r="J1943">
        <v>1336.8608397999999</v>
      </c>
      <c r="K1943">
        <v>0</v>
      </c>
      <c r="L1943">
        <v>2750</v>
      </c>
      <c r="M1943">
        <v>2750</v>
      </c>
      <c r="N1943">
        <v>0</v>
      </c>
    </row>
    <row r="1944" spans="1:14" x14ac:dyDescent="0.25">
      <c r="A1944">
        <v>929.17702399999996</v>
      </c>
      <c r="B1944" s="1">
        <f>DATE(2012,11,15) + TIME(4,14,54)</f>
        <v>41228.17701388889</v>
      </c>
      <c r="C1944">
        <v>80</v>
      </c>
      <c r="D1944">
        <v>78.694999695000007</v>
      </c>
      <c r="E1944">
        <v>60</v>
      </c>
      <c r="F1944">
        <v>59.977764129999997</v>
      </c>
      <c r="G1944">
        <v>1328.6481934000001</v>
      </c>
      <c r="H1944">
        <v>1327.0965576000001</v>
      </c>
      <c r="I1944">
        <v>1339.4833983999999</v>
      </c>
      <c r="J1944">
        <v>1336.8577881000001</v>
      </c>
      <c r="K1944">
        <v>0</v>
      </c>
      <c r="L1944">
        <v>2750</v>
      </c>
      <c r="M1944">
        <v>2750</v>
      </c>
      <c r="N1944">
        <v>0</v>
      </c>
    </row>
    <row r="1945" spans="1:14" x14ac:dyDescent="0.25">
      <c r="A1945">
        <v>929.64049399999999</v>
      </c>
      <c r="B1945" s="1">
        <f>DATE(2012,11,15) + TIME(15,22,18)</f>
        <v>41228.640486111108</v>
      </c>
      <c r="C1945">
        <v>80</v>
      </c>
      <c r="D1945">
        <v>78.660659789999997</v>
      </c>
      <c r="E1945">
        <v>60</v>
      </c>
      <c r="F1945">
        <v>59.977741240999997</v>
      </c>
      <c r="G1945">
        <v>1328.6265868999999</v>
      </c>
      <c r="H1945">
        <v>1327.0660399999999</v>
      </c>
      <c r="I1945">
        <v>1339.4769286999999</v>
      </c>
      <c r="J1945">
        <v>1336.8548584</v>
      </c>
      <c r="K1945">
        <v>0</v>
      </c>
      <c r="L1945">
        <v>2750</v>
      </c>
      <c r="M1945">
        <v>2750</v>
      </c>
      <c r="N1945">
        <v>0</v>
      </c>
    </row>
    <row r="1946" spans="1:14" x14ac:dyDescent="0.25">
      <c r="A1946">
        <v>930.11716699999999</v>
      </c>
      <c r="B1946" s="1">
        <f>DATE(2012,11,16) + TIME(2,48,43)</f>
        <v>41229.117164351854</v>
      </c>
      <c r="C1946">
        <v>80</v>
      </c>
      <c r="D1946">
        <v>78.625671386999997</v>
      </c>
      <c r="E1946">
        <v>60</v>
      </c>
      <c r="F1946">
        <v>59.977718353</v>
      </c>
      <c r="G1946">
        <v>1328.6046143000001</v>
      </c>
      <c r="H1946">
        <v>1327.0351562000001</v>
      </c>
      <c r="I1946">
        <v>1339.4704589999999</v>
      </c>
      <c r="J1946">
        <v>1336.8519286999999</v>
      </c>
      <c r="K1946">
        <v>0</v>
      </c>
      <c r="L1946">
        <v>2750</v>
      </c>
      <c r="M1946">
        <v>2750</v>
      </c>
      <c r="N1946">
        <v>0</v>
      </c>
    </row>
    <row r="1947" spans="1:14" x14ac:dyDescent="0.25">
      <c r="A1947">
        <v>930.60950300000002</v>
      </c>
      <c r="B1947" s="1">
        <f>DATE(2012,11,16) + TIME(14,37,41)</f>
        <v>41229.609502314815</v>
      </c>
      <c r="C1947">
        <v>80</v>
      </c>
      <c r="D1947">
        <v>78.589912415000001</v>
      </c>
      <c r="E1947">
        <v>60</v>
      </c>
      <c r="F1947">
        <v>59.977695464999996</v>
      </c>
      <c r="G1947">
        <v>1328.5822754000001</v>
      </c>
      <c r="H1947">
        <v>1327.0036620999999</v>
      </c>
      <c r="I1947">
        <v>1339.4639893000001</v>
      </c>
      <c r="J1947">
        <v>1336.848999</v>
      </c>
      <c r="K1947">
        <v>0</v>
      </c>
      <c r="L1947">
        <v>2750</v>
      </c>
      <c r="M1947">
        <v>2750</v>
      </c>
      <c r="N1947">
        <v>0</v>
      </c>
    </row>
    <row r="1948" spans="1:14" x14ac:dyDescent="0.25">
      <c r="A1948">
        <v>931.11586899999998</v>
      </c>
      <c r="B1948" s="1">
        <f>DATE(2012,11,17) + TIME(2,46,51)</f>
        <v>41230.115868055553</v>
      </c>
      <c r="C1948">
        <v>80</v>
      </c>
      <c r="D1948">
        <v>78.553421021000005</v>
      </c>
      <c r="E1948">
        <v>60</v>
      </c>
      <c r="F1948">
        <v>59.977672577</v>
      </c>
      <c r="G1948">
        <v>1328.5594481999999</v>
      </c>
      <c r="H1948">
        <v>1326.9716797000001</v>
      </c>
      <c r="I1948">
        <v>1339.4573975000001</v>
      </c>
      <c r="J1948">
        <v>1336.8460693</v>
      </c>
      <c r="K1948">
        <v>0</v>
      </c>
      <c r="L1948">
        <v>2750</v>
      </c>
      <c r="M1948">
        <v>2750</v>
      </c>
      <c r="N1948">
        <v>0</v>
      </c>
    </row>
    <row r="1949" spans="1:14" x14ac:dyDescent="0.25">
      <c r="A1949">
        <v>931.62965099999997</v>
      </c>
      <c r="B1949" s="1">
        <f>DATE(2012,11,17) + TIME(15,6,41)</f>
        <v>41230.629641203705</v>
      </c>
      <c r="C1949">
        <v>80</v>
      </c>
      <c r="D1949">
        <v>78.516456603999998</v>
      </c>
      <c r="E1949">
        <v>60</v>
      </c>
      <c r="F1949">
        <v>59.977649689000003</v>
      </c>
      <c r="G1949">
        <v>1328.5363769999999</v>
      </c>
      <c r="H1949">
        <v>1326.9392089999999</v>
      </c>
      <c r="I1949">
        <v>1339.4509277</v>
      </c>
      <c r="J1949">
        <v>1336.8431396000001</v>
      </c>
      <c r="K1949">
        <v>0</v>
      </c>
      <c r="L1949">
        <v>2750</v>
      </c>
      <c r="M1949">
        <v>2750</v>
      </c>
      <c r="N1949">
        <v>0</v>
      </c>
    </row>
    <row r="1950" spans="1:14" x14ac:dyDescent="0.25">
      <c r="A1950">
        <v>932.15354600000001</v>
      </c>
      <c r="B1950" s="1">
        <f>DATE(2012,11,18) + TIME(3,41,6)</f>
        <v>41231.153541666667</v>
      </c>
      <c r="C1950">
        <v>80</v>
      </c>
      <c r="D1950">
        <v>78.479011536000002</v>
      </c>
      <c r="E1950">
        <v>60</v>
      </c>
      <c r="F1950">
        <v>59.977622986</v>
      </c>
      <c r="G1950">
        <v>1328.5130615</v>
      </c>
      <c r="H1950">
        <v>1326.9064940999999</v>
      </c>
      <c r="I1950">
        <v>1339.4444579999999</v>
      </c>
      <c r="J1950">
        <v>1336.840332</v>
      </c>
      <c r="K1950">
        <v>0</v>
      </c>
      <c r="L1950">
        <v>2750</v>
      </c>
      <c r="M1950">
        <v>2750</v>
      </c>
      <c r="N1950">
        <v>0</v>
      </c>
    </row>
    <row r="1951" spans="1:14" x14ac:dyDescent="0.25">
      <c r="A1951">
        <v>932.68976699999996</v>
      </c>
      <c r="B1951" s="1">
        <f>DATE(2012,11,18) + TIME(16,33,15)</f>
        <v>41231.689756944441</v>
      </c>
      <c r="C1951">
        <v>80</v>
      </c>
      <c r="D1951">
        <v>78.441009520999998</v>
      </c>
      <c r="E1951">
        <v>60</v>
      </c>
      <c r="F1951">
        <v>59.977600098000003</v>
      </c>
      <c r="G1951">
        <v>1328.489624</v>
      </c>
      <c r="H1951">
        <v>1326.8736572</v>
      </c>
      <c r="I1951">
        <v>1339.4381103999999</v>
      </c>
      <c r="J1951">
        <v>1336.8375243999999</v>
      </c>
      <c r="K1951">
        <v>0</v>
      </c>
      <c r="L1951">
        <v>2750</v>
      </c>
      <c r="M1951">
        <v>2750</v>
      </c>
      <c r="N1951">
        <v>0</v>
      </c>
    </row>
    <row r="1952" spans="1:14" x14ac:dyDescent="0.25">
      <c r="A1952">
        <v>933.24064899999996</v>
      </c>
      <c r="B1952" s="1">
        <f>DATE(2012,11,19) + TIME(5,46,32)</f>
        <v>41232.240648148145</v>
      </c>
      <c r="C1952">
        <v>80</v>
      </c>
      <c r="D1952">
        <v>78.402359008999994</v>
      </c>
      <c r="E1952">
        <v>60</v>
      </c>
      <c r="F1952">
        <v>59.977577209000003</v>
      </c>
      <c r="G1952">
        <v>1328.4658202999999</v>
      </c>
      <c r="H1952">
        <v>1326.840332</v>
      </c>
      <c r="I1952">
        <v>1339.4317627</v>
      </c>
      <c r="J1952">
        <v>1336.8348389</v>
      </c>
      <c r="K1952">
        <v>0</v>
      </c>
      <c r="L1952">
        <v>2750</v>
      </c>
      <c r="M1952">
        <v>2750</v>
      </c>
      <c r="N1952">
        <v>0</v>
      </c>
    </row>
    <row r="1953" spans="1:14" x14ac:dyDescent="0.25">
      <c r="A1953">
        <v>933.80886099999998</v>
      </c>
      <c r="B1953" s="1">
        <f>DATE(2012,11,19) + TIME(19,24,45)</f>
        <v>41232.808854166666</v>
      </c>
      <c r="C1953">
        <v>80</v>
      </c>
      <c r="D1953">
        <v>78.362899780000006</v>
      </c>
      <c r="E1953">
        <v>60</v>
      </c>
      <c r="F1953">
        <v>59.977554321</v>
      </c>
      <c r="G1953">
        <v>1328.4417725000001</v>
      </c>
      <c r="H1953">
        <v>1326.8065185999999</v>
      </c>
      <c r="I1953">
        <v>1339.4254149999999</v>
      </c>
      <c r="J1953">
        <v>1336.8320312000001</v>
      </c>
      <c r="K1953">
        <v>0</v>
      </c>
      <c r="L1953">
        <v>2750</v>
      </c>
      <c r="M1953">
        <v>2750</v>
      </c>
      <c r="N1953">
        <v>0</v>
      </c>
    </row>
    <row r="1954" spans="1:14" x14ac:dyDescent="0.25">
      <c r="A1954">
        <v>934.38184799999999</v>
      </c>
      <c r="B1954" s="1">
        <f>DATE(2012,11,20) + TIME(9,9,51)</f>
        <v>41233.381840277776</v>
      </c>
      <c r="C1954">
        <v>80</v>
      </c>
      <c r="D1954">
        <v>78.323051453000005</v>
      </c>
      <c r="E1954">
        <v>60</v>
      </c>
      <c r="F1954">
        <v>59.977531433000003</v>
      </c>
      <c r="G1954">
        <v>1328.4172363</v>
      </c>
      <c r="H1954">
        <v>1326.7722168</v>
      </c>
      <c r="I1954">
        <v>1339.4190673999999</v>
      </c>
      <c r="J1954">
        <v>1336.8293457</v>
      </c>
      <c r="K1954">
        <v>0</v>
      </c>
      <c r="L1954">
        <v>2750</v>
      </c>
      <c r="M1954">
        <v>2750</v>
      </c>
      <c r="N1954">
        <v>0</v>
      </c>
    </row>
    <row r="1955" spans="1:14" x14ac:dyDescent="0.25">
      <c r="A1955">
        <v>934.96202000000005</v>
      </c>
      <c r="B1955" s="1">
        <f>DATE(2012,11,20) + TIME(23,5,18)</f>
        <v>41233.962013888886</v>
      </c>
      <c r="C1955">
        <v>80</v>
      </c>
      <c r="D1955">
        <v>78.282859802000004</v>
      </c>
      <c r="E1955">
        <v>60</v>
      </c>
      <c r="F1955">
        <v>59.977508544999999</v>
      </c>
      <c r="G1955">
        <v>1328.3927002</v>
      </c>
      <c r="H1955">
        <v>1326.7379149999999</v>
      </c>
      <c r="I1955">
        <v>1339.4127197</v>
      </c>
      <c r="J1955">
        <v>1336.8267822</v>
      </c>
      <c r="K1955">
        <v>0</v>
      </c>
      <c r="L1955">
        <v>2750</v>
      </c>
      <c r="M1955">
        <v>2750</v>
      </c>
      <c r="N1955">
        <v>0</v>
      </c>
    </row>
    <row r="1956" spans="1:14" x14ac:dyDescent="0.25">
      <c r="A1956">
        <v>935.55197899999996</v>
      </c>
      <c r="B1956" s="1">
        <f>DATE(2012,11,21) + TIME(13,14,51)</f>
        <v>41234.551979166667</v>
      </c>
      <c r="C1956">
        <v>80</v>
      </c>
      <c r="D1956">
        <v>78.242294311999999</v>
      </c>
      <c r="E1956">
        <v>60</v>
      </c>
      <c r="F1956">
        <v>59.977485657000003</v>
      </c>
      <c r="G1956">
        <v>1328.3680420000001</v>
      </c>
      <c r="H1956">
        <v>1326.7036132999999</v>
      </c>
      <c r="I1956">
        <v>1339.4066161999999</v>
      </c>
      <c r="J1956">
        <v>1336.8240966999999</v>
      </c>
      <c r="K1956">
        <v>0</v>
      </c>
      <c r="L1956">
        <v>2750</v>
      </c>
      <c r="M1956">
        <v>2750</v>
      </c>
      <c r="N1956">
        <v>0</v>
      </c>
    </row>
    <row r="1957" spans="1:14" x14ac:dyDescent="0.25">
      <c r="A1957">
        <v>936.15448100000003</v>
      </c>
      <c r="B1957" s="1">
        <f>DATE(2012,11,22) + TIME(3,42,27)</f>
        <v>41235.154479166667</v>
      </c>
      <c r="C1957">
        <v>80</v>
      </c>
      <c r="D1957">
        <v>78.201240540000001</v>
      </c>
      <c r="E1957">
        <v>60</v>
      </c>
      <c r="F1957">
        <v>59.977466583000002</v>
      </c>
      <c r="G1957">
        <v>1328.3433838000001</v>
      </c>
      <c r="H1957">
        <v>1326.6690673999999</v>
      </c>
      <c r="I1957">
        <v>1339.4005127</v>
      </c>
      <c r="J1957">
        <v>1336.8216553</v>
      </c>
      <c r="K1957">
        <v>0</v>
      </c>
      <c r="L1957">
        <v>2750</v>
      </c>
      <c r="M1957">
        <v>2750</v>
      </c>
      <c r="N1957">
        <v>0</v>
      </c>
    </row>
    <row r="1958" spans="1:14" x14ac:dyDescent="0.25">
      <c r="A1958">
        <v>936.772379</v>
      </c>
      <c r="B1958" s="1">
        <f>DATE(2012,11,22) + TIME(18,32,13)</f>
        <v>41235.772372685184</v>
      </c>
      <c r="C1958">
        <v>80</v>
      </c>
      <c r="D1958">
        <v>78.15953064</v>
      </c>
      <c r="E1958">
        <v>60</v>
      </c>
      <c r="F1958">
        <v>59.977443694999998</v>
      </c>
      <c r="G1958">
        <v>1328.3183594</v>
      </c>
      <c r="H1958">
        <v>1326.6342772999999</v>
      </c>
      <c r="I1958">
        <v>1339.3944091999999</v>
      </c>
      <c r="J1958">
        <v>1336.8190918</v>
      </c>
      <c r="K1958">
        <v>0</v>
      </c>
      <c r="L1958">
        <v>2750</v>
      </c>
      <c r="M1958">
        <v>2750</v>
      </c>
      <c r="N1958">
        <v>0</v>
      </c>
    </row>
    <row r="1959" spans="1:14" x14ac:dyDescent="0.25">
      <c r="A1959">
        <v>937.40884000000005</v>
      </c>
      <c r="B1959" s="1">
        <f>DATE(2012,11,23) + TIME(9,48,43)</f>
        <v>41236.408831018518</v>
      </c>
      <c r="C1959">
        <v>80</v>
      </c>
      <c r="D1959">
        <v>78.116996764999996</v>
      </c>
      <c r="E1959">
        <v>60</v>
      </c>
      <c r="F1959">
        <v>59.977420807000001</v>
      </c>
      <c r="G1959">
        <v>1328.2930908000001</v>
      </c>
      <c r="H1959">
        <v>1326.5991211</v>
      </c>
      <c r="I1959">
        <v>1339.3884277</v>
      </c>
      <c r="J1959">
        <v>1336.8166504000001</v>
      </c>
      <c r="K1959">
        <v>0</v>
      </c>
      <c r="L1959">
        <v>2750</v>
      </c>
      <c r="M1959">
        <v>2750</v>
      </c>
      <c r="N1959">
        <v>0</v>
      </c>
    </row>
    <row r="1960" spans="1:14" x14ac:dyDescent="0.25">
      <c r="A1960">
        <v>938.06749500000001</v>
      </c>
      <c r="B1960" s="1">
        <f>DATE(2012,11,24) + TIME(1,37,11)</f>
        <v>41237.067488425928</v>
      </c>
      <c r="C1960">
        <v>80</v>
      </c>
      <c r="D1960">
        <v>78.073425293</v>
      </c>
      <c r="E1960">
        <v>60</v>
      </c>
      <c r="F1960">
        <v>59.977397918999998</v>
      </c>
      <c r="G1960">
        <v>1328.2674560999999</v>
      </c>
      <c r="H1960">
        <v>1326.5633545000001</v>
      </c>
      <c r="I1960">
        <v>1339.3823242000001</v>
      </c>
      <c r="J1960">
        <v>1336.8142089999999</v>
      </c>
      <c r="K1960">
        <v>0</v>
      </c>
      <c r="L1960">
        <v>2750</v>
      </c>
      <c r="M1960">
        <v>2750</v>
      </c>
      <c r="N1960">
        <v>0</v>
      </c>
    </row>
    <row r="1961" spans="1:14" x14ac:dyDescent="0.25">
      <c r="A1961">
        <v>938.75239399999998</v>
      </c>
      <c r="B1961" s="1">
        <f>DATE(2012,11,24) + TIME(18,3,26)</f>
        <v>41237.752384259256</v>
      </c>
      <c r="C1961">
        <v>80</v>
      </c>
      <c r="D1961">
        <v>78.028579711999996</v>
      </c>
      <c r="E1961">
        <v>60</v>
      </c>
      <c r="F1961">
        <v>59.977375031000001</v>
      </c>
      <c r="G1961">
        <v>1328.2412108999999</v>
      </c>
      <c r="H1961">
        <v>1326.5269774999999</v>
      </c>
      <c r="I1961">
        <v>1339.3762207</v>
      </c>
      <c r="J1961">
        <v>1336.8117675999999</v>
      </c>
      <c r="K1961">
        <v>0</v>
      </c>
      <c r="L1961">
        <v>2750</v>
      </c>
      <c r="M1961">
        <v>2750</v>
      </c>
      <c r="N1961">
        <v>0</v>
      </c>
    </row>
    <row r="1962" spans="1:14" x14ac:dyDescent="0.25">
      <c r="A1962">
        <v>939.45891099999994</v>
      </c>
      <c r="B1962" s="1">
        <f>DATE(2012,11,25) + TIME(11,0,49)</f>
        <v>41238.45890046296</v>
      </c>
      <c r="C1962">
        <v>80</v>
      </c>
      <c r="D1962">
        <v>77.982475281000006</v>
      </c>
      <c r="E1962">
        <v>60</v>
      </c>
      <c r="F1962">
        <v>59.977352142000001</v>
      </c>
      <c r="G1962">
        <v>1328.2143555</v>
      </c>
      <c r="H1962">
        <v>1326.4897461</v>
      </c>
      <c r="I1962">
        <v>1339.3699951000001</v>
      </c>
      <c r="J1962">
        <v>1336.8092041</v>
      </c>
      <c r="K1962">
        <v>0</v>
      </c>
      <c r="L1962">
        <v>2750</v>
      </c>
      <c r="M1962">
        <v>2750</v>
      </c>
      <c r="N1962">
        <v>0</v>
      </c>
    </row>
    <row r="1963" spans="1:14" x14ac:dyDescent="0.25">
      <c r="A1963">
        <v>940.17488700000001</v>
      </c>
      <c r="B1963" s="1">
        <f>DATE(2012,11,26) + TIME(4,11,50)</f>
        <v>41239.174884259257</v>
      </c>
      <c r="C1963">
        <v>80</v>
      </c>
      <c r="D1963">
        <v>77.935493468999994</v>
      </c>
      <c r="E1963">
        <v>60</v>
      </c>
      <c r="F1963">
        <v>59.977329253999997</v>
      </c>
      <c r="G1963">
        <v>1328.1870117000001</v>
      </c>
      <c r="H1963">
        <v>1326.4519043</v>
      </c>
      <c r="I1963">
        <v>1339.3637695</v>
      </c>
      <c r="J1963">
        <v>1336.8067627</v>
      </c>
      <c r="K1963">
        <v>0</v>
      </c>
      <c r="L1963">
        <v>2750</v>
      </c>
      <c r="M1963">
        <v>2750</v>
      </c>
      <c r="N1963">
        <v>0</v>
      </c>
    </row>
    <row r="1964" spans="1:14" x14ac:dyDescent="0.25">
      <c r="A1964">
        <v>940.89795800000002</v>
      </c>
      <c r="B1964" s="1">
        <f>DATE(2012,11,26) + TIME(21,33,3)</f>
        <v>41239.897951388892</v>
      </c>
      <c r="C1964">
        <v>80</v>
      </c>
      <c r="D1964">
        <v>77.887947083</v>
      </c>
      <c r="E1964">
        <v>60</v>
      </c>
      <c r="F1964">
        <v>59.977310181</v>
      </c>
      <c r="G1964">
        <v>1328.1594238</v>
      </c>
      <c r="H1964">
        <v>1326.4138184000001</v>
      </c>
      <c r="I1964">
        <v>1339.3575439000001</v>
      </c>
      <c r="J1964">
        <v>1336.8043213000001</v>
      </c>
      <c r="K1964">
        <v>0</v>
      </c>
      <c r="L1964">
        <v>2750</v>
      </c>
      <c r="M1964">
        <v>2750</v>
      </c>
      <c r="N1964">
        <v>0</v>
      </c>
    </row>
    <row r="1965" spans="1:14" x14ac:dyDescent="0.25">
      <c r="A1965">
        <v>941.63288</v>
      </c>
      <c r="B1965" s="1">
        <f>DATE(2012,11,27) + TIME(15,11,20)</f>
        <v>41240.632870370369</v>
      </c>
      <c r="C1965">
        <v>80</v>
      </c>
      <c r="D1965">
        <v>77.839836121000005</v>
      </c>
      <c r="E1965">
        <v>60</v>
      </c>
      <c r="F1965">
        <v>59.977287292</v>
      </c>
      <c r="G1965">
        <v>1328.1319579999999</v>
      </c>
      <c r="H1965">
        <v>1326.3756103999999</v>
      </c>
      <c r="I1965">
        <v>1339.3514404</v>
      </c>
      <c r="J1965">
        <v>1336.8020019999999</v>
      </c>
      <c r="K1965">
        <v>0</v>
      </c>
      <c r="L1965">
        <v>2750</v>
      </c>
      <c r="M1965">
        <v>2750</v>
      </c>
      <c r="N1965">
        <v>0</v>
      </c>
    </row>
    <row r="1966" spans="1:14" x14ac:dyDescent="0.25">
      <c r="A1966">
        <v>942.38018899999997</v>
      </c>
      <c r="B1966" s="1">
        <f>DATE(2012,11,28) + TIME(9,7,28)</f>
        <v>41241.380185185182</v>
      </c>
      <c r="C1966">
        <v>80</v>
      </c>
      <c r="D1966">
        <v>77.791137695000003</v>
      </c>
      <c r="E1966">
        <v>60</v>
      </c>
      <c r="F1966">
        <v>59.977264404000003</v>
      </c>
      <c r="G1966">
        <v>1328.1043701000001</v>
      </c>
      <c r="H1966">
        <v>1326.3374022999999</v>
      </c>
      <c r="I1966">
        <v>1339.3454589999999</v>
      </c>
      <c r="J1966">
        <v>1336.7996826000001</v>
      </c>
      <c r="K1966">
        <v>0</v>
      </c>
      <c r="L1966">
        <v>2750</v>
      </c>
      <c r="M1966">
        <v>2750</v>
      </c>
      <c r="N1966">
        <v>0</v>
      </c>
    </row>
    <row r="1967" spans="1:14" x14ac:dyDescent="0.25">
      <c r="A1967">
        <v>943.13758900000005</v>
      </c>
      <c r="B1967" s="1">
        <f>DATE(2012,11,29) + TIME(3,18,7)</f>
        <v>41242.13758101852</v>
      </c>
      <c r="C1967">
        <v>80</v>
      </c>
      <c r="D1967">
        <v>77.741859435999999</v>
      </c>
      <c r="E1967">
        <v>60</v>
      </c>
      <c r="F1967">
        <v>59.977241515999999</v>
      </c>
      <c r="G1967">
        <v>1328.0765381000001</v>
      </c>
      <c r="H1967">
        <v>1326.2991943</v>
      </c>
      <c r="I1967">
        <v>1339.3394774999999</v>
      </c>
      <c r="J1967">
        <v>1336.7973632999999</v>
      </c>
      <c r="K1967">
        <v>0</v>
      </c>
      <c r="L1967">
        <v>2750</v>
      </c>
      <c r="M1967">
        <v>2750</v>
      </c>
      <c r="N1967">
        <v>0</v>
      </c>
    </row>
    <row r="1968" spans="1:14" x14ac:dyDescent="0.25">
      <c r="A1968">
        <v>943.90890300000001</v>
      </c>
      <c r="B1968" s="1">
        <f>DATE(2012,11,29) + TIME(21,48,49)</f>
        <v>41242.908900462964</v>
      </c>
      <c r="C1968">
        <v>80</v>
      </c>
      <c r="D1968">
        <v>77.691932678000001</v>
      </c>
      <c r="E1968">
        <v>60</v>
      </c>
      <c r="F1968">
        <v>59.977222443000002</v>
      </c>
      <c r="G1968">
        <v>1328.0488281</v>
      </c>
      <c r="H1968">
        <v>1326.2607422000001</v>
      </c>
      <c r="I1968">
        <v>1339.3336182</v>
      </c>
      <c r="J1968">
        <v>1336.7951660000001</v>
      </c>
      <c r="K1968">
        <v>0</v>
      </c>
      <c r="L1968">
        <v>2750</v>
      </c>
      <c r="M1968">
        <v>2750</v>
      </c>
      <c r="N1968">
        <v>0</v>
      </c>
    </row>
    <row r="1969" spans="1:14" x14ac:dyDescent="0.25">
      <c r="A1969">
        <v>944.69809299999997</v>
      </c>
      <c r="B1969" s="1">
        <f>DATE(2012,11,30) + TIME(16,45,15)</f>
        <v>41243.69809027778</v>
      </c>
      <c r="C1969">
        <v>80</v>
      </c>
      <c r="D1969">
        <v>77.641166686999995</v>
      </c>
      <c r="E1969">
        <v>60</v>
      </c>
      <c r="F1969">
        <v>59.977199554000002</v>
      </c>
      <c r="G1969">
        <v>1328.020874</v>
      </c>
      <c r="H1969">
        <v>1326.2222899999999</v>
      </c>
      <c r="I1969">
        <v>1339.3277588000001</v>
      </c>
      <c r="J1969">
        <v>1336.7929687999999</v>
      </c>
      <c r="K1969">
        <v>0</v>
      </c>
      <c r="L1969">
        <v>2750</v>
      </c>
      <c r="M1969">
        <v>2750</v>
      </c>
      <c r="N1969">
        <v>0</v>
      </c>
    </row>
    <row r="1970" spans="1:14" x14ac:dyDescent="0.25">
      <c r="A1970">
        <v>945</v>
      </c>
      <c r="B1970" s="1">
        <f>DATE(2012,12,1) + TIME(0,0,0)</f>
        <v>41244</v>
      </c>
      <c r="C1970">
        <v>80</v>
      </c>
      <c r="D1970">
        <v>77.610847473000007</v>
      </c>
      <c r="E1970">
        <v>60</v>
      </c>
      <c r="F1970">
        <v>59.977184295999997</v>
      </c>
      <c r="G1970">
        <v>1327.9945068</v>
      </c>
      <c r="H1970">
        <v>1326.1868896000001</v>
      </c>
      <c r="I1970">
        <v>1339.3218993999999</v>
      </c>
      <c r="J1970">
        <v>1336.7907714999999</v>
      </c>
      <c r="K1970">
        <v>0</v>
      </c>
      <c r="L1970">
        <v>2750</v>
      </c>
      <c r="M1970">
        <v>2750</v>
      </c>
      <c r="N1970">
        <v>0</v>
      </c>
    </row>
    <row r="1971" spans="1:14" x14ac:dyDescent="0.25">
      <c r="A1971">
        <v>945.811194</v>
      </c>
      <c r="B1971" s="1">
        <f>DATE(2012,12,1) + TIME(19,28,7)</f>
        <v>41244.811192129629</v>
      </c>
      <c r="C1971">
        <v>80</v>
      </c>
      <c r="D1971">
        <v>77.565155028999996</v>
      </c>
      <c r="E1971">
        <v>60</v>
      </c>
      <c r="F1971">
        <v>59.977169037000003</v>
      </c>
      <c r="G1971">
        <v>1327.9793701000001</v>
      </c>
      <c r="H1971">
        <v>1326.1643065999999</v>
      </c>
      <c r="I1971">
        <v>1339.3198242000001</v>
      </c>
      <c r="J1971">
        <v>1336.7900391000001</v>
      </c>
      <c r="K1971">
        <v>0</v>
      </c>
      <c r="L1971">
        <v>2750</v>
      </c>
      <c r="M1971">
        <v>2750</v>
      </c>
      <c r="N1971">
        <v>0</v>
      </c>
    </row>
    <row r="1972" spans="1:14" x14ac:dyDescent="0.25">
      <c r="A1972">
        <v>946.66080399999998</v>
      </c>
      <c r="B1972" s="1">
        <f>DATE(2012,12,2) + TIME(15,51,33)</f>
        <v>41245.660798611112</v>
      </c>
      <c r="C1972">
        <v>80</v>
      </c>
      <c r="D1972">
        <v>77.514305114999999</v>
      </c>
      <c r="E1972">
        <v>60</v>
      </c>
      <c r="F1972">
        <v>59.977149963000002</v>
      </c>
      <c r="G1972">
        <v>1327.9523925999999</v>
      </c>
      <c r="H1972">
        <v>1326.1276855000001</v>
      </c>
      <c r="I1972">
        <v>1339.3139647999999</v>
      </c>
      <c r="J1972">
        <v>1336.7878418</v>
      </c>
      <c r="K1972">
        <v>0</v>
      </c>
      <c r="L1972">
        <v>2750</v>
      </c>
      <c r="M1972">
        <v>2750</v>
      </c>
      <c r="N1972">
        <v>0</v>
      </c>
    </row>
    <row r="1973" spans="1:14" x14ac:dyDescent="0.25">
      <c r="A1973">
        <v>947.53930700000001</v>
      </c>
      <c r="B1973" s="1">
        <f>DATE(2012,12,3) + TIME(12,56,36)</f>
        <v>41246.539305555554</v>
      </c>
      <c r="C1973">
        <v>80</v>
      </c>
      <c r="D1973">
        <v>77.460037231000001</v>
      </c>
      <c r="E1973">
        <v>60</v>
      </c>
      <c r="F1973">
        <v>59.977130889999998</v>
      </c>
      <c r="G1973">
        <v>1327.9238281</v>
      </c>
      <c r="H1973">
        <v>1326.0887451000001</v>
      </c>
      <c r="I1973">
        <v>1339.3081055</v>
      </c>
      <c r="J1973">
        <v>1336.7857666</v>
      </c>
      <c r="K1973">
        <v>0</v>
      </c>
      <c r="L1973">
        <v>2750</v>
      </c>
      <c r="M1973">
        <v>2750</v>
      </c>
      <c r="N1973">
        <v>0</v>
      </c>
    </row>
    <row r="1974" spans="1:14" x14ac:dyDescent="0.25">
      <c r="A1974">
        <v>948.44622800000002</v>
      </c>
      <c r="B1974" s="1">
        <f>DATE(2012,12,4) + TIME(10,42,34)</f>
        <v>41247.446226851855</v>
      </c>
      <c r="C1974">
        <v>80</v>
      </c>
      <c r="D1974">
        <v>77.403289795000006</v>
      </c>
      <c r="E1974">
        <v>60</v>
      </c>
      <c r="F1974">
        <v>59.977108002000001</v>
      </c>
      <c r="G1974">
        <v>1327.8942870999999</v>
      </c>
      <c r="H1974">
        <v>1326.0483397999999</v>
      </c>
      <c r="I1974">
        <v>1339.302124</v>
      </c>
      <c r="J1974">
        <v>1336.7835693</v>
      </c>
      <c r="K1974">
        <v>0</v>
      </c>
      <c r="L1974">
        <v>2750</v>
      </c>
      <c r="M1974">
        <v>2750</v>
      </c>
      <c r="N1974">
        <v>0</v>
      </c>
    </row>
    <row r="1975" spans="1:14" x14ac:dyDescent="0.25">
      <c r="A1975">
        <v>949.37706700000001</v>
      </c>
      <c r="B1975" s="1">
        <f>DATE(2012,12,5) + TIME(9,2,58)</f>
        <v>41248.377060185187</v>
      </c>
      <c r="C1975">
        <v>80</v>
      </c>
      <c r="D1975">
        <v>77.344543457</v>
      </c>
      <c r="E1975">
        <v>60</v>
      </c>
      <c r="F1975">
        <v>59.977088928000001</v>
      </c>
      <c r="G1975">
        <v>1327.8641356999999</v>
      </c>
      <c r="H1975">
        <v>1326.0069579999999</v>
      </c>
      <c r="I1975">
        <v>1339.2960204999999</v>
      </c>
      <c r="J1975">
        <v>1336.7813721</v>
      </c>
      <c r="K1975">
        <v>0</v>
      </c>
      <c r="L1975">
        <v>2750</v>
      </c>
      <c r="M1975">
        <v>2750</v>
      </c>
      <c r="N1975">
        <v>0</v>
      </c>
    </row>
    <row r="1976" spans="1:14" x14ac:dyDescent="0.25">
      <c r="A1976">
        <v>950.31109000000004</v>
      </c>
      <c r="B1976" s="1">
        <f>DATE(2012,12,6) + TIME(7,27,58)</f>
        <v>41249.31108796296</v>
      </c>
      <c r="C1976">
        <v>80</v>
      </c>
      <c r="D1976">
        <v>77.284561156999999</v>
      </c>
      <c r="E1976">
        <v>60</v>
      </c>
      <c r="F1976">
        <v>59.977066039999997</v>
      </c>
      <c r="G1976">
        <v>1327.833374</v>
      </c>
      <c r="H1976">
        <v>1325.9650879000001</v>
      </c>
      <c r="I1976">
        <v>1339.2900391000001</v>
      </c>
      <c r="J1976">
        <v>1336.7791748</v>
      </c>
      <c r="K1976">
        <v>0</v>
      </c>
      <c r="L1976">
        <v>2750</v>
      </c>
      <c r="M1976">
        <v>2750</v>
      </c>
      <c r="N1976">
        <v>0</v>
      </c>
    </row>
    <row r="1977" spans="1:14" x14ac:dyDescent="0.25">
      <c r="A1977">
        <v>951.25218900000004</v>
      </c>
      <c r="B1977" s="1">
        <f>DATE(2012,12,7) + TIME(6,3,9)</f>
        <v>41250.252187500002</v>
      </c>
      <c r="C1977">
        <v>80</v>
      </c>
      <c r="D1977">
        <v>77.223861693999993</v>
      </c>
      <c r="E1977">
        <v>60</v>
      </c>
      <c r="F1977">
        <v>59.977046967</v>
      </c>
      <c r="G1977">
        <v>1327.8028564000001</v>
      </c>
      <c r="H1977">
        <v>1325.9232178</v>
      </c>
      <c r="I1977">
        <v>1339.2841797000001</v>
      </c>
      <c r="J1977">
        <v>1336.7770995999999</v>
      </c>
      <c r="K1977">
        <v>0</v>
      </c>
      <c r="L1977">
        <v>2750</v>
      </c>
      <c r="M1977">
        <v>2750</v>
      </c>
      <c r="N1977">
        <v>0</v>
      </c>
    </row>
    <row r="1978" spans="1:14" x14ac:dyDescent="0.25">
      <c r="A1978">
        <v>952.20766500000002</v>
      </c>
      <c r="B1978" s="1">
        <f>DATE(2012,12,8) + TIME(4,59,2)</f>
        <v>41251.207662037035</v>
      </c>
      <c r="C1978">
        <v>80</v>
      </c>
      <c r="D1978">
        <v>77.162399292000003</v>
      </c>
      <c r="E1978">
        <v>60</v>
      </c>
      <c r="F1978">
        <v>59.977024077999999</v>
      </c>
      <c r="G1978">
        <v>1327.7723389</v>
      </c>
      <c r="H1978">
        <v>1325.8814697</v>
      </c>
      <c r="I1978">
        <v>1339.2783202999999</v>
      </c>
      <c r="J1978">
        <v>1336.7751464999999</v>
      </c>
      <c r="K1978">
        <v>0</v>
      </c>
      <c r="L1978">
        <v>2750</v>
      </c>
      <c r="M1978">
        <v>2750</v>
      </c>
      <c r="N1978">
        <v>0</v>
      </c>
    </row>
    <row r="1979" spans="1:14" x14ac:dyDescent="0.25">
      <c r="A1979">
        <v>953.18388700000003</v>
      </c>
      <c r="B1979" s="1">
        <f>DATE(2012,12,9) + TIME(4,24,47)</f>
        <v>41252.183877314812</v>
      </c>
      <c r="C1979">
        <v>80</v>
      </c>
      <c r="D1979">
        <v>77.099861145000006</v>
      </c>
      <c r="E1979">
        <v>60</v>
      </c>
      <c r="F1979">
        <v>59.977005005000002</v>
      </c>
      <c r="G1979">
        <v>1327.7418213000001</v>
      </c>
      <c r="H1979">
        <v>1325.8398437999999</v>
      </c>
      <c r="I1979">
        <v>1339.2725829999999</v>
      </c>
      <c r="J1979">
        <v>1336.7730713000001</v>
      </c>
      <c r="K1979">
        <v>0</v>
      </c>
      <c r="L1979">
        <v>2750</v>
      </c>
      <c r="M1979">
        <v>2750</v>
      </c>
      <c r="N1979">
        <v>0</v>
      </c>
    </row>
    <row r="1980" spans="1:14" x14ac:dyDescent="0.25">
      <c r="A1980">
        <v>954.17906400000004</v>
      </c>
      <c r="B1980" s="1">
        <f>DATE(2012,12,10) + TIME(4,17,51)</f>
        <v>41253.179062499999</v>
      </c>
      <c r="C1980">
        <v>80</v>
      </c>
      <c r="D1980">
        <v>77.036064147999994</v>
      </c>
      <c r="E1980">
        <v>60</v>
      </c>
      <c r="F1980">
        <v>59.976985931000002</v>
      </c>
      <c r="G1980">
        <v>1327.7111815999999</v>
      </c>
      <c r="H1980">
        <v>1325.7979736</v>
      </c>
      <c r="I1980">
        <v>1339.2668457</v>
      </c>
      <c r="J1980">
        <v>1336.7711182</v>
      </c>
      <c r="K1980">
        <v>0</v>
      </c>
      <c r="L1980">
        <v>2750</v>
      </c>
      <c r="M1980">
        <v>2750</v>
      </c>
      <c r="N1980">
        <v>0</v>
      </c>
    </row>
    <row r="1981" spans="1:14" x14ac:dyDescent="0.25">
      <c r="A1981">
        <v>955.19271900000001</v>
      </c>
      <c r="B1981" s="1">
        <f>DATE(2012,12,11) + TIME(4,37,30)</f>
        <v>41254.192708333336</v>
      </c>
      <c r="C1981">
        <v>80</v>
      </c>
      <c r="D1981">
        <v>76.970947265999996</v>
      </c>
      <c r="E1981">
        <v>60</v>
      </c>
      <c r="F1981">
        <v>59.976966857999997</v>
      </c>
      <c r="G1981">
        <v>1327.6804199000001</v>
      </c>
      <c r="H1981">
        <v>1325.7559814000001</v>
      </c>
      <c r="I1981">
        <v>1339.2611084</v>
      </c>
      <c r="J1981">
        <v>1336.7691649999999</v>
      </c>
      <c r="K1981">
        <v>0</v>
      </c>
      <c r="L1981">
        <v>2750</v>
      </c>
      <c r="M1981">
        <v>2750</v>
      </c>
      <c r="N1981">
        <v>0</v>
      </c>
    </row>
    <row r="1982" spans="1:14" x14ac:dyDescent="0.25">
      <c r="A1982">
        <v>956.23053500000003</v>
      </c>
      <c r="B1982" s="1">
        <f>DATE(2012,12,12) + TIME(5,31,58)</f>
        <v>41255.230532407404</v>
      </c>
      <c r="C1982">
        <v>80</v>
      </c>
      <c r="D1982">
        <v>76.904365540000001</v>
      </c>
      <c r="E1982">
        <v>60</v>
      </c>
      <c r="F1982">
        <v>59.976947783999996</v>
      </c>
      <c r="G1982">
        <v>1327.6494141000001</v>
      </c>
      <c r="H1982">
        <v>1325.7138672000001</v>
      </c>
      <c r="I1982">
        <v>1339.2554932</v>
      </c>
      <c r="J1982">
        <v>1336.7672118999999</v>
      </c>
      <c r="K1982">
        <v>0</v>
      </c>
      <c r="L1982">
        <v>2750</v>
      </c>
      <c r="M1982">
        <v>2750</v>
      </c>
      <c r="N1982">
        <v>0</v>
      </c>
    </row>
    <row r="1983" spans="1:14" x14ac:dyDescent="0.25">
      <c r="A1983">
        <v>957.29862100000003</v>
      </c>
      <c r="B1983" s="1">
        <f>DATE(2012,12,13) + TIME(7,10,0)</f>
        <v>41256.298611111109</v>
      </c>
      <c r="C1983">
        <v>80</v>
      </c>
      <c r="D1983">
        <v>76.835998535000002</v>
      </c>
      <c r="E1983">
        <v>60</v>
      </c>
      <c r="F1983">
        <v>59.976928710999999</v>
      </c>
      <c r="G1983">
        <v>1327.6182861</v>
      </c>
      <c r="H1983">
        <v>1325.6715088000001</v>
      </c>
      <c r="I1983">
        <v>1339.2497559000001</v>
      </c>
      <c r="J1983">
        <v>1336.7652588000001</v>
      </c>
      <c r="K1983">
        <v>0</v>
      </c>
      <c r="L1983">
        <v>2750</v>
      </c>
      <c r="M1983">
        <v>2750</v>
      </c>
      <c r="N1983">
        <v>0</v>
      </c>
    </row>
    <row r="1984" spans="1:14" x14ac:dyDescent="0.25">
      <c r="A1984">
        <v>958.40358600000002</v>
      </c>
      <c r="B1984" s="1">
        <f>DATE(2012,12,14) + TIME(9,41,9)</f>
        <v>41257.40357638889</v>
      </c>
      <c r="C1984">
        <v>80</v>
      </c>
      <c r="D1984">
        <v>76.765449524000005</v>
      </c>
      <c r="E1984">
        <v>60</v>
      </c>
      <c r="F1984">
        <v>59.976909636999999</v>
      </c>
      <c r="G1984">
        <v>1327.5866699000001</v>
      </c>
      <c r="H1984">
        <v>1325.6286620999999</v>
      </c>
      <c r="I1984">
        <v>1339.2440185999999</v>
      </c>
      <c r="J1984">
        <v>1336.7633057</v>
      </c>
      <c r="K1984">
        <v>0</v>
      </c>
      <c r="L1984">
        <v>2750</v>
      </c>
      <c r="M1984">
        <v>2750</v>
      </c>
      <c r="N1984">
        <v>0</v>
      </c>
    </row>
    <row r="1985" spans="1:14" x14ac:dyDescent="0.25">
      <c r="A1985">
        <v>959.55346799999995</v>
      </c>
      <c r="B1985" s="1">
        <f>DATE(2012,12,15) + TIME(13,16,59)</f>
        <v>41258.553460648145</v>
      </c>
      <c r="C1985">
        <v>80</v>
      </c>
      <c r="D1985">
        <v>76.692237853999998</v>
      </c>
      <c r="E1985">
        <v>60</v>
      </c>
      <c r="F1985">
        <v>59.976890564000001</v>
      </c>
      <c r="G1985">
        <v>1327.5545654</v>
      </c>
      <c r="H1985">
        <v>1325.5850829999999</v>
      </c>
      <c r="I1985">
        <v>1339.2382812000001</v>
      </c>
      <c r="J1985">
        <v>1336.7613524999999</v>
      </c>
      <c r="K1985">
        <v>0</v>
      </c>
      <c r="L1985">
        <v>2750</v>
      </c>
      <c r="M1985">
        <v>2750</v>
      </c>
      <c r="N1985">
        <v>0</v>
      </c>
    </row>
    <row r="1986" spans="1:14" x14ac:dyDescent="0.25">
      <c r="A1986">
        <v>960.15285300000005</v>
      </c>
      <c r="B1986" s="1">
        <f>DATE(2012,12,16) + TIME(3,40,6)</f>
        <v>41259.15284722222</v>
      </c>
      <c r="C1986">
        <v>80</v>
      </c>
      <c r="D1986">
        <v>76.634101868000002</v>
      </c>
      <c r="E1986">
        <v>60</v>
      </c>
      <c r="F1986">
        <v>59.976871490000001</v>
      </c>
      <c r="G1986">
        <v>1327.5229492000001</v>
      </c>
      <c r="H1986">
        <v>1325.5429687999999</v>
      </c>
      <c r="I1986">
        <v>1339.2322998</v>
      </c>
      <c r="J1986">
        <v>1336.7593993999999</v>
      </c>
      <c r="K1986">
        <v>0</v>
      </c>
      <c r="L1986">
        <v>2750</v>
      </c>
      <c r="M1986">
        <v>2750</v>
      </c>
      <c r="N1986">
        <v>0</v>
      </c>
    </row>
    <row r="1987" spans="1:14" x14ac:dyDescent="0.25">
      <c r="A1987">
        <v>960.75223900000003</v>
      </c>
      <c r="B1987" s="1">
        <f>DATE(2012,12,16) + TIME(18,3,13)</f>
        <v>41259.752233796295</v>
      </c>
      <c r="C1987">
        <v>80</v>
      </c>
      <c r="D1987">
        <v>76.585487365999995</v>
      </c>
      <c r="E1987">
        <v>60</v>
      </c>
      <c r="F1987">
        <v>59.976856232000003</v>
      </c>
      <c r="G1987">
        <v>1327.5023193</v>
      </c>
      <c r="H1987">
        <v>1325.5135498</v>
      </c>
      <c r="I1987">
        <v>1339.2293701000001</v>
      </c>
      <c r="J1987">
        <v>1336.7584228999999</v>
      </c>
      <c r="K1987">
        <v>0</v>
      </c>
      <c r="L1987">
        <v>2750</v>
      </c>
      <c r="M1987">
        <v>2750</v>
      </c>
      <c r="N1987">
        <v>0</v>
      </c>
    </row>
    <row r="1988" spans="1:14" x14ac:dyDescent="0.25">
      <c r="A1988">
        <v>961.35162500000001</v>
      </c>
      <c r="B1988" s="1">
        <f>DATE(2012,12,17) + TIME(8,26,20)</f>
        <v>41260.351620370369</v>
      </c>
      <c r="C1988">
        <v>80</v>
      </c>
      <c r="D1988">
        <v>76.541381835999999</v>
      </c>
      <c r="E1988">
        <v>60</v>
      </c>
      <c r="F1988">
        <v>59.976844788000001</v>
      </c>
      <c r="G1988">
        <v>1327.4836425999999</v>
      </c>
      <c r="H1988">
        <v>1325.4874268000001</v>
      </c>
      <c r="I1988">
        <v>1339.2264404</v>
      </c>
      <c r="J1988">
        <v>1336.7574463000001</v>
      </c>
      <c r="K1988">
        <v>0</v>
      </c>
      <c r="L1988">
        <v>2750</v>
      </c>
      <c r="M1988">
        <v>2750</v>
      </c>
      <c r="N1988">
        <v>0</v>
      </c>
    </row>
    <row r="1989" spans="1:14" x14ac:dyDescent="0.25">
      <c r="A1989">
        <v>961.95101</v>
      </c>
      <c r="B1989" s="1">
        <f>DATE(2012,12,17) + TIME(22,49,27)</f>
        <v>41260.951006944444</v>
      </c>
      <c r="C1989">
        <v>80</v>
      </c>
      <c r="D1989">
        <v>76.499382018999995</v>
      </c>
      <c r="E1989">
        <v>60</v>
      </c>
      <c r="F1989">
        <v>59.976833343999999</v>
      </c>
      <c r="G1989">
        <v>1327.4658202999999</v>
      </c>
      <c r="H1989">
        <v>1325.4630127</v>
      </c>
      <c r="I1989">
        <v>1339.2235106999999</v>
      </c>
      <c r="J1989">
        <v>1336.7564697</v>
      </c>
      <c r="K1989">
        <v>0</v>
      </c>
      <c r="L1989">
        <v>2750</v>
      </c>
      <c r="M1989">
        <v>2750</v>
      </c>
      <c r="N1989">
        <v>0</v>
      </c>
    </row>
    <row r="1990" spans="1:14" x14ac:dyDescent="0.25">
      <c r="A1990">
        <v>962.55039599999998</v>
      </c>
      <c r="B1990" s="1">
        <f>DATE(2012,12,18) + TIME(13,12,34)</f>
        <v>41261.550393518519</v>
      </c>
      <c r="C1990">
        <v>80</v>
      </c>
      <c r="D1990">
        <v>76.458343506000006</v>
      </c>
      <c r="E1990">
        <v>60</v>
      </c>
      <c r="F1990">
        <v>59.976825714</v>
      </c>
      <c r="G1990">
        <v>1327.4487305</v>
      </c>
      <c r="H1990">
        <v>1325.4395752</v>
      </c>
      <c r="I1990">
        <v>1339.2205810999999</v>
      </c>
      <c r="J1990">
        <v>1336.7554932</v>
      </c>
      <c r="K1990">
        <v>0</v>
      </c>
      <c r="L1990">
        <v>2750</v>
      </c>
      <c r="M1990">
        <v>2750</v>
      </c>
      <c r="N1990">
        <v>0</v>
      </c>
    </row>
    <row r="1991" spans="1:14" x14ac:dyDescent="0.25">
      <c r="A1991">
        <v>963.74916700000006</v>
      </c>
      <c r="B1991" s="1">
        <f>DATE(2012,12,19) + TIME(17,58,48)</f>
        <v>41262.749166666668</v>
      </c>
      <c r="C1991">
        <v>80</v>
      </c>
      <c r="D1991">
        <v>76.405136107999994</v>
      </c>
      <c r="E1991">
        <v>60</v>
      </c>
      <c r="F1991">
        <v>59.976818084999998</v>
      </c>
      <c r="G1991">
        <v>1327.4311522999999</v>
      </c>
      <c r="H1991">
        <v>1325.4150391000001</v>
      </c>
      <c r="I1991">
        <v>1339.2177733999999</v>
      </c>
      <c r="J1991">
        <v>1336.7545166</v>
      </c>
      <c r="K1991">
        <v>0</v>
      </c>
      <c r="L1991">
        <v>2750</v>
      </c>
      <c r="M1991">
        <v>2750</v>
      </c>
      <c r="N1991">
        <v>0</v>
      </c>
    </row>
    <row r="1992" spans="1:14" x14ac:dyDescent="0.25">
      <c r="A1992">
        <v>964.95003999999994</v>
      </c>
      <c r="B1992" s="1">
        <f>DATE(2012,12,20) + TIME(22,48,3)</f>
        <v>41263.95003472222</v>
      </c>
      <c r="C1992">
        <v>80</v>
      </c>
      <c r="D1992">
        <v>76.332962035999998</v>
      </c>
      <c r="E1992">
        <v>60</v>
      </c>
      <c r="F1992">
        <v>59.976806641000003</v>
      </c>
      <c r="G1992">
        <v>1327.4029541</v>
      </c>
      <c r="H1992">
        <v>1325.3787841999999</v>
      </c>
      <c r="I1992">
        <v>1339.2121582</v>
      </c>
      <c r="J1992">
        <v>1336.7526855000001</v>
      </c>
      <c r="K1992">
        <v>0</v>
      </c>
      <c r="L1992">
        <v>2750</v>
      </c>
      <c r="M1992">
        <v>2750</v>
      </c>
      <c r="N1992">
        <v>0</v>
      </c>
    </row>
    <row r="1993" spans="1:14" x14ac:dyDescent="0.25">
      <c r="A1993">
        <v>966.17493999999999</v>
      </c>
      <c r="B1993" s="1">
        <f>DATE(2012,12,22) + TIME(4,11,54)</f>
        <v>41265.174930555557</v>
      </c>
      <c r="C1993">
        <v>80</v>
      </c>
      <c r="D1993">
        <v>76.254127502000003</v>
      </c>
      <c r="E1993">
        <v>60</v>
      </c>
      <c r="F1993">
        <v>59.976787567000002</v>
      </c>
      <c r="G1993">
        <v>1327.3720702999999</v>
      </c>
      <c r="H1993">
        <v>1325.3376464999999</v>
      </c>
      <c r="I1993">
        <v>1339.206543</v>
      </c>
      <c r="J1993">
        <v>1336.7508545000001</v>
      </c>
      <c r="K1993">
        <v>0</v>
      </c>
      <c r="L1993">
        <v>2750</v>
      </c>
      <c r="M1993">
        <v>2750</v>
      </c>
      <c r="N1993">
        <v>0</v>
      </c>
    </row>
    <row r="1994" spans="1:14" x14ac:dyDescent="0.25">
      <c r="A1994">
        <v>967.43100700000002</v>
      </c>
      <c r="B1994" s="1">
        <f>DATE(2012,12,23) + TIME(10,20,38)</f>
        <v>41266.430995370371</v>
      </c>
      <c r="C1994">
        <v>80</v>
      </c>
      <c r="D1994">
        <v>76.171722411999994</v>
      </c>
      <c r="E1994">
        <v>60</v>
      </c>
      <c r="F1994">
        <v>59.976772308000001</v>
      </c>
      <c r="G1994">
        <v>1327.3402100000001</v>
      </c>
      <c r="H1994">
        <v>1325.2947998</v>
      </c>
      <c r="I1994">
        <v>1339.2010498</v>
      </c>
      <c r="J1994">
        <v>1336.7491454999999</v>
      </c>
      <c r="K1994">
        <v>0</v>
      </c>
      <c r="L1994">
        <v>2750</v>
      </c>
      <c r="M1994">
        <v>2750</v>
      </c>
      <c r="N1994">
        <v>0</v>
      </c>
    </row>
    <row r="1995" spans="1:14" x14ac:dyDescent="0.25">
      <c r="A1995">
        <v>968.72628299999997</v>
      </c>
      <c r="B1995" s="1">
        <f>DATE(2012,12,24) + TIME(17,25,50)</f>
        <v>41267.726273148146</v>
      </c>
      <c r="C1995">
        <v>80</v>
      </c>
      <c r="D1995">
        <v>76.086357117000006</v>
      </c>
      <c r="E1995">
        <v>60</v>
      </c>
      <c r="F1995">
        <v>59.976757050000003</v>
      </c>
      <c r="G1995">
        <v>1327.3078613</v>
      </c>
      <c r="H1995">
        <v>1325.2512207</v>
      </c>
      <c r="I1995">
        <v>1339.1955565999999</v>
      </c>
      <c r="J1995">
        <v>1336.7473144999999</v>
      </c>
      <c r="K1995">
        <v>0</v>
      </c>
      <c r="L1995">
        <v>2750</v>
      </c>
      <c r="M1995">
        <v>2750</v>
      </c>
      <c r="N1995">
        <v>0</v>
      </c>
    </row>
    <row r="1996" spans="1:14" x14ac:dyDescent="0.25">
      <c r="A1996">
        <v>970.06973400000004</v>
      </c>
      <c r="B1996" s="1">
        <f>DATE(2012,12,26) + TIME(1,40,25)</f>
        <v>41269.069733796299</v>
      </c>
      <c r="C1996">
        <v>80</v>
      </c>
      <c r="D1996">
        <v>75.997802734000004</v>
      </c>
      <c r="E1996">
        <v>60</v>
      </c>
      <c r="F1996">
        <v>59.976741791000002</v>
      </c>
      <c r="G1996">
        <v>1327.2749022999999</v>
      </c>
      <c r="H1996">
        <v>1325.2069091999999</v>
      </c>
      <c r="I1996">
        <v>1339.1899414</v>
      </c>
      <c r="J1996">
        <v>1336.7454834</v>
      </c>
      <c r="K1996">
        <v>0</v>
      </c>
      <c r="L1996">
        <v>2750</v>
      </c>
      <c r="M1996">
        <v>2750</v>
      </c>
      <c r="N1996">
        <v>0</v>
      </c>
    </row>
    <row r="1997" spans="1:14" x14ac:dyDescent="0.25">
      <c r="A1997">
        <v>971.47181599999999</v>
      </c>
      <c r="B1997" s="1">
        <f>DATE(2012,12,27) + TIME(11,19,24)</f>
        <v>41270.471805555557</v>
      </c>
      <c r="C1997">
        <v>80</v>
      </c>
      <c r="D1997">
        <v>75.905525208</v>
      </c>
      <c r="E1997">
        <v>60</v>
      </c>
      <c r="F1997">
        <v>59.976726532000001</v>
      </c>
      <c r="G1997">
        <v>1327.2413329999999</v>
      </c>
      <c r="H1997">
        <v>1325.1617432</v>
      </c>
      <c r="I1997">
        <v>1339.1843262</v>
      </c>
      <c r="J1997">
        <v>1336.7436522999999</v>
      </c>
      <c r="K1997">
        <v>0</v>
      </c>
      <c r="L1997">
        <v>2750</v>
      </c>
      <c r="M1997">
        <v>2750</v>
      </c>
      <c r="N1997">
        <v>0</v>
      </c>
    </row>
    <row r="1998" spans="1:14" x14ac:dyDescent="0.25">
      <c r="A1998">
        <v>972.92060400000003</v>
      </c>
      <c r="B1998" s="1">
        <f>DATE(2012,12,28) + TIME(22,5,40)</f>
        <v>41271.920601851853</v>
      </c>
      <c r="C1998">
        <v>80</v>
      </c>
      <c r="D1998">
        <v>75.809188843000001</v>
      </c>
      <c r="E1998">
        <v>60</v>
      </c>
      <c r="F1998">
        <v>59.976707458</v>
      </c>
      <c r="G1998">
        <v>1327.2069091999999</v>
      </c>
      <c r="H1998">
        <v>1325.1156006000001</v>
      </c>
      <c r="I1998">
        <v>1339.1784668</v>
      </c>
      <c r="J1998">
        <v>1336.7416992000001</v>
      </c>
      <c r="K1998">
        <v>0</v>
      </c>
      <c r="L1998">
        <v>2750</v>
      </c>
      <c r="M1998">
        <v>2750</v>
      </c>
      <c r="N1998">
        <v>0</v>
      </c>
    </row>
    <row r="1999" spans="1:14" x14ac:dyDescent="0.25">
      <c r="A1999">
        <v>973.65525700000001</v>
      </c>
      <c r="B1999" s="1">
        <f>DATE(2012,12,29) + TIME(15,43,34)</f>
        <v>41272.65525462963</v>
      </c>
      <c r="C1999">
        <v>80</v>
      </c>
      <c r="D1999">
        <v>75.730178832999997</v>
      </c>
      <c r="E1999">
        <v>60</v>
      </c>
      <c r="F1999">
        <v>59.976688385000003</v>
      </c>
      <c r="G1999">
        <v>1327.1729736</v>
      </c>
      <c r="H1999">
        <v>1325.0709228999999</v>
      </c>
      <c r="I1999">
        <v>1339.1726074000001</v>
      </c>
      <c r="J1999">
        <v>1336.7397461</v>
      </c>
      <c r="K1999">
        <v>0</v>
      </c>
      <c r="L1999">
        <v>2750</v>
      </c>
      <c r="M1999">
        <v>2750</v>
      </c>
      <c r="N1999">
        <v>0</v>
      </c>
    </row>
    <row r="2000" spans="1:14" x14ac:dyDescent="0.25">
      <c r="A2000">
        <v>975.12456399999996</v>
      </c>
      <c r="B2000" s="1">
        <f>DATE(2012,12,31) + TIME(2,59,22)</f>
        <v>41274.124560185184</v>
      </c>
      <c r="C2000">
        <v>80</v>
      </c>
      <c r="D2000">
        <v>75.651130675999994</v>
      </c>
      <c r="E2000">
        <v>60</v>
      </c>
      <c r="F2000">
        <v>59.976680756</v>
      </c>
      <c r="G2000">
        <v>1327.1503906</v>
      </c>
      <c r="H2000">
        <v>1325.0379639</v>
      </c>
      <c r="I2000">
        <v>1339.1697998</v>
      </c>
      <c r="J2000">
        <v>1336.7388916</v>
      </c>
      <c r="K2000">
        <v>0</v>
      </c>
      <c r="L2000">
        <v>2750</v>
      </c>
      <c r="M2000">
        <v>2750</v>
      </c>
      <c r="N2000">
        <v>0</v>
      </c>
    </row>
    <row r="2001" spans="1:14" x14ac:dyDescent="0.25">
      <c r="A2001">
        <v>976</v>
      </c>
      <c r="B2001" s="1">
        <f>DATE(2013,1,1) + TIME(0,0,0)</f>
        <v>41275</v>
      </c>
      <c r="C2001">
        <v>80</v>
      </c>
      <c r="D2001">
        <v>75.569221497000001</v>
      </c>
      <c r="E2001">
        <v>60</v>
      </c>
      <c r="F2001">
        <v>59.976665496999999</v>
      </c>
      <c r="G2001">
        <v>1327.1188964999999</v>
      </c>
      <c r="H2001">
        <v>1324.9976807</v>
      </c>
      <c r="I2001">
        <v>1339.1639404</v>
      </c>
      <c r="J2001">
        <v>1336.7370605000001</v>
      </c>
      <c r="K2001">
        <v>0</v>
      </c>
      <c r="L2001">
        <v>2750</v>
      </c>
      <c r="M2001">
        <v>2750</v>
      </c>
      <c r="N2001">
        <v>0</v>
      </c>
    </row>
    <row r="2002" spans="1:14" x14ac:dyDescent="0.25">
      <c r="A2002">
        <v>977.47053800000003</v>
      </c>
      <c r="B2002" s="1">
        <f>DATE(2013,1,2) + TIME(11,17,34)</f>
        <v>41276.470532407409</v>
      </c>
      <c r="C2002">
        <v>80</v>
      </c>
      <c r="D2002">
        <v>75.488059997999997</v>
      </c>
      <c r="E2002">
        <v>60</v>
      </c>
      <c r="F2002">
        <v>59.976657867</v>
      </c>
      <c r="G2002">
        <v>1327.0949707</v>
      </c>
      <c r="H2002">
        <v>1324.9636230000001</v>
      </c>
      <c r="I2002">
        <v>1339.1606445</v>
      </c>
      <c r="J2002">
        <v>1336.7359618999999</v>
      </c>
      <c r="K2002">
        <v>0</v>
      </c>
      <c r="L2002">
        <v>2750</v>
      </c>
      <c r="M2002">
        <v>2750</v>
      </c>
      <c r="N2002">
        <v>0</v>
      </c>
    </row>
    <row r="2003" spans="1:14" x14ac:dyDescent="0.25">
      <c r="A2003">
        <v>978.98371299999997</v>
      </c>
      <c r="B2003" s="1">
        <f>DATE(2013,1,3) + TIME(23,36,32)</f>
        <v>41277.983703703707</v>
      </c>
      <c r="C2003">
        <v>80</v>
      </c>
      <c r="D2003">
        <v>75.389762877999999</v>
      </c>
      <c r="E2003">
        <v>60</v>
      </c>
      <c r="F2003">
        <v>59.976646422999998</v>
      </c>
      <c r="G2003">
        <v>1327.0635986</v>
      </c>
      <c r="H2003">
        <v>1324.9226074000001</v>
      </c>
      <c r="I2003">
        <v>1339.1551514</v>
      </c>
      <c r="J2003">
        <v>1336.7341309000001</v>
      </c>
      <c r="K2003">
        <v>0</v>
      </c>
      <c r="L2003">
        <v>2750</v>
      </c>
      <c r="M2003">
        <v>2750</v>
      </c>
      <c r="N2003">
        <v>0</v>
      </c>
    </row>
    <row r="2004" spans="1:14" x14ac:dyDescent="0.25">
      <c r="A2004">
        <v>980.53576099999998</v>
      </c>
      <c r="B2004" s="1">
        <f>DATE(2013,1,5) + TIME(12,51,29)</f>
        <v>41279.535752314812</v>
      </c>
      <c r="C2004">
        <v>80</v>
      </c>
      <c r="D2004">
        <v>75.284454346000004</v>
      </c>
      <c r="E2004">
        <v>60</v>
      </c>
      <c r="F2004">
        <v>59.976631165000001</v>
      </c>
      <c r="G2004">
        <v>1327.0301514</v>
      </c>
      <c r="H2004">
        <v>1324.8781738</v>
      </c>
      <c r="I2004">
        <v>1339.1495361</v>
      </c>
      <c r="J2004">
        <v>1336.7324219</v>
      </c>
      <c r="K2004">
        <v>0</v>
      </c>
      <c r="L2004">
        <v>2750</v>
      </c>
      <c r="M2004">
        <v>2750</v>
      </c>
      <c r="N2004">
        <v>0</v>
      </c>
    </row>
    <row r="2005" spans="1:14" x14ac:dyDescent="0.25">
      <c r="A2005">
        <v>982.13025300000004</v>
      </c>
      <c r="B2005" s="1">
        <f>DATE(2013,1,7) + TIME(3,7,33)</f>
        <v>41281.130243055559</v>
      </c>
      <c r="C2005">
        <v>80</v>
      </c>
      <c r="D2005">
        <v>75.174911499000004</v>
      </c>
      <c r="E2005">
        <v>60</v>
      </c>
      <c r="F2005">
        <v>59.976619720000002</v>
      </c>
      <c r="G2005">
        <v>1326.9958495999999</v>
      </c>
      <c r="H2005">
        <v>1324.8323975000001</v>
      </c>
      <c r="I2005">
        <v>1339.1439209</v>
      </c>
      <c r="J2005">
        <v>1336.7305908000001</v>
      </c>
      <c r="K2005">
        <v>0</v>
      </c>
      <c r="L2005">
        <v>2750</v>
      </c>
      <c r="M2005">
        <v>2750</v>
      </c>
      <c r="N2005">
        <v>0</v>
      </c>
    </row>
    <row r="2006" spans="1:14" x14ac:dyDescent="0.25">
      <c r="A2006">
        <v>983.76062999999999</v>
      </c>
      <c r="B2006" s="1">
        <f>DATE(2013,1,8) + TIME(18,15,18)</f>
        <v>41282.760625000003</v>
      </c>
      <c r="C2006">
        <v>80</v>
      </c>
      <c r="D2006">
        <v>75.061805724999999</v>
      </c>
      <c r="E2006">
        <v>60</v>
      </c>
      <c r="F2006">
        <v>59.976604461999997</v>
      </c>
      <c r="G2006">
        <v>1326.9610596</v>
      </c>
      <c r="H2006">
        <v>1324.7860106999999</v>
      </c>
      <c r="I2006">
        <v>1339.1383057</v>
      </c>
      <c r="J2006">
        <v>1336.7287598</v>
      </c>
      <c r="K2006">
        <v>0</v>
      </c>
      <c r="L2006">
        <v>2750</v>
      </c>
      <c r="M2006">
        <v>2750</v>
      </c>
      <c r="N2006">
        <v>0</v>
      </c>
    </row>
    <row r="2007" spans="1:14" x14ac:dyDescent="0.25">
      <c r="A2007">
        <v>985.43905400000006</v>
      </c>
      <c r="B2007" s="1">
        <f>DATE(2013,1,10) + TIME(10,32,14)</f>
        <v>41284.439050925925</v>
      </c>
      <c r="C2007">
        <v>80</v>
      </c>
      <c r="D2007">
        <v>74.945251464999998</v>
      </c>
      <c r="E2007">
        <v>60</v>
      </c>
      <c r="F2007">
        <v>59.976593018000003</v>
      </c>
      <c r="G2007">
        <v>1326.9261475000001</v>
      </c>
      <c r="H2007">
        <v>1324.7392577999999</v>
      </c>
      <c r="I2007">
        <v>1339.1326904</v>
      </c>
      <c r="J2007">
        <v>1336.7269286999999</v>
      </c>
      <c r="K2007">
        <v>0</v>
      </c>
      <c r="L2007">
        <v>2750</v>
      </c>
      <c r="M2007">
        <v>2750</v>
      </c>
      <c r="N2007">
        <v>0</v>
      </c>
    </row>
    <row r="2008" spans="1:14" x14ac:dyDescent="0.25">
      <c r="A2008">
        <v>987.14202699999998</v>
      </c>
      <c r="B2008" s="1">
        <f>DATE(2013,1,12) + TIME(3,24,31)</f>
        <v>41286.142025462963</v>
      </c>
      <c r="C2008">
        <v>80</v>
      </c>
      <c r="D2008">
        <v>74.825180054</v>
      </c>
      <c r="E2008">
        <v>60</v>
      </c>
      <c r="F2008">
        <v>59.976581572999997</v>
      </c>
      <c r="G2008">
        <v>1326.8907471</v>
      </c>
      <c r="H2008">
        <v>1324.6921387</v>
      </c>
      <c r="I2008">
        <v>1339.1269531</v>
      </c>
      <c r="J2008">
        <v>1336.7249756000001</v>
      </c>
      <c r="K2008">
        <v>0</v>
      </c>
      <c r="L2008">
        <v>2750</v>
      </c>
      <c r="M2008">
        <v>2750</v>
      </c>
      <c r="N2008">
        <v>0</v>
      </c>
    </row>
    <row r="2009" spans="1:14" x14ac:dyDescent="0.25">
      <c r="A2009">
        <v>988.87220600000001</v>
      </c>
      <c r="B2009" s="1">
        <f>DATE(2013,1,13) + TIME(20,55,58)</f>
        <v>41287.872199074074</v>
      </c>
      <c r="C2009">
        <v>80</v>
      </c>
      <c r="D2009">
        <v>74.702476501000007</v>
      </c>
      <c r="E2009">
        <v>60</v>
      </c>
      <c r="F2009">
        <v>59.976570129000002</v>
      </c>
      <c r="G2009">
        <v>1326.8554687999999</v>
      </c>
      <c r="H2009">
        <v>1324.6448975000001</v>
      </c>
      <c r="I2009">
        <v>1339.1213379000001</v>
      </c>
      <c r="J2009">
        <v>1336.7231445</v>
      </c>
      <c r="K2009">
        <v>0</v>
      </c>
      <c r="L2009">
        <v>2750</v>
      </c>
      <c r="M2009">
        <v>2750</v>
      </c>
      <c r="N2009">
        <v>0</v>
      </c>
    </row>
    <row r="2010" spans="1:14" x14ac:dyDescent="0.25">
      <c r="A2010">
        <v>990.63996599999996</v>
      </c>
      <c r="B2010" s="1">
        <f>DATE(2013,1,15) + TIME(15,21,33)</f>
        <v>41289.639965277776</v>
      </c>
      <c r="C2010">
        <v>80</v>
      </c>
      <c r="D2010">
        <v>74.577095032000003</v>
      </c>
      <c r="E2010">
        <v>60</v>
      </c>
      <c r="F2010">
        <v>59.976558685000001</v>
      </c>
      <c r="G2010">
        <v>1326.8201904</v>
      </c>
      <c r="H2010">
        <v>1324.5977783000001</v>
      </c>
      <c r="I2010">
        <v>1339.1157227000001</v>
      </c>
      <c r="J2010">
        <v>1336.7213135</v>
      </c>
      <c r="K2010">
        <v>0</v>
      </c>
      <c r="L2010">
        <v>2750</v>
      </c>
      <c r="M2010">
        <v>2750</v>
      </c>
      <c r="N2010">
        <v>0</v>
      </c>
    </row>
    <row r="2011" spans="1:14" x14ac:dyDescent="0.25">
      <c r="A2011">
        <v>992.46853099999998</v>
      </c>
      <c r="B2011" s="1">
        <f>DATE(2013,1,17) + TIME(11,14,41)</f>
        <v>41291.468530092592</v>
      </c>
      <c r="C2011">
        <v>80</v>
      </c>
      <c r="D2011">
        <v>74.448265075999998</v>
      </c>
      <c r="E2011">
        <v>60</v>
      </c>
      <c r="F2011">
        <v>59.976547240999999</v>
      </c>
      <c r="G2011">
        <v>1326.7847899999999</v>
      </c>
      <c r="H2011">
        <v>1324.5506591999999</v>
      </c>
      <c r="I2011">
        <v>1339.1101074000001</v>
      </c>
      <c r="J2011">
        <v>1336.7194824000001</v>
      </c>
      <c r="K2011">
        <v>0</v>
      </c>
      <c r="L2011">
        <v>2750</v>
      </c>
      <c r="M2011">
        <v>2750</v>
      </c>
      <c r="N2011">
        <v>0</v>
      </c>
    </row>
    <row r="2012" spans="1:14" x14ac:dyDescent="0.25">
      <c r="A2012">
        <v>994.33790999999997</v>
      </c>
      <c r="B2012" s="1">
        <f>DATE(2013,1,19) + TIME(8,6,35)</f>
        <v>41293.337905092594</v>
      </c>
      <c r="C2012">
        <v>80</v>
      </c>
      <c r="D2012">
        <v>74.315093993999994</v>
      </c>
      <c r="E2012">
        <v>60</v>
      </c>
      <c r="F2012">
        <v>59.976535796999997</v>
      </c>
      <c r="G2012">
        <v>1326.7491454999999</v>
      </c>
      <c r="H2012">
        <v>1324.5031738</v>
      </c>
      <c r="I2012">
        <v>1339.1043701000001</v>
      </c>
      <c r="J2012">
        <v>1336.7175293</v>
      </c>
      <c r="K2012">
        <v>0</v>
      </c>
      <c r="L2012">
        <v>2750</v>
      </c>
      <c r="M2012">
        <v>2750</v>
      </c>
      <c r="N2012">
        <v>0</v>
      </c>
    </row>
    <row r="2013" spans="1:14" x14ac:dyDescent="0.25">
      <c r="A2013">
        <v>996.22749699999997</v>
      </c>
      <c r="B2013" s="1">
        <f>DATE(2013,1,21) + TIME(5,27,35)</f>
        <v>41295.227488425924</v>
      </c>
      <c r="C2013">
        <v>80</v>
      </c>
      <c r="D2013">
        <v>74.178512573000006</v>
      </c>
      <c r="E2013">
        <v>60</v>
      </c>
      <c r="F2013">
        <v>59.976528168000002</v>
      </c>
      <c r="G2013">
        <v>1326.7131348</v>
      </c>
      <c r="H2013">
        <v>1324.4553223</v>
      </c>
      <c r="I2013">
        <v>1339.0986327999999</v>
      </c>
      <c r="J2013">
        <v>1336.7155762</v>
      </c>
      <c r="K2013">
        <v>0</v>
      </c>
      <c r="L2013">
        <v>2750</v>
      </c>
      <c r="M2013">
        <v>2750</v>
      </c>
      <c r="N2013">
        <v>0</v>
      </c>
    </row>
    <row r="2014" spans="1:14" x14ac:dyDescent="0.25">
      <c r="A2014">
        <v>998.14305100000001</v>
      </c>
      <c r="B2014" s="1">
        <f>DATE(2013,1,23) + TIME(3,25,59)</f>
        <v>41297.143043981479</v>
      </c>
      <c r="C2014">
        <v>80</v>
      </c>
      <c r="D2014">
        <v>74.039520264000004</v>
      </c>
      <c r="E2014">
        <v>60</v>
      </c>
      <c r="F2014">
        <v>59.976516724</v>
      </c>
      <c r="G2014">
        <v>1326.6773682</v>
      </c>
      <c r="H2014">
        <v>1324.4075928</v>
      </c>
      <c r="I2014">
        <v>1339.0930175999999</v>
      </c>
      <c r="J2014">
        <v>1336.7137451000001</v>
      </c>
      <c r="K2014">
        <v>0</v>
      </c>
      <c r="L2014">
        <v>2750</v>
      </c>
      <c r="M2014">
        <v>2750</v>
      </c>
      <c r="N2014">
        <v>0</v>
      </c>
    </row>
    <row r="2015" spans="1:14" x14ac:dyDescent="0.25">
      <c r="A2015">
        <v>1000.116668</v>
      </c>
      <c r="B2015" s="1">
        <f>DATE(2013,1,25) + TIME(2,48,0)</f>
        <v>41299.116666666669</v>
      </c>
      <c r="C2015">
        <v>80</v>
      </c>
      <c r="D2015">
        <v>73.897605896000002</v>
      </c>
      <c r="E2015">
        <v>60</v>
      </c>
      <c r="F2015">
        <v>59.976509094000001</v>
      </c>
      <c r="G2015">
        <v>1326.6417236</v>
      </c>
      <c r="H2015">
        <v>1324.3602295000001</v>
      </c>
      <c r="I2015">
        <v>1339.0874022999999</v>
      </c>
      <c r="J2015">
        <v>1336.7117920000001</v>
      </c>
      <c r="K2015">
        <v>0</v>
      </c>
      <c r="L2015">
        <v>2750</v>
      </c>
      <c r="M2015">
        <v>2750</v>
      </c>
      <c r="N2015">
        <v>0</v>
      </c>
    </row>
    <row r="2016" spans="1:14" x14ac:dyDescent="0.25">
      <c r="A2016">
        <v>1002.164636</v>
      </c>
      <c r="B2016" s="1">
        <f>DATE(2013,1,27) + TIME(3,57,4)</f>
        <v>41301.164629629631</v>
      </c>
      <c r="C2016">
        <v>80</v>
      </c>
      <c r="D2016">
        <v>73.751022339000002</v>
      </c>
      <c r="E2016">
        <v>60</v>
      </c>
      <c r="F2016">
        <v>59.976501464999998</v>
      </c>
      <c r="G2016">
        <v>1326.6058350000001</v>
      </c>
      <c r="H2016">
        <v>1324.3125</v>
      </c>
      <c r="I2016">
        <v>1339.0817870999999</v>
      </c>
      <c r="J2016">
        <v>1336.7098389</v>
      </c>
      <c r="K2016">
        <v>0</v>
      </c>
      <c r="L2016">
        <v>2750</v>
      </c>
      <c r="M2016">
        <v>2750</v>
      </c>
      <c r="N2016">
        <v>0</v>
      </c>
    </row>
    <row r="2017" spans="1:14" x14ac:dyDescent="0.25">
      <c r="A2017">
        <v>1004.280062</v>
      </c>
      <c r="B2017" s="1">
        <f>DATE(2013,1,29) + TIME(6,43,17)</f>
        <v>41303.280057870368</v>
      </c>
      <c r="C2017">
        <v>80</v>
      </c>
      <c r="D2017">
        <v>73.598731994999994</v>
      </c>
      <c r="E2017">
        <v>60</v>
      </c>
      <c r="F2017">
        <v>59.976493834999999</v>
      </c>
      <c r="G2017">
        <v>1326.5695800999999</v>
      </c>
      <c r="H2017">
        <v>1324.2642822</v>
      </c>
      <c r="I2017">
        <v>1339.0760498</v>
      </c>
      <c r="J2017">
        <v>1336.7078856999999</v>
      </c>
      <c r="K2017">
        <v>0</v>
      </c>
      <c r="L2017">
        <v>2750</v>
      </c>
      <c r="M2017">
        <v>2750</v>
      </c>
      <c r="N2017">
        <v>0</v>
      </c>
    </row>
    <row r="2018" spans="1:14" x14ac:dyDescent="0.25">
      <c r="A2018">
        <v>1006.428627</v>
      </c>
      <c r="B2018" s="1">
        <f>DATE(2013,1,31) + TIME(10,17,13)</f>
        <v>41305.428622685184</v>
      </c>
      <c r="C2018">
        <v>80</v>
      </c>
      <c r="D2018">
        <v>73.441261291999993</v>
      </c>
      <c r="E2018">
        <v>60</v>
      </c>
      <c r="F2018">
        <v>59.976486205999997</v>
      </c>
      <c r="G2018">
        <v>1326.5327147999999</v>
      </c>
      <c r="H2018">
        <v>1324.2155762</v>
      </c>
      <c r="I2018">
        <v>1339.0701904</v>
      </c>
      <c r="J2018">
        <v>1336.7058105000001</v>
      </c>
      <c r="K2018">
        <v>0</v>
      </c>
      <c r="L2018">
        <v>2750</v>
      </c>
      <c r="M2018">
        <v>2750</v>
      </c>
      <c r="N2018">
        <v>0</v>
      </c>
    </row>
    <row r="2019" spans="1:14" x14ac:dyDescent="0.25">
      <c r="A2019">
        <v>1007</v>
      </c>
      <c r="B2019" s="1">
        <f>DATE(2013,2,1) + TIME(0,0,0)</f>
        <v>41306</v>
      </c>
      <c r="C2019">
        <v>80</v>
      </c>
      <c r="D2019">
        <v>73.334762573000006</v>
      </c>
      <c r="E2019">
        <v>60</v>
      </c>
      <c r="F2019">
        <v>59.976470947000003</v>
      </c>
      <c r="G2019">
        <v>1326.4970702999999</v>
      </c>
      <c r="H2019">
        <v>1324.1702881000001</v>
      </c>
      <c r="I2019">
        <v>1339.0643310999999</v>
      </c>
      <c r="J2019">
        <v>1336.7037353999999</v>
      </c>
      <c r="K2019">
        <v>0</v>
      </c>
      <c r="L2019">
        <v>2750</v>
      </c>
      <c r="M2019">
        <v>2750</v>
      </c>
      <c r="N2019">
        <v>0</v>
      </c>
    </row>
    <row r="2020" spans="1:14" x14ac:dyDescent="0.25">
      <c r="A2020">
        <v>1009.166846</v>
      </c>
      <c r="B2020" s="1">
        <f>DATE(2013,2,3) + TIME(4,0,15)</f>
        <v>41308.16684027778</v>
      </c>
      <c r="C2020">
        <v>80</v>
      </c>
      <c r="D2020">
        <v>73.225883483999993</v>
      </c>
      <c r="E2020">
        <v>60</v>
      </c>
      <c r="F2020">
        <v>59.976474762000002</v>
      </c>
      <c r="G2020">
        <v>1326.4810791</v>
      </c>
      <c r="H2020">
        <v>1324.1442870999999</v>
      </c>
      <c r="I2020">
        <v>1339.0628661999999</v>
      </c>
      <c r="J2020">
        <v>1336.7032471</v>
      </c>
      <c r="K2020">
        <v>0</v>
      </c>
      <c r="L2020">
        <v>2750</v>
      </c>
      <c r="M2020">
        <v>2750</v>
      </c>
      <c r="N2020">
        <v>0</v>
      </c>
    </row>
    <row r="2021" spans="1:14" x14ac:dyDescent="0.25">
      <c r="A2021">
        <v>1011.37212</v>
      </c>
      <c r="B2021" s="1">
        <f>DATE(2013,2,5) + TIME(8,55,51)</f>
        <v>41310.372118055559</v>
      </c>
      <c r="C2021">
        <v>80</v>
      </c>
      <c r="D2021">
        <v>73.071952820000007</v>
      </c>
      <c r="E2021">
        <v>60</v>
      </c>
      <c r="F2021">
        <v>59.976474762000002</v>
      </c>
      <c r="G2021">
        <v>1326.4487305</v>
      </c>
      <c r="H2021">
        <v>1324.1033935999999</v>
      </c>
      <c r="I2021">
        <v>1339.0571289</v>
      </c>
      <c r="J2021">
        <v>1336.7011719</v>
      </c>
      <c r="K2021">
        <v>0</v>
      </c>
      <c r="L2021">
        <v>2750</v>
      </c>
      <c r="M2021">
        <v>2750</v>
      </c>
      <c r="N2021">
        <v>0</v>
      </c>
    </row>
    <row r="2022" spans="1:14" x14ac:dyDescent="0.25">
      <c r="A2022">
        <v>1013.623839</v>
      </c>
      <c r="B2022" s="1">
        <f>DATE(2013,2,7) + TIME(14,58,19)</f>
        <v>41312.623831018522</v>
      </c>
      <c r="C2022">
        <v>80</v>
      </c>
      <c r="D2022">
        <v>72.906806946000003</v>
      </c>
      <c r="E2022">
        <v>60</v>
      </c>
      <c r="F2022">
        <v>59.976467133</v>
      </c>
      <c r="G2022">
        <v>1326.4133300999999</v>
      </c>
      <c r="H2022">
        <v>1324.0568848</v>
      </c>
      <c r="I2022">
        <v>1339.0513916</v>
      </c>
      <c r="J2022">
        <v>1336.6990966999999</v>
      </c>
      <c r="K2022">
        <v>0</v>
      </c>
      <c r="L2022">
        <v>2750</v>
      </c>
      <c r="M2022">
        <v>2750</v>
      </c>
      <c r="N2022">
        <v>0</v>
      </c>
    </row>
    <row r="2023" spans="1:14" x14ac:dyDescent="0.25">
      <c r="A2023">
        <v>1015.936875</v>
      </c>
      <c r="B2023" s="1">
        <f>DATE(2013,2,9) + TIME(22,29,5)</f>
        <v>41314.936863425923</v>
      </c>
      <c r="C2023">
        <v>80</v>
      </c>
      <c r="D2023">
        <v>72.736129761000001</v>
      </c>
      <c r="E2023">
        <v>60</v>
      </c>
      <c r="F2023">
        <v>59.976463318</v>
      </c>
      <c r="G2023">
        <v>1326.3774414</v>
      </c>
      <c r="H2023">
        <v>1324.0092772999999</v>
      </c>
      <c r="I2023">
        <v>1339.0457764</v>
      </c>
      <c r="J2023">
        <v>1336.6970214999999</v>
      </c>
      <c r="K2023">
        <v>0</v>
      </c>
      <c r="L2023">
        <v>2750</v>
      </c>
      <c r="M2023">
        <v>2750</v>
      </c>
      <c r="N2023">
        <v>0</v>
      </c>
    </row>
    <row r="2024" spans="1:14" x14ac:dyDescent="0.25">
      <c r="A2024">
        <v>1018.3323779999999</v>
      </c>
      <c r="B2024" s="1">
        <f>DATE(2013,2,12) + TIME(7,58,37)</f>
        <v>41317.332372685189</v>
      </c>
      <c r="C2024">
        <v>80</v>
      </c>
      <c r="D2024">
        <v>72.559860228999995</v>
      </c>
      <c r="E2024">
        <v>60</v>
      </c>
      <c r="F2024">
        <v>59.976463318</v>
      </c>
      <c r="G2024">
        <v>1326.3411865</v>
      </c>
      <c r="H2024">
        <v>1323.9613036999999</v>
      </c>
      <c r="I2024">
        <v>1339.0400391000001</v>
      </c>
      <c r="J2024">
        <v>1336.6949463000001</v>
      </c>
      <c r="K2024">
        <v>0</v>
      </c>
      <c r="L2024">
        <v>2750</v>
      </c>
      <c r="M2024">
        <v>2750</v>
      </c>
      <c r="N2024">
        <v>0</v>
      </c>
    </row>
    <row r="2025" spans="1:14" x14ac:dyDescent="0.25">
      <c r="A2025">
        <v>1020.8059469999999</v>
      </c>
      <c r="B2025" s="1">
        <f>DATE(2013,2,14) + TIME(19,20,33)</f>
        <v>41319.805937500001</v>
      </c>
      <c r="C2025">
        <v>80</v>
      </c>
      <c r="D2025">
        <v>72.376953125</v>
      </c>
      <c r="E2025">
        <v>60</v>
      </c>
      <c r="F2025">
        <v>59.976459503000001</v>
      </c>
      <c r="G2025">
        <v>1326.3045654</v>
      </c>
      <c r="H2025">
        <v>1323.9127197</v>
      </c>
      <c r="I2025">
        <v>1339.0341797000001</v>
      </c>
      <c r="J2025">
        <v>1336.692749</v>
      </c>
      <c r="K2025">
        <v>0</v>
      </c>
      <c r="L2025">
        <v>2750</v>
      </c>
      <c r="M2025">
        <v>2750</v>
      </c>
      <c r="N2025">
        <v>0</v>
      </c>
    </row>
    <row r="2026" spans="1:14" x14ac:dyDescent="0.25">
      <c r="A2026">
        <v>1023.352548</v>
      </c>
      <c r="B2026" s="1">
        <f>DATE(2013,2,17) + TIME(8,27,40)</f>
        <v>41322.352546296293</v>
      </c>
      <c r="C2026">
        <v>80</v>
      </c>
      <c r="D2026">
        <v>72.187438964999998</v>
      </c>
      <c r="E2026">
        <v>60</v>
      </c>
      <c r="F2026">
        <v>59.976459503000001</v>
      </c>
      <c r="G2026">
        <v>1326.2675781</v>
      </c>
      <c r="H2026">
        <v>1323.8637695</v>
      </c>
      <c r="I2026">
        <v>1339.0281981999999</v>
      </c>
      <c r="J2026">
        <v>1336.6905518000001</v>
      </c>
      <c r="K2026">
        <v>0</v>
      </c>
      <c r="L2026">
        <v>2750</v>
      </c>
      <c r="M2026">
        <v>2750</v>
      </c>
      <c r="N2026">
        <v>0</v>
      </c>
    </row>
    <row r="2027" spans="1:14" x14ac:dyDescent="0.25">
      <c r="A2027">
        <v>1025.9219889999999</v>
      </c>
      <c r="B2027" s="1">
        <f>DATE(2013,2,19) + TIME(22,7,39)</f>
        <v>41324.921979166669</v>
      </c>
      <c r="C2027">
        <v>80</v>
      </c>
      <c r="D2027">
        <v>71.992134093999994</v>
      </c>
      <c r="E2027">
        <v>60</v>
      </c>
      <c r="F2027">
        <v>59.976455688000001</v>
      </c>
      <c r="G2027">
        <v>1326.2302245999999</v>
      </c>
      <c r="H2027">
        <v>1323.8143310999999</v>
      </c>
      <c r="I2027">
        <v>1339.0223389</v>
      </c>
      <c r="J2027">
        <v>1336.6882324000001</v>
      </c>
      <c r="K2027">
        <v>0</v>
      </c>
      <c r="L2027">
        <v>2750</v>
      </c>
      <c r="M2027">
        <v>2750</v>
      </c>
      <c r="N2027">
        <v>0</v>
      </c>
    </row>
    <row r="2028" spans="1:14" x14ac:dyDescent="0.25">
      <c r="A2028">
        <v>1028.535772</v>
      </c>
      <c r="B2028" s="1">
        <f>DATE(2013,2,22) + TIME(12,51,30)</f>
        <v>41327.535763888889</v>
      </c>
      <c r="C2028">
        <v>80</v>
      </c>
      <c r="D2028">
        <v>71.793502808</v>
      </c>
      <c r="E2028">
        <v>60</v>
      </c>
      <c r="F2028">
        <v>59.976455688000001</v>
      </c>
      <c r="G2028">
        <v>1326.1931152</v>
      </c>
      <c r="H2028">
        <v>1323.7651367000001</v>
      </c>
      <c r="I2028">
        <v>1339.0163574000001</v>
      </c>
      <c r="J2028">
        <v>1336.6860352000001</v>
      </c>
      <c r="K2028">
        <v>0</v>
      </c>
      <c r="L2028">
        <v>2750</v>
      </c>
      <c r="M2028">
        <v>2750</v>
      </c>
      <c r="N2028">
        <v>0</v>
      </c>
    </row>
    <row r="2029" spans="1:14" x14ac:dyDescent="0.25">
      <c r="A2029">
        <v>1031.2157890000001</v>
      </c>
      <c r="B2029" s="1">
        <f>DATE(2013,2,25) + TIME(5,10,44)</f>
        <v>41330.215787037036</v>
      </c>
      <c r="C2029">
        <v>80</v>
      </c>
      <c r="D2029">
        <v>71.590507506999998</v>
      </c>
      <c r="E2029">
        <v>60</v>
      </c>
      <c r="F2029">
        <v>59.976459503000001</v>
      </c>
      <c r="G2029">
        <v>1326.15625</v>
      </c>
      <c r="H2029">
        <v>1323.7163086</v>
      </c>
      <c r="I2029">
        <v>1339.0104980000001</v>
      </c>
      <c r="J2029">
        <v>1336.6837158000001</v>
      </c>
      <c r="K2029">
        <v>0</v>
      </c>
      <c r="L2029">
        <v>2750</v>
      </c>
      <c r="M2029">
        <v>2750</v>
      </c>
      <c r="N2029">
        <v>0</v>
      </c>
    </row>
    <row r="2030" spans="1:14" x14ac:dyDescent="0.25">
      <c r="A2030">
        <v>1033.978752</v>
      </c>
      <c r="B2030" s="1">
        <f>DATE(2013,2,27) + TIME(23,29,24)</f>
        <v>41332.978750000002</v>
      </c>
      <c r="C2030">
        <v>80</v>
      </c>
      <c r="D2030">
        <v>71.381553650000001</v>
      </c>
      <c r="E2030">
        <v>60</v>
      </c>
      <c r="F2030">
        <v>59.976459503000001</v>
      </c>
      <c r="G2030">
        <v>1326.1195068</v>
      </c>
      <c r="H2030">
        <v>1323.6674805</v>
      </c>
      <c r="I2030">
        <v>1339.0046387</v>
      </c>
      <c r="J2030">
        <v>1336.6813964999999</v>
      </c>
      <c r="K2030">
        <v>0</v>
      </c>
      <c r="L2030">
        <v>2750</v>
      </c>
      <c r="M2030">
        <v>2750</v>
      </c>
      <c r="N2030">
        <v>0</v>
      </c>
    </row>
    <row r="2031" spans="1:14" x14ac:dyDescent="0.25">
      <c r="A2031">
        <v>1035</v>
      </c>
      <c r="B2031" s="1">
        <f>DATE(2013,3,1) + TIME(0,0,0)</f>
        <v>41334</v>
      </c>
      <c r="C2031">
        <v>80</v>
      </c>
      <c r="D2031">
        <v>71.209068298000005</v>
      </c>
      <c r="E2031">
        <v>60</v>
      </c>
      <c r="F2031">
        <v>59.976444244</v>
      </c>
      <c r="G2031">
        <v>1326.0828856999999</v>
      </c>
      <c r="H2031">
        <v>1323.6207274999999</v>
      </c>
      <c r="I2031">
        <v>1338.9985352000001</v>
      </c>
      <c r="J2031">
        <v>1336.6788329999999</v>
      </c>
      <c r="K2031">
        <v>0</v>
      </c>
      <c r="L2031">
        <v>2750</v>
      </c>
      <c r="M2031">
        <v>2750</v>
      </c>
      <c r="N2031">
        <v>0</v>
      </c>
    </row>
    <row r="2032" spans="1:14" x14ac:dyDescent="0.25">
      <c r="A2032">
        <v>1037.8497070000001</v>
      </c>
      <c r="B2032" s="1">
        <f>DATE(2013,3,3) + TIME(20,23,34)</f>
        <v>41336.849699074075</v>
      </c>
      <c r="C2032">
        <v>80</v>
      </c>
      <c r="D2032">
        <v>71.071777343999997</v>
      </c>
      <c r="E2032">
        <v>60</v>
      </c>
      <c r="F2032">
        <v>59.976459503000001</v>
      </c>
      <c r="G2032">
        <v>1326.0634766000001</v>
      </c>
      <c r="H2032">
        <v>1323.5902100000001</v>
      </c>
      <c r="I2032">
        <v>1338.9964600000001</v>
      </c>
      <c r="J2032">
        <v>1336.6781006000001</v>
      </c>
      <c r="K2032">
        <v>0</v>
      </c>
      <c r="L2032">
        <v>2750</v>
      </c>
      <c r="M2032">
        <v>2750</v>
      </c>
      <c r="N2032">
        <v>0</v>
      </c>
    </row>
    <row r="2033" spans="1:14" x14ac:dyDescent="0.25">
      <c r="A2033">
        <v>1040.738728</v>
      </c>
      <c r="B2033" s="1">
        <f>DATE(2013,3,6) + TIME(17,43,46)</f>
        <v>41339.738726851851</v>
      </c>
      <c r="C2033">
        <v>80</v>
      </c>
      <c r="D2033">
        <v>70.858947753999999</v>
      </c>
      <c r="E2033">
        <v>60</v>
      </c>
      <c r="F2033">
        <v>59.976467133</v>
      </c>
      <c r="G2033">
        <v>1326.0310059000001</v>
      </c>
      <c r="H2033">
        <v>1323.5498047000001</v>
      </c>
      <c r="I2033">
        <v>1338.9903564000001</v>
      </c>
      <c r="J2033">
        <v>1336.6755370999999</v>
      </c>
      <c r="K2033">
        <v>0</v>
      </c>
      <c r="L2033">
        <v>2750</v>
      </c>
      <c r="M2033">
        <v>2750</v>
      </c>
      <c r="N2033">
        <v>0</v>
      </c>
    </row>
    <row r="2034" spans="1:14" x14ac:dyDescent="0.25">
      <c r="A2034">
        <v>1043.677989</v>
      </c>
      <c r="B2034" s="1">
        <f>DATE(2013,3,9) + TIME(16,16,18)</f>
        <v>41342.677986111114</v>
      </c>
      <c r="C2034">
        <v>80</v>
      </c>
      <c r="D2034">
        <v>70.631935119999994</v>
      </c>
      <c r="E2034">
        <v>60</v>
      </c>
      <c r="F2034">
        <v>59.976470947000003</v>
      </c>
      <c r="G2034">
        <v>1325.9949951000001</v>
      </c>
      <c r="H2034">
        <v>1323.5024414</v>
      </c>
      <c r="I2034">
        <v>1338.984375</v>
      </c>
      <c r="J2034">
        <v>1336.6730957</v>
      </c>
      <c r="K2034">
        <v>0</v>
      </c>
      <c r="L2034">
        <v>2750</v>
      </c>
      <c r="M2034">
        <v>2750</v>
      </c>
      <c r="N2034">
        <v>0</v>
      </c>
    </row>
    <row r="2035" spans="1:14" x14ac:dyDescent="0.25">
      <c r="A2035">
        <v>1046.6903139999999</v>
      </c>
      <c r="B2035" s="1">
        <f>DATE(2013,3,12) + TIME(16,34,3)</f>
        <v>41345.690312500003</v>
      </c>
      <c r="C2035">
        <v>80</v>
      </c>
      <c r="D2035">
        <v>70.398109435999999</v>
      </c>
      <c r="E2035">
        <v>60</v>
      </c>
      <c r="F2035">
        <v>59.976474762000002</v>
      </c>
      <c r="G2035">
        <v>1325.9587402</v>
      </c>
      <c r="H2035">
        <v>1323.4543457</v>
      </c>
      <c r="I2035">
        <v>1338.9783935999999</v>
      </c>
      <c r="J2035">
        <v>1336.6705322</v>
      </c>
      <c r="K2035">
        <v>0</v>
      </c>
      <c r="L2035">
        <v>2750</v>
      </c>
      <c r="M2035">
        <v>2750</v>
      </c>
      <c r="N2035">
        <v>0</v>
      </c>
    </row>
    <row r="2036" spans="1:14" x14ac:dyDescent="0.25">
      <c r="A2036">
        <v>1049.800162</v>
      </c>
      <c r="B2036" s="1">
        <f>DATE(2013,3,15) + TIME(19,12,13)</f>
        <v>41348.800150462965</v>
      </c>
      <c r="C2036">
        <v>80</v>
      </c>
      <c r="D2036">
        <v>70.157020568999997</v>
      </c>
      <c r="E2036">
        <v>60</v>
      </c>
      <c r="F2036">
        <v>59.976482390999998</v>
      </c>
      <c r="G2036">
        <v>1325.9223632999999</v>
      </c>
      <c r="H2036">
        <v>1323.4061279</v>
      </c>
      <c r="I2036">
        <v>1338.9724120999999</v>
      </c>
      <c r="J2036">
        <v>1336.6679687999999</v>
      </c>
      <c r="K2036">
        <v>0</v>
      </c>
      <c r="L2036">
        <v>2750</v>
      </c>
      <c r="M2036">
        <v>2750</v>
      </c>
      <c r="N2036">
        <v>0</v>
      </c>
    </row>
    <row r="2037" spans="1:14" x14ac:dyDescent="0.25">
      <c r="A2037">
        <v>1052.969355</v>
      </c>
      <c r="B2037" s="1">
        <f>DATE(2013,3,18) + TIME(23,15,52)</f>
        <v>41351.969351851854</v>
      </c>
      <c r="C2037">
        <v>80</v>
      </c>
      <c r="D2037">
        <v>69.906890868999994</v>
      </c>
      <c r="E2037">
        <v>60</v>
      </c>
      <c r="F2037">
        <v>59.976490020999996</v>
      </c>
      <c r="G2037">
        <v>1325.8859863</v>
      </c>
      <c r="H2037">
        <v>1323.3579102000001</v>
      </c>
      <c r="I2037">
        <v>1338.9663086</v>
      </c>
      <c r="J2037">
        <v>1336.6652832</v>
      </c>
      <c r="K2037">
        <v>0</v>
      </c>
      <c r="L2037">
        <v>2750</v>
      </c>
      <c r="M2037">
        <v>2750</v>
      </c>
      <c r="N2037">
        <v>0</v>
      </c>
    </row>
    <row r="2038" spans="1:14" x14ac:dyDescent="0.25">
      <c r="A2038">
        <v>1056.194135</v>
      </c>
      <c r="B2038" s="1">
        <f>DATE(2013,3,22) + TIME(4,39,33)</f>
        <v>41355.194131944445</v>
      </c>
      <c r="C2038">
        <v>80</v>
      </c>
      <c r="D2038">
        <v>69.650215149000005</v>
      </c>
      <c r="E2038">
        <v>60</v>
      </c>
      <c r="F2038">
        <v>59.976497649999999</v>
      </c>
      <c r="G2038">
        <v>1325.8497314000001</v>
      </c>
      <c r="H2038">
        <v>1323.3096923999999</v>
      </c>
      <c r="I2038">
        <v>1338.9600829999999</v>
      </c>
      <c r="J2038">
        <v>1336.6625977000001</v>
      </c>
      <c r="K2038">
        <v>0</v>
      </c>
      <c r="L2038">
        <v>2750</v>
      </c>
      <c r="M2038">
        <v>2750</v>
      </c>
      <c r="N2038">
        <v>0</v>
      </c>
    </row>
    <row r="2039" spans="1:14" x14ac:dyDescent="0.25">
      <c r="A2039">
        <v>1059.5061490000001</v>
      </c>
      <c r="B2039" s="1">
        <f>DATE(2013,3,25) + TIME(12,8,51)</f>
        <v>41358.506145833337</v>
      </c>
      <c r="C2039">
        <v>80</v>
      </c>
      <c r="D2039">
        <v>69.386314392000003</v>
      </c>
      <c r="E2039">
        <v>60</v>
      </c>
      <c r="F2039">
        <v>59.976509094000001</v>
      </c>
      <c r="G2039">
        <v>1325.8138428</v>
      </c>
      <c r="H2039">
        <v>1323.2619629000001</v>
      </c>
      <c r="I2039">
        <v>1338.9539795000001</v>
      </c>
      <c r="J2039">
        <v>1336.6599120999999</v>
      </c>
      <c r="K2039">
        <v>0</v>
      </c>
      <c r="L2039">
        <v>2750</v>
      </c>
      <c r="M2039">
        <v>2750</v>
      </c>
      <c r="N2039">
        <v>0</v>
      </c>
    </row>
    <row r="2040" spans="1:14" x14ac:dyDescent="0.25">
      <c r="A2040">
        <v>1062.9380229999999</v>
      </c>
      <c r="B2040" s="1">
        <f>DATE(2013,3,28) + TIME(22,30,45)</f>
        <v>41361.938020833331</v>
      </c>
      <c r="C2040">
        <v>80</v>
      </c>
      <c r="D2040">
        <v>69.114097595000004</v>
      </c>
      <c r="E2040">
        <v>60</v>
      </c>
      <c r="F2040">
        <v>59.976520538000003</v>
      </c>
      <c r="G2040">
        <v>1325.7780762</v>
      </c>
      <c r="H2040">
        <v>1323.2143555</v>
      </c>
      <c r="I2040">
        <v>1338.947876</v>
      </c>
      <c r="J2040">
        <v>1336.6571045000001</v>
      </c>
      <c r="K2040">
        <v>0</v>
      </c>
      <c r="L2040">
        <v>2750</v>
      </c>
      <c r="M2040">
        <v>2750</v>
      </c>
      <c r="N2040">
        <v>0</v>
      </c>
    </row>
    <row r="2041" spans="1:14" x14ac:dyDescent="0.25">
      <c r="A2041">
        <v>1066</v>
      </c>
      <c r="B2041" s="1">
        <f>DATE(2013,4,1) + TIME(0,0,0)</f>
        <v>41365</v>
      </c>
      <c r="C2041">
        <v>80</v>
      </c>
      <c r="D2041">
        <v>68.834510803000001</v>
      </c>
      <c r="E2041">
        <v>60</v>
      </c>
      <c r="F2041">
        <v>59.976524353000002</v>
      </c>
      <c r="G2041">
        <v>1325.7421875</v>
      </c>
      <c r="H2041">
        <v>1323.1669922000001</v>
      </c>
      <c r="I2041">
        <v>1338.9415283000001</v>
      </c>
      <c r="J2041">
        <v>1336.6541748</v>
      </c>
      <c r="K2041">
        <v>0</v>
      </c>
      <c r="L2041">
        <v>2750</v>
      </c>
      <c r="M2041">
        <v>2750</v>
      </c>
      <c r="N2041">
        <v>0</v>
      </c>
    </row>
    <row r="2042" spans="1:14" x14ac:dyDescent="0.25">
      <c r="A2042">
        <v>1069.55249</v>
      </c>
      <c r="B2042" s="1">
        <f>DATE(2013,4,4) + TIME(13,15,35)</f>
        <v>41368.552488425928</v>
      </c>
      <c r="C2042">
        <v>80</v>
      </c>
      <c r="D2042">
        <v>68.571456909000005</v>
      </c>
      <c r="E2042">
        <v>60</v>
      </c>
      <c r="F2042">
        <v>59.976543427000003</v>
      </c>
      <c r="G2042">
        <v>1325.7097168</v>
      </c>
      <c r="H2042">
        <v>1323.1226807</v>
      </c>
      <c r="I2042">
        <v>1338.9360352000001</v>
      </c>
      <c r="J2042">
        <v>1336.6516113</v>
      </c>
      <c r="K2042">
        <v>0</v>
      </c>
      <c r="L2042">
        <v>2750</v>
      </c>
      <c r="M2042">
        <v>2750</v>
      </c>
      <c r="N2042">
        <v>0</v>
      </c>
    </row>
    <row r="2043" spans="1:14" x14ac:dyDescent="0.25">
      <c r="A2043">
        <v>1073.2850510000001</v>
      </c>
      <c r="B2043" s="1">
        <f>DATE(2013,4,8) + TIME(6,50,28)</f>
        <v>41372.285046296296</v>
      </c>
      <c r="C2043">
        <v>80</v>
      </c>
      <c r="D2043">
        <v>68.274391174000002</v>
      </c>
      <c r="E2043">
        <v>60</v>
      </c>
      <c r="F2043">
        <v>59.976554870999998</v>
      </c>
      <c r="G2043">
        <v>1325.6756591999999</v>
      </c>
      <c r="H2043">
        <v>1323.0780029</v>
      </c>
      <c r="I2043">
        <v>1338.9296875</v>
      </c>
      <c r="J2043">
        <v>1336.6485596</v>
      </c>
      <c r="K2043">
        <v>0</v>
      </c>
      <c r="L2043">
        <v>2750</v>
      </c>
      <c r="M2043">
        <v>2750</v>
      </c>
      <c r="N2043">
        <v>0</v>
      </c>
    </row>
    <row r="2044" spans="1:14" x14ac:dyDescent="0.25">
      <c r="A2044">
        <v>1077.0597560000001</v>
      </c>
      <c r="B2044" s="1">
        <f>DATE(2013,4,12) + TIME(1,26,2)</f>
        <v>41376.059745370374</v>
      </c>
      <c r="C2044">
        <v>80</v>
      </c>
      <c r="D2044">
        <v>67.961807250999996</v>
      </c>
      <c r="E2044">
        <v>60</v>
      </c>
      <c r="F2044">
        <v>59.976570129000002</v>
      </c>
      <c r="G2044">
        <v>1325.6405029</v>
      </c>
      <c r="H2044">
        <v>1323.0313721</v>
      </c>
      <c r="I2044">
        <v>1338.9232178</v>
      </c>
      <c r="J2044">
        <v>1336.6453856999999</v>
      </c>
      <c r="K2044">
        <v>0</v>
      </c>
      <c r="L2044">
        <v>2750</v>
      </c>
      <c r="M2044">
        <v>2750</v>
      </c>
      <c r="N2044">
        <v>0</v>
      </c>
    </row>
    <row r="2045" spans="1:14" x14ac:dyDescent="0.25">
      <c r="A2045">
        <v>1080.9087919999999</v>
      </c>
      <c r="B2045" s="1">
        <f>DATE(2013,4,15) + TIME(21,48,39)</f>
        <v>41379.908784722225</v>
      </c>
      <c r="C2045">
        <v>80</v>
      </c>
      <c r="D2045">
        <v>67.638198853000006</v>
      </c>
      <c r="E2045">
        <v>60</v>
      </c>
      <c r="F2045">
        <v>59.976589203000003</v>
      </c>
      <c r="G2045">
        <v>1325.6058350000001</v>
      </c>
      <c r="H2045">
        <v>1322.9849853999999</v>
      </c>
      <c r="I2045">
        <v>1338.9167480000001</v>
      </c>
      <c r="J2045">
        <v>1336.6422118999999</v>
      </c>
      <c r="K2045">
        <v>0</v>
      </c>
      <c r="L2045">
        <v>2750</v>
      </c>
      <c r="M2045">
        <v>2750</v>
      </c>
      <c r="N2045">
        <v>0</v>
      </c>
    </row>
    <row r="2046" spans="1:14" x14ac:dyDescent="0.25">
      <c r="A2046">
        <v>1084.8120630000001</v>
      </c>
      <c r="B2046" s="1">
        <f>DATE(2013,4,19) + TIME(19,29,22)</f>
        <v>41383.812060185184</v>
      </c>
      <c r="C2046">
        <v>80</v>
      </c>
      <c r="D2046">
        <v>67.312927246000001</v>
      </c>
      <c r="E2046">
        <v>60</v>
      </c>
      <c r="F2046">
        <v>59.976604461999997</v>
      </c>
      <c r="G2046">
        <v>1325.5716553</v>
      </c>
      <c r="H2046">
        <v>1322.9393310999999</v>
      </c>
      <c r="I2046">
        <v>1338.9102783000001</v>
      </c>
      <c r="J2046">
        <v>1336.6390381000001</v>
      </c>
      <c r="K2046">
        <v>0</v>
      </c>
      <c r="L2046">
        <v>2750</v>
      </c>
      <c r="M2046">
        <v>2750</v>
      </c>
      <c r="N2046">
        <v>0</v>
      </c>
    </row>
    <row r="2047" spans="1:14" x14ac:dyDescent="0.25">
      <c r="A2047">
        <v>1088.8128810000001</v>
      </c>
      <c r="B2047" s="1">
        <f>DATE(2013,4,23) + TIME(19,30,32)</f>
        <v>41387.81287037037</v>
      </c>
      <c r="C2047">
        <v>80</v>
      </c>
      <c r="D2047">
        <v>66.968765258999994</v>
      </c>
      <c r="E2047">
        <v>60</v>
      </c>
      <c r="F2047">
        <v>59.976623535000002</v>
      </c>
      <c r="G2047">
        <v>1325.5385742000001</v>
      </c>
      <c r="H2047">
        <v>1322.8948975000001</v>
      </c>
      <c r="I2047">
        <v>1338.9038086</v>
      </c>
      <c r="J2047">
        <v>1336.6357422000001</v>
      </c>
      <c r="K2047">
        <v>0</v>
      </c>
      <c r="L2047">
        <v>2750</v>
      </c>
      <c r="M2047">
        <v>2750</v>
      </c>
      <c r="N2047">
        <v>0</v>
      </c>
    </row>
    <row r="2048" spans="1:14" x14ac:dyDescent="0.25">
      <c r="A2048">
        <v>1090.8742480000001</v>
      </c>
      <c r="B2048" s="1">
        <f>DATE(2013,4,25) + TIME(20,58,55)</f>
        <v>41389.874247685184</v>
      </c>
      <c r="C2048">
        <v>80</v>
      </c>
      <c r="D2048">
        <v>66.669441223000007</v>
      </c>
      <c r="E2048">
        <v>60</v>
      </c>
      <c r="F2048">
        <v>59.976619720000002</v>
      </c>
      <c r="G2048">
        <v>1325.5054932</v>
      </c>
      <c r="H2048">
        <v>1322.8513184000001</v>
      </c>
      <c r="I2048">
        <v>1338.8972168</v>
      </c>
      <c r="J2048">
        <v>1336.6324463000001</v>
      </c>
      <c r="K2048">
        <v>0</v>
      </c>
      <c r="L2048">
        <v>2750</v>
      </c>
      <c r="M2048">
        <v>2750</v>
      </c>
      <c r="N2048">
        <v>0</v>
      </c>
    </row>
    <row r="2049" spans="1:14" x14ac:dyDescent="0.25">
      <c r="A2049">
        <v>1092.935616</v>
      </c>
      <c r="B2049" s="1">
        <f>DATE(2013,4,27) + TIME(22,27,17)</f>
        <v>41391.935613425929</v>
      </c>
      <c r="C2049">
        <v>80</v>
      </c>
      <c r="D2049">
        <v>66.452735900999997</v>
      </c>
      <c r="E2049">
        <v>60</v>
      </c>
      <c r="F2049">
        <v>59.976627350000001</v>
      </c>
      <c r="G2049">
        <v>1325.4859618999999</v>
      </c>
      <c r="H2049">
        <v>1322.8225098</v>
      </c>
      <c r="I2049">
        <v>1338.8939209</v>
      </c>
      <c r="J2049">
        <v>1336.6307373</v>
      </c>
      <c r="K2049">
        <v>0</v>
      </c>
      <c r="L2049">
        <v>2750</v>
      </c>
      <c r="M2049">
        <v>2750</v>
      </c>
      <c r="N2049">
        <v>0</v>
      </c>
    </row>
    <row r="2050" spans="1:14" x14ac:dyDescent="0.25">
      <c r="A2050">
        <v>1096</v>
      </c>
      <c r="B2050" s="1">
        <f>DATE(2013,5,1) + TIME(0,0,0)</f>
        <v>41395</v>
      </c>
      <c r="C2050">
        <v>80</v>
      </c>
      <c r="D2050">
        <v>66.263008118000002</v>
      </c>
      <c r="E2050">
        <v>60</v>
      </c>
      <c r="F2050">
        <v>59.976646422999998</v>
      </c>
      <c r="G2050">
        <v>1325.4696045000001</v>
      </c>
      <c r="H2050">
        <v>1322.7994385</v>
      </c>
      <c r="I2050">
        <v>1338.890625</v>
      </c>
      <c r="J2050">
        <v>1336.6290283000001</v>
      </c>
      <c r="K2050">
        <v>0</v>
      </c>
      <c r="L2050">
        <v>2750</v>
      </c>
      <c r="M2050">
        <v>2750</v>
      </c>
      <c r="N2050">
        <v>0</v>
      </c>
    </row>
    <row r="2051" spans="1:14" x14ac:dyDescent="0.25">
      <c r="A2051">
        <v>1096.0000010000001</v>
      </c>
      <c r="B2051" s="1">
        <f>DATE(2013,5,1) + TIME(0,0,0)</f>
        <v>41395</v>
      </c>
      <c r="C2051">
        <v>80</v>
      </c>
      <c r="D2051">
        <v>66.263183593999997</v>
      </c>
      <c r="E2051">
        <v>60</v>
      </c>
      <c r="F2051">
        <v>59.976551055999998</v>
      </c>
      <c r="G2051">
        <v>1329.0958252</v>
      </c>
      <c r="H2051">
        <v>1326.5394286999999</v>
      </c>
      <c r="I2051">
        <v>1335.9061279</v>
      </c>
      <c r="J2051">
        <v>1334.3979492000001</v>
      </c>
      <c r="K2051">
        <v>2750</v>
      </c>
      <c r="L2051">
        <v>0</v>
      </c>
      <c r="M2051">
        <v>0</v>
      </c>
      <c r="N2051">
        <v>2750</v>
      </c>
    </row>
    <row r="2052" spans="1:14" x14ac:dyDescent="0.25">
      <c r="A2052">
        <v>1096.000004</v>
      </c>
      <c r="B2052" s="1">
        <f>DATE(2013,5,1) + TIME(0,0,0)</f>
        <v>41395</v>
      </c>
      <c r="C2052">
        <v>80</v>
      </c>
      <c r="D2052">
        <v>66.263465881000002</v>
      </c>
      <c r="E2052">
        <v>60</v>
      </c>
      <c r="F2052">
        <v>59.976413727000001</v>
      </c>
      <c r="G2052">
        <v>1330.4460449000001</v>
      </c>
      <c r="H2052">
        <v>1328.0130615</v>
      </c>
      <c r="I2052">
        <v>1334.8408202999999</v>
      </c>
      <c r="J2052">
        <v>1333.3327637</v>
      </c>
      <c r="K2052">
        <v>2750</v>
      </c>
      <c r="L2052">
        <v>0</v>
      </c>
      <c r="M2052">
        <v>0</v>
      </c>
      <c r="N2052">
        <v>2750</v>
      </c>
    </row>
    <row r="2053" spans="1:14" x14ac:dyDescent="0.25">
      <c r="A2053">
        <v>1096.0000130000001</v>
      </c>
      <c r="B2053" s="1">
        <f>DATE(2013,5,1) + TIME(0,0,1)</f>
        <v>41395.000011574077</v>
      </c>
      <c r="C2053">
        <v>80</v>
      </c>
      <c r="D2053">
        <v>66.263923645000006</v>
      </c>
      <c r="E2053">
        <v>60</v>
      </c>
      <c r="F2053">
        <v>59.976261139000002</v>
      </c>
      <c r="G2053">
        <v>1332.052124</v>
      </c>
      <c r="H2053">
        <v>1329.5916748</v>
      </c>
      <c r="I2053">
        <v>1333.6846923999999</v>
      </c>
      <c r="J2053">
        <v>1332.1763916</v>
      </c>
      <c r="K2053">
        <v>2750</v>
      </c>
      <c r="L2053">
        <v>0</v>
      </c>
      <c r="M2053">
        <v>0</v>
      </c>
      <c r="N2053">
        <v>2750</v>
      </c>
    </row>
    <row r="2054" spans="1:14" x14ac:dyDescent="0.25">
      <c r="A2054">
        <v>1096.0000399999999</v>
      </c>
      <c r="B2054" s="1">
        <f>DATE(2013,5,1) + TIME(0,0,3)</f>
        <v>41395.000034722223</v>
      </c>
      <c r="C2054">
        <v>80</v>
      </c>
      <c r="D2054">
        <v>66.264884949000006</v>
      </c>
      <c r="E2054">
        <v>60</v>
      </c>
      <c r="F2054">
        <v>59.976108551000003</v>
      </c>
      <c r="G2054">
        <v>1333.6697998</v>
      </c>
      <c r="H2054">
        <v>1331.145874</v>
      </c>
      <c r="I2054">
        <v>1332.5632324000001</v>
      </c>
      <c r="J2054">
        <v>1331.0498047000001</v>
      </c>
      <c r="K2054">
        <v>2750</v>
      </c>
      <c r="L2054">
        <v>0</v>
      </c>
      <c r="M2054">
        <v>0</v>
      </c>
      <c r="N2054">
        <v>2750</v>
      </c>
    </row>
    <row r="2055" spans="1:14" x14ac:dyDescent="0.25">
      <c r="A2055">
        <v>1096.000121</v>
      </c>
      <c r="B2055" s="1">
        <f>DATE(2013,5,1) + TIME(0,0,10)</f>
        <v>41395.000115740739</v>
      </c>
      <c r="C2055">
        <v>80</v>
      </c>
      <c r="D2055">
        <v>66.267417907999999</v>
      </c>
      <c r="E2055">
        <v>60</v>
      </c>
      <c r="F2055">
        <v>59.975952147999998</v>
      </c>
      <c r="G2055">
        <v>1335.2529297000001</v>
      </c>
      <c r="H2055">
        <v>1332.6680908000001</v>
      </c>
      <c r="I2055">
        <v>1331.4437256000001</v>
      </c>
      <c r="J2055">
        <v>1329.9090576000001</v>
      </c>
      <c r="K2055">
        <v>2750</v>
      </c>
      <c r="L2055">
        <v>0</v>
      </c>
      <c r="M2055">
        <v>0</v>
      </c>
      <c r="N2055">
        <v>2750</v>
      </c>
    </row>
    <row r="2056" spans="1:14" x14ac:dyDescent="0.25">
      <c r="A2056">
        <v>1096.000364</v>
      </c>
      <c r="B2056" s="1">
        <f>DATE(2013,5,1) + TIME(0,0,31)</f>
        <v>41395.000358796293</v>
      </c>
      <c r="C2056">
        <v>80</v>
      </c>
      <c r="D2056">
        <v>66.274749756000006</v>
      </c>
      <c r="E2056">
        <v>60</v>
      </c>
      <c r="F2056">
        <v>59.975769043</v>
      </c>
      <c r="G2056">
        <v>1336.8013916</v>
      </c>
      <c r="H2056">
        <v>1334.1514893000001</v>
      </c>
      <c r="I2056">
        <v>1330.2772216999999</v>
      </c>
      <c r="J2056">
        <v>1328.6971435999999</v>
      </c>
      <c r="K2056">
        <v>2750</v>
      </c>
      <c r="L2056">
        <v>0</v>
      </c>
      <c r="M2056">
        <v>0</v>
      </c>
      <c r="N2056">
        <v>2750</v>
      </c>
    </row>
    <row r="2057" spans="1:14" x14ac:dyDescent="0.25">
      <c r="A2057">
        <v>1096.0010930000001</v>
      </c>
      <c r="B2057" s="1">
        <f>DATE(2013,5,1) + TIME(0,1,34)</f>
        <v>41395.001087962963</v>
      </c>
      <c r="C2057">
        <v>80</v>
      </c>
      <c r="D2057">
        <v>66.296821593999994</v>
      </c>
      <c r="E2057">
        <v>60</v>
      </c>
      <c r="F2057">
        <v>59.975528717000003</v>
      </c>
      <c r="G2057">
        <v>1338.1955565999999</v>
      </c>
      <c r="H2057">
        <v>1335.4824219</v>
      </c>
      <c r="I2057">
        <v>1329.1196289</v>
      </c>
      <c r="J2057">
        <v>1327.4884033000001</v>
      </c>
      <c r="K2057">
        <v>2750</v>
      </c>
      <c r="L2057">
        <v>0</v>
      </c>
      <c r="M2057">
        <v>0</v>
      </c>
      <c r="N2057">
        <v>2750</v>
      </c>
    </row>
    <row r="2058" spans="1:14" x14ac:dyDescent="0.25">
      <c r="A2058">
        <v>1096.0032799999999</v>
      </c>
      <c r="B2058" s="1">
        <f>DATE(2013,5,1) + TIME(0,4,43)</f>
        <v>41395.003275462965</v>
      </c>
      <c r="C2058">
        <v>80</v>
      </c>
      <c r="D2058">
        <v>66.363296508999994</v>
      </c>
      <c r="E2058">
        <v>60</v>
      </c>
      <c r="F2058">
        <v>59.975143433</v>
      </c>
      <c r="G2058">
        <v>1339.1976318</v>
      </c>
      <c r="H2058">
        <v>1336.4461670000001</v>
      </c>
      <c r="I2058">
        <v>1328.1972656</v>
      </c>
      <c r="J2058">
        <v>1326.5362548999999</v>
      </c>
      <c r="K2058">
        <v>2750</v>
      </c>
      <c r="L2058">
        <v>0</v>
      </c>
      <c r="M2058">
        <v>0</v>
      </c>
      <c r="N2058">
        <v>2750</v>
      </c>
    </row>
    <row r="2059" spans="1:14" x14ac:dyDescent="0.25">
      <c r="A2059">
        <v>1096.0098410000001</v>
      </c>
      <c r="B2059" s="1">
        <f>DATE(2013,5,1) + TIME(0,14,10)</f>
        <v>41395.009837962964</v>
      </c>
      <c r="C2059">
        <v>80</v>
      </c>
      <c r="D2059">
        <v>66.560394286999994</v>
      </c>
      <c r="E2059">
        <v>60</v>
      </c>
      <c r="F2059">
        <v>59.974281310999999</v>
      </c>
      <c r="G2059">
        <v>1339.6939697</v>
      </c>
      <c r="H2059">
        <v>1336.9376221</v>
      </c>
      <c r="I2059">
        <v>1327.7213135</v>
      </c>
      <c r="J2059">
        <v>1326.0507812000001</v>
      </c>
      <c r="K2059">
        <v>2750</v>
      </c>
      <c r="L2059">
        <v>0</v>
      </c>
      <c r="M2059">
        <v>0</v>
      </c>
      <c r="N2059">
        <v>2750</v>
      </c>
    </row>
    <row r="2060" spans="1:14" x14ac:dyDescent="0.25">
      <c r="A2060">
        <v>1096.027525</v>
      </c>
      <c r="B2060" s="1">
        <f>DATE(2013,5,1) + TIME(0,39,38)</f>
        <v>41395.02752314815</v>
      </c>
      <c r="C2060">
        <v>80</v>
      </c>
      <c r="D2060">
        <v>67.070838928000001</v>
      </c>
      <c r="E2060">
        <v>60</v>
      </c>
      <c r="F2060">
        <v>59.972148894999997</v>
      </c>
      <c r="G2060">
        <v>1339.8038329999999</v>
      </c>
      <c r="H2060">
        <v>1337.0690918</v>
      </c>
      <c r="I2060">
        <v>1327.6118164</v>
      </c>
      <c r="J2060">
        <v>1325.9394531</v>
      </c>
      <c r="K2060">
        <v>2750</v>
      </c>
      <c r="L2060">
        <v>0</v>
      </c>
      <c r="M2060">
        <v>0</v>
      </c>
      <c r="N2060">
        <v>2750</v>
      </c>
    </row>
    <row r="2061" spans="1:14" x14ac:dyDescent="0.25">
      <c r="A2061">
        <v>1096.0455629999999</v>
      </c>
      <c r="B2061" s="1">
        <f>DATE(2013,5,1) + TIME(1,5,36)</f>
        <v>41395.045555555553</v>
      </c>
      <c r="C2061">
        <v>80</v>
      </c>
      <c r="D2061">
        <v>67.573173522999994</v>
      </c>
      <c r="E2061">
        <v>60</v>
      </c>
      <c r="F2061">
        <v>59.970001220999997</v>
      </c>
      <c r="G2061">
        <v>1339.8203125</v>
      </c>
      <c r="H2061">
        <v>1337.0943603999999</v>
      </c>
      <c r="I2061">
        <v>1327.6043701000001</v>
      </c>
      <c r="J2061">
        <v>1325.9317627</v>
      </c>
      <c r="K2061">
        <v>2750</v>
      </c>
      <c r="L2061">
        <v>0</v>
      </c>
      <c r="M2061">
        <v>0</v>
      </c>
      <c r="N2061">
        <v>2750</v>
      </c>
    </row>
    <row r="2062" spans="1:14" x14ac:dyDescent="0.25">
      <c r="A2062">
        <v>1096.0639920000001</v>
      </c>
      <c r="B2062" s="1">
        <f>DATE(2013,5,1) + TIME(1,32,8)</f>
        <v>41395.063981481479</v>
      </c>
      <c r="C2062">
        <v>80</v>
      </c>
      <c r="D2062">
        <v>68.067863463999998</v>
      </c>
      <c r="E2062">
        <v>60</v>
      </c>
      <c r="F2062">
        <v>59.967823029000002</v>
      </c>
      <c r="G2062">
        <v>1339.8210449000001</v>
      </c>
      <c r="H2062">
        <v>1337.1032714999999</v>
      </c>
      <c r="I2062">
        <v>1327.6046143000001</v>
      </c>
      <c r="J2062">
        <v>1325.9320068</v>
      </c>
      <c r="K2062">
        <v>2750</v>
      </c>
      <c r="L2062">
        <v>0</v>
      </c>
      <c r="M2062">
        <v>0</v>
      </c>
      <c r="N2062">
        <v>2750</v>
      </c>
    </row>
    <row r="2063" spans="1:14" x14ac:dyDescent="0.25">
      <c r="A2063">
        <v>1096.0828289999999</v>
      </c>
      <c r="B2063" s="1">
        <f>DATE(2013,5,1) + TIME(1,59,16)</f>
        <v>41395.082824074074</v>
      </c>
      <c r="C2063">
        <v>80</v>
      </c>
      <c r="D2063">
        <v>68.554885863999999</v>
      </c>
      <c r="E2063">
        <v>60</v>
      </c>
      <c r="F2063">
        <v>59.965614318999997</v>
      </c>
      <c r="G2063">
        <v>1339.8211670000001</v>
      </c>
      <c r="H2063">
        <v>1337.1105957</v>
      </c>
      <c r="I2063">
        <v>1327.6049805</v>
      </c>
      <c r="J2063">
        <v>1325.932251</v>
      </c>
      <c r="K2063">
        <v>2750</v>
      </c>
      <c r="L2063">
        <v>0</v>
      </c>
      <c r="M2063">
        <v>0</v>
      </c>
      <c r="N2063">
        <v>2750</v>
      </c>
    </row>
    <row r="2064" spans="1:14" x14ac:dyDescent="0.25">
      <c r="A2064">
        <v>1096.1020960000001</v>
      </c>
      <c r="B2064" s="1">
        <f>DATE(2013,5,1) + TIME(2,27,1)</f>
        <v>41395.102094907408</v>
      </c>
      <c r="C2064">
        <v>80</v>
      </c>
      <c r="D2064">
        <v>69.034202575999998</v>
      </c>
      <c r="E2064">
        <v>60</v>
      </c>
      <c r="F2064">
        <v>59.963371277</v>
      </c>
      <c r="G2064">
        <v>1339.822876</v>
      </c>
      <c r="H2064">
        <v>1337.1184082</v>
      </c>
      <c r="I2064">
        <v>1327.6051024999999</v>
      </c>
      <c r="J2064">
        <v>1325.9323730000001</v>
      </c>
      <c r="K2064">
        <v>2750</v>
      </c>
      <c r="L2064">
        <v>0</v>
      </c>
      <c r="M2064">
        <v>0</v>
      </c>
      <c r="N2064">
        <v>2750</v>
      </c>
    </row>
    <row r="2065" spans="1:14" x14ac:dyDescent="0.25">
      <c r="A2065">
        <v>1096.121797</v>
      </c>
      <c r="B2065" s="1">
        <f>DATE(2013,5,1) + TIME(2,55,23)</f>
        <v>41395.121793981481</v>
      </c>
      <c r="C2065">
        <v>80</v>
      </c>
      <c r="D2065">
        <v>69.505378723000007</v>
      </c>
      <c r="E2065">
        <v>60</v>
      </c>
      <c r="F2065">
        <v>59.961093902999998</v>
      </c>
      <c r="G2065">
        <v>1339.8265381000001</v>
      </c>
      <c r="H2065">
        <v>1337.1273193</v>
      </c>
      <c r="I2065">
        <v>1327.6051024999999</v>
      </c>
      <c r="J2065">
        <v>1325.932251</v>
      </c>
      <c r="K2065">
        <v>2750</v>
      </c>
      <c r="L2065">
        <v>0</v>
      </c>
      <c r="M2065">
        <v>0</v>
      </c>
      <c r="N2065">
        <v>2750</v>
      </c>
    </row>
    <row r="2066" spans="1:14" x14ac:dyDescent="0.25">
      <c r="A2066">
        <v>1096.141912</v>
      </c>
      <c r="B2066" s="1">
        <f>DATE(2013,5,1) + TIME(3,24,21)</f>
        <v>41395.141909722224</v>
      </c>
      <c r="C2066">
        <v>80</v>
      </c>
      <c r="D2066">
        <v>69.967437743999994</v>
      </c>
      <c r="E2066">
        <v>60</v>
      </c>
      <c r="F2066">
        <v>59.958786011000001</v>
      </c>
      <c r="G2066">
        <v>1339.8321533000001</v>
      </c>
      <c r="H2066">
        <v>1337.137207</v>
      </c>
      <c r="I2066">
        <v>1327.6051024999999</v>
      </c>
      <c r="J2066">
        <v>1325.932251</v>
      </c>
      <c r="K2066">
        <v>2750</v>
      </c>
      <c r="L2066">
        <v>0</v>
      </c>
      <c r="M2066">
        <v>0</v>
      </c>
      <c r="N2066">
        <v>2750</v>
      </c>
    </row>
    <row r="2067" spans="1:14" x14ac:dyDescent="0.25">
      <c r="A2067">
        <v>1096.162462</v>
      </c>
      <c r="B2067" s="1">
        <f>DATE(2013,5,1) + TIME(3,53,56)</f>
        <v>41395.162453703706</v>
      </c>
      <c r="C2067">
        <v>80</v>
      </c>
      <c r="D2067">
        <v>70.420051575000002</v>
      </c>
      <c r="E2067">
        <v>60</v>
      </c>
      <c r="F2067">
        <v>59.956443786999998</v>
      </c>
      <c r="G2067">
        <v>1339.8397216999999</v>
      </c>
      <c r="H2067">
        <v>1337.1481934000001</v>
      </c>
      <c r="I2067">
        <v>1327.6051024999999</v>
      </c>
      <c r="J2067">
        <v>1325.9321289</v>
      </c>
      <c r="K2067">
        <v>2750</v>
      </c>
      <c r="L2067">
        <v>0</v>
      </c>
      <c r="M2067">
        <v>0</v>
      </c>
      <c r="N2067">
        <v>2750</v>
      </c>
    </row>
    <row r="2068" spans="1:14" x14ac:dyDescent="0.25">
      <c r="A2068">
        <v>1096.1834679999999</v>
      </c>
      <c r="B2068" s="1">
        <f>DATE(2013,5,1) + TIME(4,24,11)</f>
        <v>41395.18346064815</v>
      </c>
      <c r="C2068">
        <v>80</v>
      </c>
      <c r="D2068">
        <v>70.863464355000005</v>
      </c>
      <c r="E2068">
        <v>60</v>
      </c>
      <c r="F2068">
        <v>59.954071044999999</v>
      </c>
      <c r="G2068">
        <v>1339.848999</v>
      </c>
      <c r="H2068">
        <v>1337.1600341999999</v>
      </c>
      <c r="I2068">
        <v>1327.6049805</v>
      </c>
      <c r="J2068">
        <v>1325.9320068</v>
      </c>
      <c r="K2068">
        <v>2750</v>
      </c>
      <c r="L2068">
        <v>0</v>
      </c>
      <c r="M2068">
        <v>0</v>
      </c>
      <c r="N2068">
        <v>2750</v>
      </c>
    </row>
    <row r="2069" spans="1:14" x14ac:dyDescent="0.25">
      <c r="A2069">
        <v>1096.204954</v>
      </c>
      <c r="B2069" s="1">
        <f>DATE(2013,5,1) + TIME(4,55,8)</f>
        <v>41395.204953703702</v>
      </c>
      <c r="C2069">
        <v>80</v>
      </c>
      <c r="D2069">
        <v>71.297630310000002</v>
      </c>
      <c r="E2069">
        <v>60</v>
      </c>
      <c r="F2069">
        <v>59.951660156000003</v>
      </c>
      <c r="G2069">
        <v>1339.8599853999999</v>
      </c>
      <c r="H2069">
        <v>1337.1727295000001</v>
      </c>
      <c r="I2069">
        <v>1327.6049805</v>
      </c>
      <c r="J2069">
        <v>1325.9318848</v>
      </c>
      <c r="K2069">
        <v>2750</v>
      </c>
      <c r="L2069">
        <v>0</v>
      </c>
      <c r="M2069">
        <v>0</v>
      </c>
      <c r="N2069">
        <v>2750</v>
      </c>
    </row>
    <row r="2070" spans="1:14" x14ac:dyDescent="0.25">
      <c r="A2070">
        <v>1096.226944</v>
      </c>
      <c r="B2070" s="1">
        <f>DATE(2013,5,1) + TIME(5,26,47)</f>
        <v>41395.22693287037</v>
      </c>
      <c r="C2070">
        <v>80</v>
      </c>
      <c r="D2070">
        <v>71.722473144999995</v>
      </c>
      <c r="E2070">
        <v>60</v>
      </c>
      <c r="F2070">
        <v>59.949211120999998</v>
      </c>
      <c r="G2070">
        <v>1339.8725586</v>
      </c>
      <c r="H2070">
        <v>1337.1864014</v>
      </c>
      <c r="I2070">
        <v>1327.6048584</v>
      </c>
      <c r="J2070">
        <v>1325.9317627</v>
      </c>
      <c r="K2070">
        <v>2750</v>
      </c>
      <c r="L2070">
        <v>0</v>
      </c>
      <c r="M2070">
        <v>0</v>
      </c>
      <c r="N2070">
        <v>2750</v>
      </c>
    </row>
    <row r="2071" spans="1:14" x14ac:dyDescent="0.25">
      <c r="A2071">
        <v>1096.2494630000001</v>
      </c>
      <c r="B2071" s="1">
        <f>DATE(2013,5,1) + TIME(5,59,13)</f>
        <v>41395.249456018515</v>
      </c>
      <c r="C2071">
        <v>80</v>
      </c>
      <c r="D2071">
        <v>72.137893676999994</v>
      </c>
      <c r="E2071">
        <v>60</v>
      </c>
      <c r="F2071">
        <v>59.946720122999999</v>
      </c>
      <c r="G2071">
        <v>1339.8865966999999</v>
      </c>
      <c r="H2071">
        <v>1337.2008057</v>
      </c>
      <c r="I2071">
        <v>1327.6048584</v>
      </c>
      <c r="J2071">
        <v>1325.9315185999999</v>
      </c>
      <c r="K2071">
        <v>2750</v>
      </c>
      <c r="L2071">
        <v>0</v>
      </c>
      <c r="M2071">
        <v>0</v>
      </c>
      <c r="N2071">
        <v>2750</v>
      </c>
    </row>
    <row r="2072" spans="1:14" x14ac:dyDescent="0.25">
      <c r="A2072">
        <v>1096.2725390000001</v>
      </c>
      <c r="B2072" s="1">
        <f>DATE(2013,5,1) + TIME(6,32,27)</f>
        <v>41395.272534722222</v>
      </c>
      <c r="C2072">
        <v>80</v>
      </c>
      <c r="D2072">
        <v>72.543785095000004</v>
      </c>
      <c r="E2072">
        <v>60</v>
      </c>
      <c r="F2072">
        <v>59.944190978999998</v>
      </c>
      <c r="G2072">
        <v>1339.9022216999999</v>
      </c>
      <c r="H2072">
        <v>1337.2160644999999</v>
      </c>
      <c r="I2072">
        <v>1327.6047363</v>
      </c>
      <c r="J2072">
        <v>1325.9313964999999</v>
      </c>
      <c r="K2072">
        <v>2750</v>
      </c>
      <c r="L2072">
        <v>0</v>
      </c>
      <c r="M2072">
        <v>0</v>
      </c>
      <c r="N2072">
        <v>2750</v>
      </c>
    </row>
    <row r="2073" spans="1:14" x14ac:dyDescent="0.25">
      <c r="A2073">
        <v>1096.2962</v>
      </c>
      <c r="B2073" s="1">
        <f>DATE(2013,5,1) + TIME(7,6,31)</f>
        <v>41395.29619212963</v>
      </c>
      <c r="C2073">
        <v>80</v>
      </c>
      <c r="D2073">
        <v>72.939987183</v>
      </c>
      <c r="E2073">
        <v>60</v>
      </c>
      <c r="F2073">
        <v>59.941612243999998</v>
      </c>
      <c r="G2073">
        <v>1339.9191894999999</v>
      </c>
      <c r="H2073">
        <v>1337.2319336</v>
      </c>
      <c r="I2073">
        <v>1327.6046143000001</v>
      </c>
      <c r="J2073">
        <v>1325.9311522999999</v>
      </c>
      <c r="K2073">
        <v>2750</v>
      </c>
      <c r="L2073">
        <v>0</v>
      </c>
      <c r="M2073">
        <v>0</v>
      </c>
      <c r="N2073">
        <v>2750</v>
      </c>
    </row>
    <row r="2074" spans="1:14" x14ac:dyDescent="0.25">
      <c r="A2074">
        <v>1096.3204760000001</v>
      </c>
      <c r="B2074" s="1">
        <f>DATE(2013,5,1) + TIME(7,41,29)</f>
        <v>41395.320474537039</v>
      </c>
      <c r="C2074">
        <v>80</v>
      </c>
      <c r="D2074">
        <v>73.326347350999995</v>
      </c>
      <c r="E2074">
        <v>60</v>
      </c>
      <c r="F2074">
        <v>59.938991547000001</v>
      </c>
      <c r="G2074">
        <v>1339.9373779</v>
      </c>
      <c r="H2074">
        <v>1337.2485352000001</v>
      </c>
      <c r="I2074">
        <v>1327.6044922000001</v>
      </c>
      <c r="J2074">
        <v>1325.9310303</v>
      </c>
      <c r="K2074">
        <v>2750</v>
      </c>
      <c r="L2074">
        <v>0</v>
      </c>
      <c r="M2074">
        <v>0</v>
      </c>
      <c r="N2074">
        <v>2750</v>
      </c>
    </row>
    <row r="2075" spans="1:14" x14ac:dyDescent="0.25">
      <c r="A2075">
        <v>1096.3454019999999</v>
      </c>
      <c r="B2075" s="1">
        <f>DATE(2013,5,1) + TIME(8,17,22)</f>
        <v>41395.345393518517</v>
      </c>
      <c r="C2075">
        <v>80</v>
      </c>
      <c r="D2075">
        <v>73.702774047999995</v>
      </c>
      <c r="E2075">
        <v>60</v>
      </c>
      <c r="F2075">
        <v>59.936321259000003</v>
      </c>
      <c r="G2075">
        <v>1339.9569091999999</v>
      </c>
      <c r="H2075">
        <v>1337.2658690999999</v>
      </c>
      <c r="I2075">
        <v>1327.6043701000001</v>
      </c>
      <c r="J2075">
        <v>1325.9307861</v>
      </c>
      <c r="K2075">
        <v>2750</v>
      </c>
      <c r="L2075">
        <v>0</v>
      </c>
      <c r="M2075">
        <v>0</v>
      </c>
      <c r="N2075">
        <v>2750</v>
      </c>
    </row>
    <row r="2076" spans="1:14" x14ac:dyDescent="0.25">
      <c r="A2076">
        <v>1096.3710160000001</v>
      </c>
      <c r="B2076" s="1">
        <f>DATE(2013,5,1) + TIME(8,54,15)</f>
        <v>41395.371006944442</v>
      </c>
      <c r="C2076">
        <v>80</v>
      </c>
      <c r="D2076">
        <v>74.069122313999998</v>
      </c>
      <c r="E2076">
        <v>60</v>
      </c>
      <c r="F2076">
        <v>59.933597564999999</v>
      </c>
      <c r="G2076">
        <v>1339.9775391000001</v>
      </c>
      <c r="H2076">
        <v>1337.2836914</v>
      </c>
      <c r="I2076">
        <v>1327.6042480000001</v>
      </c>
      <c r="J2076">
        <v>1325.9305420000001</v>
      </c>
      <c r="K2076">
        <v>2750</v>
      </c>
      <c r="L2076">
        <v>0</v>
      </c>
      <c r="M2076">
        <v>0</v>
      </c>
      <c r="N2076">
        <v>2750</v>
      </c>
    </row>
    <row r="2077" spans="1:14" x14ac:dyDescent="0.25">
      <c r="A2077">
        <v>1096.3973559999999</v>
      </c>
      <c r="B2077" s="1">
        <f>DATE(2013,5,1) + TIME(9,32,11)</f>
        <v>41395.397349537037</v>
      </c>
      <c r="C2077">
        <v>80</v>
      </c>
      <c r="D2077">
        <v>74.425216675000001</v>
      </c>
      <c r="E2077">
        <v>60</v>
      </c>
      <c r="F2077">
        <v>59.930820464999996</v>
      </c>
      <c r="G2077">
        <v>1339.9992675999999</v>
      </c>
      <c r="H2077">
        <v>1337.302124</v>
      </c>
      <c r="I2077">
        <v>1327.604126</v>
      </c>
      <c r="J2077">
        <v>1325.9302978999999</v>
      </c>
      <c r="K2077">
        <v>2750</v>
      </c>
      <c r="L2077">
        <v>0</v>
      </c>
      <c r="M2077">
        <v>0</v>
      </c>
      <c r="N2077">
        <v>2750</v>
      </c>
    </row>
    <row r="2078" spans="1:14" x14ac:dyDescent="0.25">
      <c r="A2078">
        <v>1096.4244630000001</v>
      </c>
      <c r="B2078" s="1">
        <f>DATE(2013,5,1) + TIME(10,11,13)</f>
        <v>41395.424456018518</v>
      </c>
      <c r="C2078">
        <v>80</v>
      </c>
      <c r="D2078">
        <v>74.770896911999998</v>
      </c>
      <c r="E2078">
        <v>60</v>
      </c>
      <c r="F2078">
        <v>59.927986144999998</v>
      </c>
      <c r="G2078">
        <v>1340.0220947</v>
      </c>
      <c r="H2078">
        <v>1337.3209228999999</v>
      </c>
      <c r="I2078">
        <v>1327.6038818</v>
      </c>
      <c r="J2078">
        <v>1325.9299315999999</v>
      </c>
      <c r="K2078">
        <v>2750</v>
      </c>
      <c r="L2078">
        <v>0</v>
      </c>
      <c r="M2078">
        <v>0</v>
      </c>
      <c r="N2078">
        <v>2750</v>
      </c>
    </row>
    <row r="2079" spans="1:14" x14ac:dyDescent="0.25">
      <c r="A2079">
        <v>1096.4523819999999</v>
      </c>
      <c r="B2079" s="1">
        <f>DATE(2013,5,1) + TIME(10,51,25)</f>
        <v>41395.452372685184</v>
      </c>
      <c r="C2079">
        <v>80</v>
      </c>
      <c r="D2079">
        <v>75.105903624999996</v>
      </c>
      <c r="E2079">
        <v>60</v>
      </c>
      <c r="F2079">
        <v>59.925090789999999</v>
      </c>
      <c r="G2079">
        <v>1340.0457764</v>
      </c>
      <c r="H2079">
        <v>1337.340332</v>
      </c>
      <c r="I2079">
        <v>1327.6037598</v>
      </c>
      <c r="J2079">
        <v>1325.9296875</v>
      </c>
      <c r="K2079">
        <v>2750</v>
      </c>
      <c r="L2079">
        <v>0</v>
      </c>
      <c r="M2079">
        <v>0</v>
      </c>
      <c r="N2079">
        <v>2750</v>
      </c>
    </row>
    <row r="2080" spans="1:14" x14ac:dyDescent="0.25">
      <c r="A2080">
        <v>1096.4811609999999</v>
      </c>
      <c r="B2080" s="1">
        <f>DATE(2013,5,1) + TIME(11,32,52)</f>
        <v>41395.481157407405</v>
      </c>
      <c r="C2080">
        <v>80</v>
      </c>
      <c r="D2080">
        <v>75.429985045999999</v>
      </c>
      <c r="E2080">
        <v>60</v>
      </c>
      <c r="F2080">
        <v>59.922130584999998</v>
      </c>
      <c r="G2080">
        <v>1340.0703125</v>
      </c>
      <c r="H2080">
        <v>1337.3601074000001</v>
      </c>
      <c r="I2080">
        <v>1327.6035156</v>
      </c>
      <c r="J2080">
        <v>1325.9294434000001</v>
      </c>
      <c r="K2080">
        <v>2750</v>
      </c>
      <c r="L2080">
        <v>0</v>
      </c>
      <c r="M2080">
        <v>0</v>
      </c>
      <c r="N2080">
        <v>2750</v>
      </c>
    </row>
    <row r="2081" spans="1:14" x14ac:dyDescent="0.25">
      <c r="A2081">
        <v>1096.5108540000001</v>
      </c>
      <c r="B2081" s="1">
        <f>DATE(2013,5,1) + TIME(12,15,37)</f>
        <v>41395.510844907411</v>
      </c>
      <c r="C2081">
        <v>80</v>
      </c>
      <c r="D2081">
        <v>75.743118285999998</v>
      </c>
      <c r="E2081">
        <v>60</v>
      </c>
      <c r="F2081">
        <v>59.919101714999996</v>
      </c>
      <c r="G2081">
        <v>1340.0957031</v>
      </c>
      <c r="H2081">
        <v>1337.3803711</v>
      </c>
      <c r="I2081">
        <v>1327.6033935999999</v>
      </c>
      <c r="J2081">
        <v>1325.9290771000001</v>
      </c>
      <c r="K2081">
        <v>2750</v>
      </c>
      <c r="L2081">
        <v>0</v>
      </c>
      <c r="M2081">
        <v>0</v>
      </c>
      <c r="N2081">
        <v>2750</v>
      </c>
    </row>
    <row r="2082" spans="1:14" x14ac:dyDescent="0.25">
      <c r="A2082">
        <v>1096.541516</v>
      </c>
      <c r="B2082" s="1">
        <f>DATE(2013,5,1) + TIME(12,59,47)</f>
        <v>41395.541516203702</v>
      </c>
      <c r="C2082">
        <v>80</v>
      </c>
      <c r="D2082">
        <v>76.045150757000002</v>
      </c>
      <c r="E2082">
        <v>60</v>
      </c>
      <c r="F2082">
        <v>59.916000365999999</v>
      </c>
      <c r="G2082">
        <v>1340.1218262</v>
      </c>
      <c r="H2082">
        <v>1337.4008789</v>
      </c>
      <c r="I2082">
        <v>1327.6031493999999</v>
      </c>
      <c r="J2082">
        <v>1325.9287108999999</v>
      </c>
      <c r="K2082">
        <v>2750</v>
      </c>
      <c r="L2082">
        <v>0</v>
      </c>
      <c r="M2082">
        <v>0</v>
      </c>
      <c r="N2082">
        <v>2750</v>
      </c>
    </row>
    <row r="2083" spans="1:14" x14ac:dyDescent="0.25">
      <c r="A2083">
        <v>1096.573212</v>
      </c>
      <c r="B2083" s="1">
        <f>DATE(2013,5,1) + TIME(13,45,25)</f>
        <v>41395.573206018518</v>
      </c>
      <c r="C2083">
        <v>80</v>
      </c>
      <c r="D2083">
        <v>76.335929871000005</v>
      </c>
      <c r="E2083">
        <v>60</v>
      </c>
      <c r="F2083">
        <v>59.912822722999998</v>
      </c>
      <c r="G2083">
        <v>1340.1485596</v>
      </c>
      <c r="H2083">
        <v>1337.4216309000001</v>
      </c>
      <c r="I2083">
        <v>1327.6029053</v>
      </c>
      <c r="J2083">
        <v>1325.9283447</v>
      </c>
      <c r="K2083">
        <v>2750</v>
      </c>
      <c r="L2083">
        <v>0</v>
      </c>
      <c r="M2083">
        <v>0</v>
      </c>
      <c r="N2083">
        <v>2750</v>
      </c>
    </row>
    <row r="2084" spans="1:14" x14ac:dyDescent="0.25">
      <c r="A2084">
        <v>1096.6060219999999</v>
      </c>
      <c r="B2084" s="1">
        <f>DATE(2013,5,1) + TIME(14,32,40)</f>
        <v>41395.60601851852</v>
      </c>
      <c r="C2084">
        <v>80</v>
      </c>
      <c r="D2084">
        <v>76.615402222</v>
      </c>
      <c r="E2084">
        <v>60</v>
      </c>
      <c r="F2084">
        <v>59.909561156999999</v>
      </c>
      <c r="G2084">
        <v>1340.1757812000001</v>
      </c>
      <c r="H2084">
        <v>1337.4426269999999</v>
      </c>
      <c r="I2084">
        <v>1327.6026611</v>
      </c>
      <c r="J2084">
        <v>1325.9279785000001</v>
      </c>
      <c r="K2084">
        <v>2750</v>
      </c>
      <c r="L2084">
        <v>0</v>
      </c>
      <c r="M2084">
        <v>0</v>
      </c>
      <c r="N2084">
        <v>2750</v>
      </c>
    </row>
    <row r="2085" spans="1:14" x14ac:dyDescent="0.25">
      <c r="A2085">
        <v>1096.6400060000001</v>
      </c>
      <c r="B2085" s="1">
        <f>DATE(2013,5,1) + TIME(15,21,36)</f>
        <v>41395.64</v>
      </c>
      <c r="C2085">
        <v>80</v>
      </c>
      <c r="D2085">
        <v>76.883308411000002</v>
      </c>
      <c r="E2085">
        <v>60</v>
      </c>
      <c r="F2085">
        <v>59.906215668000002</v>
      </c>
      <c r="G2085">
        <v>1340.2036132999999</v>
      </c>
      <c r="H2085">
        <v>1337.4638672000001</v>
      </c>
      <c r="I2085">
        <v>1327.6024170000001</v>
      </c>
      <c r="J2085">
        <v>1325.9276123</v>
      </c>
      <c r="K2085">
        <v>2750</v>
      </c>
      <c r="L2085">
        <v>0</v>
      </c>
      <c r="M2085">
        <v>0</v>
      </c>
      <c r="N2085">
        <v>2750</v>
      </c>
    </row>
    <row r="2086" spans="1:14" x14ac:dyDescent="0.25">
      <c r="A2086">
        <v>1096.675248</v>
      </c>
      <c r="B2086" s="1">
        <f>DATE(2013,5,1) + TIME(16,12,21)</f>
        <v>41395.675243055557</v>
      </c>
      <c r="C2086">
        <v>80</v>
      </c>
      <c r="D2086">
        <v>77.139533997000001</v>
      </c>
      <c r="E2086">
        <v>60</v>
      </c>
      <c r="F2086">
        <v>59.902774811</v>
      </c>
      <c r="G2086">
        <v>1340.2319336</v>
      </c>
      <c r="H2086">
        <v>1337.4853516000001</v>
      </c>
      <c r="I2086">
        <v>1327.6020507999999</v>
      </c>
      <c r="J2086">
        <v>1325.9272461</v>
      </c>
      <c r="K2086">
        <v>2750</v>
      </c>
      <c r="L2086">
        <v>0</v>
      </c>
      <c r="M2086">
        <v>0</v>
      </c>
      <c r="N2086">
        <v>2750</v>
      </c>
    </row>
    <row r="2087" spans="1:14" x14ac:dyDescent="0.25">
      <c r="A2087">
        <v>1096.7118370000001</v>
      </c>
      <c r="B2087" s="1">
        <f>DATE(2013,5,1) + TIME(17,5,2)</f>
        <v>41395.711828703701</v>
      </c>
      <c r="C2087">
        <v>80</v>
      </c>
      <c r="D2087">
        <v>77.383956909000005</v>
      </c>
      <c r="E2087">
        <v>60</v>
      </c>
      <c r="F2087">
        <v>59.899234772</v>
      </c>
      <c r="G2087">
        <v>1340.2604980000001</v>
      </c>
      <c r="H2087">
        <v>1337.5068358999999</v>
      </c>
      <c r="I2087">
        <v>1327.6018065999999</v>
      </c>
      <c r="J2087">
        <v>1325.9267577999999</v>
      </c>
      <c r="K2087">
        <v>2750</v>
      </c>
      <c r="L2087">
        <v>0</v>
      </c>
      <c r="M2087">
        <v>0</v>
      </c>
      <c r="N2087">
        <v>2750</v>
      </c>
    </row>
    <row r="2088" spans="1:14" x14ac:dyDescent="0.25">
      <c r="A2088">
        <v>1096.749873</v>
      </c>
      <c r="B2088" s="1">
        <f>DATE(2013,5,1) + TIME(17,59,49)</f>
        <v>41395.749872685185</v>
      </c>
      <c r="C2088">
        <v>80</v>
      </c>
      <c r="D2088">
        <v>77.616500853999995</v>
      </c>
      <c r="E2088">
        <v>60</v>
      </c>
      <c r="F2088">
        <v>59.895587921000001</v>
      </c>
      <c r="G2088">
        <v>1340.2894286999999</v>
      </c>
      <c r="H2088">
        <v>1337.5284423999999</v>
      </c>
      <c r="I2088">
        <v>1327.6014404</v>
      </c>
      <c r="J2088">
        <v>1325.9263916</v>
      </c>
      <c r="K2088">
        <v>2750</v>
      </c>
      <c r="L2088">
        <v>0</v>
      </c>
      <c r="M2088">
        <v>0</v>
      </c>
      <c r="N2088">
        <v>2750</v>
      </c>
    </row>
    <row r="2089" spans="1:14" x14ac:dyDescent="0.25">
      <c r="A2089">
        <v>1096.7894659999999</v>
      </c>
      <c r="B2089" s="1">
        <f>DATE(2013,5,1) + TIME(18,56,49)</f>
        <v>41395.789456018516</v>
      </c>
      <c r="C2089">
        <v>80</v>
      </c>
      <c r="D2089">
        <v>77.837089539000004</v>
      </c>
      <c r="E2089">
        <v>60</v>
      </c>
      <c r="F2089">
        <v>59.891826629999997</v>
      </c>
      <c r="G2089">
        <v>1340.3186035000001</v>
      </c>
      <c r="H2089">
        <v>1337.5499268000001</v>
      </c>
      <c r="I2089">
        <v>1327.6011963000001</v>
      </c>
      <c r="J2089">
        <v>1325.9259033000001</v>
      </c>
      <c r="K2089">
        <v>2750</v>
      </c>
      <c r="L2089">
        <v>0</v>
      </c>
      <c r="M2089">
        <v>0</v>
      </c>
      <c r="N2089">
        <v>2750</v>
      </c>
    </row>
    <row r="2090" spans="1:14" x14ac:dyDescent="0.25">
      <c r="A2090">
        <v>1096.8307400000001</v>
      </c>
      <c r="B2090" s="1">
        <f>DATE(2013,5,1) + TIME(19,56,15)</f>
        <v>41395.830729166664</v>
      </c>
      <c r="C2090">
        <v>80</v>
      </c>
      <c r="D2090">
        <v>78.045692443999997</v>
      </c>
      <c r="E2090">
        <v>60</v>
      </c>
      <c r="F2090">
        <v>59.887947083</v>
      </c>
      <c r="G2090">
        <v>1340.3479004000001</v>
      </c>
      <c r="H2090">
        <v>1337.5715332</v>
      </c>
      <c r="I2090">
        <v>1327.6008300999999</v>
      </c>
      <c r="J2090">
        <v>1325.9254149999999</v>
      </c>
      <c r="K2090">
        <v>2750</v>
      </c>
      <c r="L2090">
        <v>0</v>
      </c>
      <c r="M2090">
        <v>0</v>
      </c>
      <c r="N2090">
        <v>2750</v>
      </c>
    </row>
    <row r="2091" spans="1:14" x14ac:dyDescent="0.25">
      <c r="A2091">
        <v>1096.8737610000001</v>
      </c>
      <c r="B2091" s="1">
        <f>DATE(2013,5,1) + TIME(20,58,12)</f>
        <v>41395.873749999999</v>
      </c>
      <c r="C2091">
        <v>80</v>
      </c>
      <c r="D2091">
        <v>78.241996764999996</v>
      </c>
      <c r="E2091">
        <v>60</v>
      </c>
      <c r="F2091">
        <v>59.883937836000001</v>
      </c>
      <c r="G2091">
        <v>1340.3773193</v>
      </c>
      <c r="H2091">
        <v>1337.5930175999999</v>
      </c>
      <c r="I2091">
        <v>1327.6004639</v>
      </c>
      <c r="J2091">
        <v>1325.9248047000001</v>
      </c>
      <c r="K2091">
        <v>2750</v>
      </c>
      <c r="L2091">
        <v>0</v>
      </c>
      <c r="M2091">
        <v>0</v>
      </c>
      <c r="N2091">
        <v>2750</v>
      </c>
    </row>
    <row r="2092" spans="1:14" x14ac:dyDescent="0.25">
      <c r="A2092">
        <v>1096.9186099999999</v>
      </c>
      <c r="B2092" s="1">
        <f>DATE(2013,5,1) + TIME(22,2,47)</f>
        <v>41395.918599537035</v>
      </c>
      <c r="C2092">
        <v>80</v>
      </c>
      <c r="D2092">
        <v>78.425834656000006</v>
      </c>
      <c r="E2092">
        <v>60</v>
      </c>
      <c r="F2092">
        <v>59.879798889</v>
      </c>
      <c r="G2092">
        <v>1340.4066161999999</v>
      </c>
      <c r="H2092">
        <v>1337.6143798999999</v>
      </c>
      <c r="I2092">
        <v>1327.5999756000001</v>
      </c>
      <c r="J2092">
        <v>1325.9243164</v>
      </c>
      <c r="K2092">
        <v>2750</v>
      </c>
      <c r="L2092">
        <v>0</v>
      </c>
      <c r="M2092">
        <v>0</v>
      </c>
      <c r="N2092">
        <v>2750</v>
      </c>
    </row>
    <row r="2093" spans="1:14" x14ac:dyDescent="0.25">
      <c r="A2093">
        <v>1096.9654230000001</v>
      </c>
      <c r="B2093" s="1">
        <f>DATE(2013,5,1) + TIME(23,10,12)</f>
        <v>41395.965416666666</v>
      </c>
      <c r="C2093">
        <v>80</v>
      </c>
      <c r="D2093">
        <v>78.597312927000004</v>
      </c>
      <c r="E2093">
        <v>60</v>
      </c>
      <c r="F2093">
        <v>59.875522613999998</v>
      </c>
      <c r="G2093">
        <v>1340.4357910000001</v>
      </c>
      <c r="H2093">
        <v>1337.6356201000001</v>
      </c>
      <c r="I2093">
        <v>1327.5996094</v>
      </c>
      <c r="J2093">
        <v>1325.9237060999999</v>
      </c>
      <c r="K2093">
        <v>2750</v>
      </c>
      <c r="L2093">
        <v>0</v>
      </c>
      <c r="M2093">
        <v>0</v>
      </c>
      <c r="N2093">
        <v>2750</v>
      </c>
    </row>
    <row r="2094" spans="1:14" x14ac:dyDescent="0.25">
      <c r="A2094">
        <v>1097.0143499999999</v>
      </c>
      <c r="B2094" s="1">
        <f>DATE(2013,5,2) + TIME(0,20,39)</f>
        <v>41396.014340277776</v>
      </c>
      <c r="C2094">
        <v>80</v>
      </c>
      <c r="D2094">
        <v>78.756546021000005</v>
      </c>
      <c r="E2094">
        <v>60</v>
      </c>
      <c r="F2094">
        <v>59.87109375</v>
      </c>
      <c r="G2094">
        <v>1340.4648437999999</v>
      </c>
      <c r="H2094">
        <v>1337.6564940999999</v>
      </c>
      <c r="I2094">
        <v>1327.5991211</v>
      </c>
      <c r="J2094">
        <v>1325.9230957</v>
      </c>
      <c r="K2094">
        <v>2750</v>
      </c>
      <c r="L2094">
        <v>0</v>
      </c>
      <c r="M2094">
        <v>0</v>
      </c>
      <c r="N2094">
        <v>2750</v>
      </c>
    </row>
    <row r="2095" spans="1:14" x14ac:dyDescent="0.25">
      <c r="A2095">
        <v>1097.0655569999999</v>
      </c>
      <c r="B2095" s="1">
        <f>DATE(2013,5,2) + TIME(1,34,24)</f>
        <v>41396.065555555557</v>
      </c>
      <c r="C2095">
        <v>80</v>
      </c>
      <c r="D2095">
        <v>78.903739928999997</v>
      </c>
      <c r="E2095">
        <v>60</v>
      </c>
      <c r="F2095">
        <v>59.866508484000001</v>
      </c>
      <c r="G2095">
        <v>1340.4934082</v>
      </c>
      <c r="H2095">
        <v>1337.6770019999999</v>
      </c>
      <c r="I2095">
        <v>1327.5987548999999</v>
      </c>
      <c r="J2095">
        <v>1325.9224853999999</v>
      </c>
      <c r="K2095">
        <v>2750</v>
      </c>
      <c r="L2095">
        <v>0</v>
      </c>
      <c r="M2095">
        <v>0</v>
      </c>
      <c r="N2095">
        <v>2750</v>
      </c>
    </row>
    <row r="2096" spans="1:14" x14ac:dyDescent="0.25">
      <c r="A2096">
        <v>1097.1192289999999</v>
      </c>
      <c r="B2096" s="1">
        <f>DATE(2013,5,2) + TIME(2,51,41)</f>
        <v>41396.11922453704</v>
      </c>
      <c r="C2096">
        <v>80</v>
      </c>
      <c r="D2096">
        <v>79.039100646999998</v>
      </c>
      <c r="E2096">
        <v>60</v>
      </c>
      <c r="F2096">
        <v>59.861751556000002</v>
      </c>
      <c r="G2096">
        <v>1340.5216064000001</v>
      </c>
      <c r="H2096">
        <v>1337.6972656</v>
      </c>
      <c r="I2096">
        <v>1327.5982666</v>
      </c>
      <c r="J2096">
        <v>1325.9217529</v>
      </c>
      <c r="K2096">
        <v>2750</v>
      </c>
      <c r="L2096">
        <v>0</v>
      </c>
      <c r="M2096">
        <v>0</v>
      </c>
      <c r="N2096">
        <v>2750</v>
      </c>
    </row>
    <row r="2097" spans="1:14" x14ac:dyDescent="0.25">
      <c r="A2097">
        <v>1097.175573</v>
      </c>
      <c r="B2097" s="1">
        <f>DATE(2013,5,2) + TIME(4,12,49)</f>
        <v>41396.175567129627</v>
      </c>
      <c r="C2097">
        <v>80</v>
      </c>
      <c r="D2097">
        <v>79.162925720000004</v>
      </c>
      <c r="E2097">
        <v>60</v>
      </c>
      <c r="F2097">
        <v>59.856803894000002</v>
      </c>
      <c r="G2097">
        <v>1340.5494385</v>
      </c>
      <c r="H2097">
        <v>1337.7170410000001</v>
      </c>
      <c r="I2097">
        <v>1327.5976562000001</v>
      </c>
      <c r="J2097">
        <v>1325.9210204999999</v>
      </c>
      <c r="K2097">
        <v>2750</v>
      </c>
      <c r="L2097">
        <v>0</v>
      </c>
      <c r="M2097">
        <v>0</v>
      </c>
      <c r="N2097">
        <v>2750</v>
      </c>
    </row>
    <row r="2098" spans="1:14" x14ac:dyDescent="0.25">
      <c r="A2098">
        <v>1097.234819</v>
      </c>
      <c r="B2098" s="1">
        <f>DATE(2013,5,2) + TIME(5,38,8)</f>
        <v>41396.234814814816</v>
      </c>
      <c r="C2098">
        <v>80</v>
      </c>
      <c r="D2098">
        <v>79.275520325000002</v>
      </c>
      <c r="E2098">
        <v>60</v>
      </c>
      <c r="F2098">
        <v>59.851661682</v>
      </c>
      <c r="G2098">
        <v>1340.5765381000001</v>
      </c>
      <c r="H2098">
        <v>1337.7363281</v>
      </c>
      <c r="I2098">
        <v>1327.597168</v>
      </c>
      <c r="J2098">
        <v>1325.9202881000001</v>
      </c>
      <c r="K2098">
        <v>2750</v>
      </c>
      <c r="L2098">
        <v>0</v>
      </c>
      <c r="M2098">
        <v>0</v>
      </c>
      <c r="N2098">
        <v>2750</v>
      </c>
    </row>
    <row r="2099" spans="1:14" x14ac:dyDescent="0.25">
      <c r="A2099">
        <v>1097.2972279999999</v>
      </c>
      <c r="B2099" s="1">
        <f>DATE(2013,5,2) + TIME(7,8,0)</f>
        <v>41396.297222222223</v>
      </c>
      <c r="C2099">
        <v>80</v>
      </c>
      <c r="D2099">
        <v>79.377273560000006</v>
      </c>
      <c r="E2099">
        <v>60</v>
      </c>
      <c r="F2099">
        <v>59.846298218000001</v>
      </c>
      <c r="G2099">
        <v>1340.6030272999999</v>
      </c>
      <c r="H2099">
        <v>1337.755249</v>
      </c>
      <c r="I2099">
        <v>1327.5965576000001</v>
      </c>
      <c r="J2099">
        <v>1325.9195557</v>
      </c>
      <c r="K2099">
        <v>2750</v>
      </c>
      <c r="L2099">
        <v>0</v>
      </c>
      <c r="M2099">
        <v>0</v>
      </c>
      <c r="N2099">
        <v>2750</v>
      </c>
    </row>
    <row r="2100" spans="1:14" x14ac:dyDescent="0.25">
      <c r="A2100">
        <v>1097.3630989999999</v>
      </c>
      <c r="B2100" s="1">
        <f>DATE(2013,5,2) + TIME(8,42,51)</f>
        <v>41396.36309027778</v>
      </c>
      <c r="C2100">
        <v>80</v>
      </c>
      <c r="D2100">
        <v>79.468605041999993</v>
      </c>
      <c r="E2100">
        <v>60</v>
      </c>
      <c r="F2100">
        <v>59.840698242000002</v>
      </c>
      <c r="G2100">
        <v>1340.6287841999999</v>
      </c>
      <c r="H2100">
        <v>1337.7735596</v>
      </c>
      <c r="I2100">
        <v>1327.5959473</v>
      </c>
      <c r="J2100">
        <v>1325.9187012</v>
      </c>
      <c r="K2100">
        <v>2750</v>
      </c>
      <c r="L2100">
        <v>0</v>
      </c>
      <c r="M2100">
        <v>0</v>
      </c>
      <c r="N2100">
        <v>2750</v>
      </c>
    </row>
    <row r="2101" spans="1:14" x14ac:dyDescent="0.25">
      <c r="A2101">
        <v>1097.43281</v>
      </c>
      <c r="B2101" s="1">
        <f>DATE(2013,5,2) + TIME(10,23,14)</f>
        <v>41396.432800925926</v>
      </c>
      <c r="C2101">
        <v>80</v>
      </c>
      <c r="D2101">
        <v>79.550025939999998</v>
      </c>
      <c r="E2101">
        <v>60</v>
      </c>
      <c r="F2101">
        <v>59.834838867000002</v>
      </c>
      <c r="G2101">
        <v>1340.6536865</v>
      </c>
      <c r="H2101">
        <v>1337.7912598</v>
      </c>
      <c r="I2101">
        <v>1327.5953368999999</v>
      </c>
      <c r="J2101">
        <v>1325.9177245999999</v>
      </c>
      <c r="K2101">
        <v>2750</v>
      </c>
      <c r="L2101">
        <v>0</v>
      </c>
      <c r="M2101">
        <v>0</v>
      </c>
      <c r="N2101">
        <v>2750</v>
      </c>
    </row>
    <row r="2102" spans="1:14" x14ac:dyDescent="0.25">
      <c r="A2102">
        <v>1097.506707</v>
      </c>
      <c r="B2102" s="1">
        <f>DATE(2013,5,2) + TIME(12,9,39)</f>
        <v>41396.506701388891</v>
      </c>
      <c r="C2102">
        <v>80</v>
      </c>
      <c r="D2102">
        <v>79.621986389</v>
      </c>
      <c r="E2102">
        <v>60</v>
      </c>
      <c r="F2102">
        <v>59.828693389999998</v>
      </c>
      <c r="G2102">
        <v>1340.6778564000001</v>
      </c>
      <c r="H2102">
        <v>1337.8083495999999</v>
      </c>
      <c r="I2102">
        <v>1327.5946045000001</v>
      </c>
      <c r="J2102">
        <v>1325.9167480000001</v>
      </c>
      <c r="K2102">
        <v>2750</v>
      </c>
      <c r="L2102">
        <v>0</v>
      </c>
      <c r="M2102">
        <v>0</v>
      </c>
      <c r="N2102">
        <v>2750</v>
      </c>
    </row>
    <row r="2103" spans="1:14" x14ac:dyDescent="0.25">
      <c r="A2103">
        <v>1097.5821510000001</v>
      </c>
      <c r="B2103" s="1">
        <f>DATE(2013,5,2) + TIME(13,58,17)</f>
        <v>41396.582141203704</v>
      </c>
      <c r="C2103">
        <v>80</v>
      </c>
      <c r="D2103">
        <v>79.682991028000004</v>
      </c>
      <c r="E2103">
        <v>60</v>
      </c>
      <c r="F2103">
        <v>59.822471618999998</v>
      </c>
      <c r="G2103">
        <v>1340.7012939000001</v>
      </c>
      <c r="H2103">
        <v>1337.8249512</v>
      </c>
      <c r="I2103">
        <v>1327.59375</v>
      </c>
      <c r="J2103">
        <v>1325.9157714999999</v>
      </c>
      <c r="K2103">
        <v>2750</v>
      </c>
      <c r="L2103">
        <v>0</v>
      </c>
      <c r="M2103">
        <v>0</v>
      </c>
      <c r="N2103">
        <v>2750</v>
      </c>
    </row>
    <row r="2104" spans="1:14" x14ac:dyDescent="0.25">
      <c r="A2104">
        <v>1097.6582860000001</v>
      </c>
      <c r="B2104" s="1">
        <f>DATE(2013,5,2) + TIME(15,47,55)</f>
        <v>41396.658275462964</v>
      </c>
      <c r="C2104">
        <v>80</v>
      </c>
      <c r="D2104">
        <v>79.734001160000005</v>
      </c>
      <c r="E2104">
        <v>60</v>
      </c>
      <c r="F2104">
        <v>59.816234588999997</v>
      </c>
      <c r="G2104">
        <v>1340.7230225000001</v>
      </c>
      <c r="H2104">
        <v>1337.840332</v>
      </c>
      <c r="I2104">
        <v>1327.5930175999999</v>
      </c>
      <c r="J2104">
        <v>1325.9146728999999</v>
      </c>
      <c r="K2104">
        <v>2750</v>
      </c>
      <c r="L2104">
        <v>0</v>
      </c>
      <c r="M2104">
        <v>0</v>
      </c>
      <c r="N2104">
        <v>2750</v>
      </c>
    </row>
    <row r="2105" spans="1:14" x14ac:dyDescent="0.25">
      <c r="A2105">
        <v>1097.735318</v>
      </c>
      <c r="B2105" s="1">
        <f>DATE(2013,5,2) + TIME(17,38,51)</f>
        <v>41396.735312500001</v>
      </c>
      <c r="C2105">
        <v>80</v>
      </c>
      <c r="D2105">
        <v>79.776657103999995</v>
      </c>
      <c r="E2105">
        <v>60</v>
      </c>
      <c r="F2105">
        <v>59.809963226000001</v>
      </c>
      <c r="G2105">
        <v>1340.7426757999999</v>
      </c>
      <c r="H2105">
        <v>1337.8543701000001</v>
      </c>
      <c r="I2105">
        <v>1327.5921631000001</v>
      </c>
      <c r="J2105">
        <v>1325.9135742000001</v>
      </c>
      <c r="K2105">
        <v>2750</v>
      </c>
      <c r="L2105">
        <v>0</v>
      </c>
      <c r="M2105">
        <v>0</v>
      </c>
      <c r="N2105">
        <v>2750</v>
      </c>
    </row>
    <row r="2106" spans="1:14" x14ac:dyDescent="0.25">
      <c r="A2106">
        <v>1097.813445</v>
      </c>
      <c r="B2106" s="1">
        <f>DATE(2013,5,2) + TIME(19,31,21)</f>
        <v>41396.813437500001</v>
      </c>
      <c r="C2106">
        <v>80</v>
      </c>
      <c r="D2106">
        <v>79.812294006000002</v>
      </c>
      <c r="E2106">
        <v>60</v>
      </c>
      <c r="F2106">
        <v>59.803649901999997</v>
      </c>
      <c r="G2106">
        <v>1340.7604980000001</v>
      </c>
      <c r="H2106">
        <v>1337.8670654</v>
      </c>
      <c r="I2106">
        <v>1327.5913086</v>
      </c>
      <c r="J2106">
        <v>1325.9124756000001</v>
      </c>
      <c r="K2106">
        <v>2750</v>
      </c>
      <c r="L2106">
        <v>0</v>
      </c>
      <c r="M2106">
        <v>0</v>
      </c>
      <c r="N2106">
        <v>2750</v>
      </c>
    </row>
    <row r="2107" spans="1:14" x14ac:dyDescent="0.25">
      <c r="A2107">
        <v>1097.892871</v>
      </c>
      <c r="B2107" s="1">
        <f>DATE(2013,5,2) + TIME(21,25,44)</f>
        <v>41396.892870370371</v>
      </c>
      <c r="C2107">
        <v>80</v>
      </c>
      <c r="D2107">
        <v>79.842048645000006</v>
      </c>
      <c r="E2107">
        <v>60</v>
      </c>
      <c r="F2107">
        <v>59.797271729000002</v>
      </c>
      <c r="G2107">
        <v>1340.7766113</v>
      </c>
      <c r="H2107">
        <v>1337.8787841999999</v>
      </c>
      <c r="I2107">
        <v>1327.5904541</v>
      </c>
      <c r="J2107">
        <v>1325.9112548999999</v>
      </c>
      <c r="K2107">
        <v>2750</v>
      </c>
      <c r="L2107">
        <v>0</v>
      </c>
      <c r="M2107">
        <v>0</v>
      </c>
      <c r="N2107">
        <v>2750</v>
      </c>
    </row>
    <row r="2108" spans="1:14" x14ac:dyDescent="0.25">
      <c r="A2108">
        <v>1097.97381</v>
      </c>
      <c r="B2108" s="1">
        <f>DATE(2013,5,2) + TIME(23,22,17)</f>
        <v>41396.973807870374</v>
      </c>
      <c r="C2108">
        <v>80</v>
      </c>
      <c r="D2108">
        <v>79.866851807000003</v>
      </c>
      <c r="E2108">
        <v>60</v>
      </c>
      <c r="F2108">
        <v>59.790817261000001</v>
      </c>
      <c r="G2108">
        <v>1340.7911377</v>
      </c>
      <c r="H2108">
        <v>1337.8894043</v>
      </c>
      <c r="I2108">
        <v>1327.5895995999999</v>
      </c>
      <c r="J2108">
        <v>1325.9100341999999</v>
      </c>
      <c r="K2108">
        <v>2750</v>
      </c>
      <c r="L2108">
        <v>0</v>
      </c>
      <c r="M2108">
        <v>0</v>
      </c>
      <c r="N2108">
        <v>2750</v>
      </c>
    </row>
    <row r="2109" spans="1:14" x14ac:dyDescent="0.25">
      <c r="A2109">
        <v>1098.0565489999999</v>
      </c>
      <c r="B2109" s="1">
        <f>DATE(2013,5,3) + TIME(1,21,25)</f>
        <v>41397.056539351855</v>
      </c>
      <c r="C2109">
        <v>80</v>
      </c>
      <c r="D2109">
        <v>79.887512207</v>
      </c>
      <c r="E2109">
        <v>60</v>
      </c>
      <c r="F2109">
        <v>59.784263611</v>
      </c>
      <c r="G2109">
        <v>1340.8041992000001</v>
      </c>
      <c r="H2109">
        <v>1337.8990478999999</v>
      </c>
      <c r="I2109">
        <v>1327.5886230000001</v>
      </c>
      <c r="J2109">
        <v>1325.9088135</v>
      </c>
      <c r="K2109">
        <v>2750</v>
      </c>
      <c r="L2109">
        <v>0</v>
      </c>
      <c r="M2109">
        <v>0</v>
      </c>
      <c r="N2109">
        <v>2750</v>
      </c>
    </row>
    <row r="2110" spans="1:14" x14ac:dyDescent="0.25">
      <c r="A2110">
        <v>1098.1413669999999</v>
      </c>
      <c r="B2110" s="1">
        <f>DATE(2013,5,3) + TIME(3,23,34)</f>
        <v>41397.141365740739</v>
      </c>
      <c r="C2110">
        <v>80</v>
      </c>
      <c r="D2110">
        <v>79.904685974000003</v>
      </c>
      <c r="E2110">
        <v>60</v>
      </c>
      <c r="F2110">
        <v>59.777591704999999</v>
      </c>
      <c r="G2110">
        <v>1340.8160399999999</v>
      </c>
      <c r="H2110">
        <v>1337.9078368999999</v>
      </c>
      <c r="I2110">
        <v>1327.5877685999999</v>
      </c>
      <c r="J2110">
        <v>1325.9075928</v>
      </c>
      <c r="K2110">
        <v>2750</v>
      </c>
      <c r="L2110">
        <v>0</v>
      </c>
      <c r="M2110">
        <v>0</v>
      </c>
      <c r="N2110">
        <v>2750</v>
      </c>
    </row>
    <row r="2111" spans="1:14" x14ac:dyDescent="0.25">
      <c r="A2111">
        <v>1098.2285440000001</v>
      </c>
      <c r="B2111" s="1">
        <f>DATE(2013,5,3) + TIME(5,29,6)</f>
        <v>41397.228541666664</v>
      </c>
      <c r="C2111">
        <v>80</v>
      </c>
      <c r="D2111">
        <v>79.918922424000002</v>
      </c>
      <c r="E2111">
        <v>60</v>
      </c>
      <c r="F2111">
        <v>59.770786285</v>
      </c>
      <c r="G2111">
        <v>1340.8265381000001</v>
      </c>
      <c r="H2111">
        <v>1337.9157714999999</v>
      </c>
      <c r="I2111">
        <v>1327.5867920000001</v>
      </c>
      <c r="J2111">
        <v>1325.90625</v>
      </c>
      <c r="K2111">
        <v>2750</v>
      </c>
      <c r="L2111">
        <v>0</v>
      </c>
      <c r="M2111">
        <v>0</v>
      </c>
      <c r="N2111">
        <v>2750</v>
      </c>
    </row>
    <row r="2112" spans="1:14" x14ac:dyDescent="0.25">
      <c r="A2112">
        <v>1098.31818</v>
      </c>
      <c r="B2112" s="1">
        <f>DATE(2013,5,3) + TIME(7,38,10)</f>
        <v>41397.318171296298</v>
      </c>
      <c r="C2112">
        <v>80</v>
      </c>
      <c r="D2112">
        <v>79.930664062000005</v>
      </c>
      <c r="E2112">
        <v>60</v>
      </c>
      <c r="F2112">
        <v>59.763835907000001</v>
      </c>
      <c r="G2112">
        <v>1340.8358154</v>
      </c>
      <c r="H2112">
        <v>1337.9229736</v>
      </c>
      <c r="I2112">
        <v>1327.5856934000001</v>
      </c>
      <c r="J2112">
        <v>1325.9049072</v>
      </c>
      <c r="K2112">
        <v>2750</v>
      </c>
      <c r="L2112">
        <v>0</v>
      </c>
      <c r="M2112">
        <v>0</v>
      </c>
      <c r="N2112">
        <v>2750</v>
      </c>
    </row>
    <row r="2113" spans="1:14" x14ac:dyDescent="0.25">
      <c r="A2113">
        <v>1098.409003</v>
      </c>
      <c r="B2113" s="1">
        <f>DATE(2013,5,3) + TIME(9,48,57)</f>
        <v>41397.408993055556</v>
      </c>
      <c r="C2113">
        <v>80</v>
      </c>
      <c r="D2113">
        <v>79.940185546999999</v>
      </c>
      <c r="E2113">
        <v>60</v>
      </c>
      <c r="F2113">
        <v>59.756832123000002</v>
      </c>
      <c r="G2113">
        <v>1340.8439940999999</v>
      </c>
      <c r="H2113">
        <v>1337.9295654</v>
      </c>
      <c r="I2113">
        <v>1327.5845947</v>
      </c>
      <c r="J2113">
        <v>1325.9034423999999</v>
      </c>
      <c r="K2113">
        <v>2750</v>
      </c>
      <c r="L2113">
        <v>0</v>
      </c>
      <c r="M2113">
        <v>0</v>
      </c>
      <c r="N2113">
        <v>2750</v>
      </c>
    </row>
    <row r="2114" spans="1:14" x14ac:dyDescent="0.25">
      <c r="A2114">
        <v>1098.5012280000001</v>
      </c>
      <c r="B2114" s="1">
        <f>DATE(2013,5,3) + TIME(12,1,46)</f>
        <v>41397.501226851855</v>
      </c>
      <c r="C2114">
        <v>80</v>
      </c>
      <c r="D2114">
        <v>79.947906493999994</v>
      </c>
      <c r="E2114">
        <v>60</v>
      </c>
      <c r="F2114">
        <v>59.749755858999997</v>
      </c>
      <c r="G2114">
        <v>1340.8511963000001</v>
      </c>
      <c r="H2114">
        <v>1337.9353027</v>
      </c>
      <c r="I2114">
        <v>1327.5834961</v>
      </c>
      <c r="J2114">
        <v>1325.9018555</v>
      </c>
      <c r="K2114">
        <v>2750</v>
      </c>
      <c r="L2114">
        <v>0</v>
      </c>
      <c r="M2114">
        <v>0</v>
      </c>
      <c r="N2114">
        <v>2750</v>
      </c>
    </row>
    <row r="2115" spans="1:14" x14ac:dyDescent="0.25">
      <c r="A2115">
        <v>1098.5950539999999</v>
      </c>
      <c r="B2115" s="1">
        <f>DATE(2013,5,3) + TIME(14,16,52)</f>
        <v>41397.595046296294</v>
      </c>
      <c r="C2115">
        <v>80</v>
      </c>
      <c r="D2115">
        <v>79.954162597999996</v>
      </c>
      <c r="E2115">
        <v>60</v>
      </c>
      <c r="F2115">
        <v>59.742599487</v>
      </c>
      <c r="G2115">
        <v>1340.8571777</v>
      </c>
      <c r="H2115">
        <v>1337.9404297000001</v>
      </c>
      <c r="I2115">
        <v>1327.5823975000001</v>
      </c>
      <c r="J2115">
        <v>1325.9003906</v>
      </c>
      <c r="K2115">
        <v>2750</v>
      </c>
      <c r="L2115">
        <v>0</v>
      </c>
      <c r="M2115">
        <v>0</v>
      </c>
      <c r="N2115">
        <v>2750</v>
      </c>
    </row>
    <row r="2116" spans="1:14" x14ac:dyDescent="0.25">
      <c r="A2116">
        <v>1098.6906489999999</v>
      </c>
      <c r="B2116" s="1">
        <f>DATE(2013,5,3) + TIME(16,34,32)</f>
        <v>41397.690648148149</v>
      </c>
      <c r="C2116">
        <v>80</v>
      </c>
      <c r="D2116">
        <v>79.959213257000002</v>
      </c>
      <c r="E2116">
        <v>60</v>
      </c>
      <c r="F2116">
        <v>59.735347748000002</v>
      </c>
      <c r="G2116">
        <v>1340.8623047000001</v>
      </c>
      <c r="H2116">
        <v>1337.9450684000001</v>
      </c>
      <c r="I2116">
        <v>1327.5811768000001</v>
      </c>
      <c r="J2116">
        <v>1325.8988036999999</v>
      </c>
      <c r="K2116">
        <v>2750</v>
      </c>
      <c r="L2116">
        <v>0</v>
      </c>
      <c r="M2116">
        <v>0</v>
      </c>
      <c r="N2116">
        <v>2750</v>
      </c>
    </row>
    <row r="2117" spans="1:14" x14ac:dyDescent="0.25">
      <c r="A2117">
        <v>1098.7881950000001</v>
      </c>
      <c r="B2117" s="1">
        <f>DATE(2013,5,3) + TIME(18,55,0)</f>
        <v>41397.788194444445</v>
      </c>
      <c r="C2117">
        <v>80</v>
      </c>
      <c r="D2117">
        <v>79.963287354000002</v>
      </c>
      <c r="E2117">
        <v>60</v>
      </c>
      <c r="F2117">
        <v>59.727989196999999</v>
      </c>
      <c r="G2117">
        <v>1340.8665771000001</v>
      </c>
      <c r="H2117">
        <v>1337.9490966999999</v>
      </c>
      <c r="I2117">
        <v>1327.5799560999999</v>
      </c>
      <c r="J2117">
        <v>1325.8970947</v>
      </c>
      <c r="K2117">
        <v>2750</v>
      </c>
      <c r="L2117">
        <v>0</v>
      </c>
      <c r="M2117">
        <v>0</v>
      </c>
      <c r="N2117">
        <v>2750</v>
      </c>
    </row>
    <row r="2118" spans="1:14" x14ac:dyDescent="0.25">
      <c r="A2118">
        <v>1098.8879010000001</v>
      </c>
      <c r="B2118" s="1">
        <f>DATE(2013,5,3) + TIME(21,18,34)</f>
        <v>41397.88789351852</v>
      </c>
      <c r="C2118">
        <v>80</v>
      </c>
      <c r="D2118">
        <v>79.966575622999997</v>
      </c>
      <c r="E2118">
        <v>60</v>
      </c>
      <c r="F2118">
        <v>59.720512390000003</v>
      </c>
      <c r="G2118">
        <v>1340.8698730000001</v>
      </c>
      <c r="H2118">
        <v>1337.9525146000001</v>
      </c>
      <c r="I2118">
        <v>1327.5787353999999</v>
      </c>
      <c r="J2118">
        <v>1325.8955077999999</v>
      </c>
      <c r="K2118">
        <v>2750</v>
      </c>
      <c r="L2118">
        <v>0</v>
      </c>
      <c r="M2118">
        <v>0</v>
      </c>
      <c r="N2118">
        <v>2750</v>
      </c>
    </row>
    <row r="2119" spans="1:14" x14ac:dyDescent="0.25">
      <c r="A2119">
        <v>1098.989994</v>
      </c>
      <c r="B2119" s="1">
        <f>DATE(2013,5,3) + TIME(23,45,35)</f>
        <v>41397.989988425928</v>
      </c>
      <c r="C2119">
        <v>80</v>
      </c>
      <c r="D2119">
        <v>79.969207764000004</v>
      </c>
      <c r="E2119">
        <v>60</v>
      </c>
      <c r="F2119">
        <v>59.712902069000002</v>
      </c>
      <c r="G2119">
        <v>1340.8724365</v>
      </c>
      <c r="H2119">
        <v>1337.9554443</v>
      </c>
      <c r="I2119">
        <v>1327.5773925999999</v>
      </c>
      <c r="J2119">
        <v>1325.8936768000001</v>
      </c>
      <c r="K2119">
        <v>2750</v>
      </c>
      <c r="L2119">
        <v>0</v>
      </c>
      <c r="M2119">
        <v>0</v>
      </c>
      <c r="N2119">
        <v>2750</v>
      </c>
    </row>
    <row r="2120" spans="1:14" x14ac:dyDescent="0.25">
      <c r="A2120">
        <v>1099.0947269999999</v>
      </c>
      <c r="B2120" s="1">
        <f>DATE(2013,5,4) + TIME(2,16,24)</f>
        <v>41398.094722222224</v>
      </c>
      <c r="C2120">
        <v>80</v>
      </c>
      <c r="D2120">
        <v>79.971328735</v>
      </c>
      <c r="E2120">
        <v>60</v>
      </c>
      <c r="F2120">
        <v>59.705142975000001</v>
      </c>
      <c r="G2120">
        <v>1340.8742675999999</v>
      </c>
      <c r="H2120">
        <v>1337.9578856999999</v>
      </c>
      <c r="I2120">
        <v>1327.5760498</v>
      </c>
      <c r="J2120">
        <v>1325.8918457</v>
      </c>
      <c r="K2120">
        <v>2750</v>
      </c>
      <c r="L2120">
        <v>0</v>
      </c>
      <c r="M2120">
        <v>0</v>
      </c>
      <c r="N2120">
        <v>2750</v>
      </c>
    </row>
    <row r="2121" spans="1:14" x14ac:dyDescent="0.25">
      <c r="A2121">
        <v>1099.20237</v>
      </c>
      <c r="B2121" s="1">
        <f>DATE(2013,5,4) + TIME(4,51,24)</f>
        <v>41398.202361111114</v>
      </c>
      <c r="C2121">
        <v>80</v>
      </c>
      <c r="D2121">
        <v>79.973014832000004</v>
      </c>
      <c r="E2121">
        <v>60</v>
      </c>
      <c r="F2121">
        <v>59.697212219000001</v>
      </c>
      <c r="G2121">
        <v>1340.8753661999999</v>
      </c>
      <c r="H2121">
        <v>1337.9599608999999</v>
      </c>
      <c r="I2121">
        <v>1327.5745850000001</v>
      </c>
      <c r="J2121">
        <v>1325.8900146000001</v>
      </c>
      <c r="K2121">
        <v>2750</v>
      </c>
      <c r="L2121">
        <v>0</v>
      </c>
      <c r="M2121">
        <v>0</v>
      </c>
      <c r="N2121">
        <v>2750</v>
      </c>
    </row>
    <row r="2122" spans="1:14" x14ac:dyDescent="0.25">
      <c r="A2122">
        <v>1099.313234</v>
      </c>
      <c r="B2122" s="1">
        <f>DATE(2013,5,4) + TIME(7,31,3)</f>
        <v>41398.31322916667</v>
      </c>
      <c r="C2122">
        <v>80</v>
      </c>
      <c r="D2122">
        <v>79.974365234000004</v>
      </c>
      <c r="E2122">
        <v>60</v>
      </c>
      <c r="F2122">
        <v>59.689098358000003</v>
      </c>
      <c r="G2122">
        <v>1340.8743896000001</v>
      </c>
      <c r="H2122">
        <v>1337.9606934000001</v>
      </c>
      <c r="I2122">
        <v>1327.5731201000001</v>
      </c>
      <c r="J2122">
        <v>1325.8879394999999</v>
      </c>
      <c r="K2122">
        <v>2750</v>
      </c>
      <c r="L2122">
        <v>0</v>
      </c>
      <c r="M2122">
        <v>0</v>
      </c>
      <c r="N2122">
        <v>2750</v>
      </c>
    </row>
    <row r="2123" spans="1:14" x14ac:dyDescent="0.25">
      <c r="A2123">
        <v>1099.4279329999999</v>
      </c>
      <c r="B2123" s="1">
        <f>DATE(2013,5,4) + TIME(10,16,13)</f>
        <v>41398.427928240744</v>
      </c>
      <c r="C2123">
        <v>80</v>
      </c>
      <c r="D2123">
        <v>79.975440978999998</v>
      </c>
      <c r="E2123">
        <v>60</v>
      </c>
      <c r="F2123">
        <v>59.680755615000002</v>
      </c>
      <c r="G2123">
        <v>1340.8728027</v>
      </c>
      <c r="H2123">
        <v>1337.9611815999999</v>
      </c>
      <c r="I2123">
        <v>1327.5716553</v>
      </c>
      <c r="J2123">
        <v>1325.8858643000001</v>
      </c>
      <c r="K2123">
        <v>2750</v>
      </c>
      <c r="L2123">
        <v>0</v>
      </c>
      <c r="M2123">
        <v>0</v>
      </c>
      <c r="N2123">
        <v>2750</v>
      </c>
    </row>
    <row r="2124" spans="1:14" x14ac:dyDescent="0.25">
      <c r="A2124">
        <v>1099.5468840000001</v>
      </c>
      <c r="B2124" s="1">
        <f>DATE(2013,5,4) + TIME(13,7,30)</f>
        <v>41398.546875</v>
      </c>
      <c r="C2124">
        <v>80</v>
      </c>
      <c r="D2124">
        <v>79.976295471</v>
      </c>
      <c r="E2124">
        <v>60</v>
      </c>
      <c r="F2124">
        <v>59.672168732000003</v>
      </c>
      <c r="G2124">
        <v>1340.8708495999999</v>
      </c>
      <c r="H2124">
        <v>1337.9613036999999</v>
      </c>
      <c r="I2124">
        <v>1327.5700684000001</v>
      </c>
      <c r="J2124">
        <v>1325.8837891000001</v>
      </c>
      <c r="K2124">
        <v>2750</v>
      </c>
      <c r="L2124">
        <v>0</v>
      </c>
      <c r="M2124">
        <v>0</v>
      </c>
      <c r="N2124">
        <v>2750</v>
      </c>
    </row>
    <row r="2125" spans="1:14" x14ac:dyDescent="0.25">
      <c r="A2125">
        <v>1099.6703259999999</v>
      </c>
      <c r="B2125" s="1">
        <f>DATE(2013,5,4) + TIME(16,5,16)</f>
        <v>41398.670324074075</v>
      </c>
      <c r="C2125">
        <v>80</v>
      </c>
      <c r="D2125">
        <v>79.976966857999997</v>
      </c>
      <c r="E2125">
        <v>60</v>
      </c>
      <c r="F2125">
        <v>59.663311004999997</v>
      </c>
      <c r="G2125">
        <v>1340.8684082</v>
      </c>
      <c r="H2125">
        <v>1337.9611815999999</v>
      </c>
      <c r="I2125">
        <v>1327.5683594</v>
      </c>
      <c r="J2125">
        <v>1325.8814697</v>
      </c>
      <c r="K2125">
        <v>2750</v>
      </c>
      <c r="L2125">
        <v>0</v>
      </c>
      <c r="M2125">
        <v>0</v>
      </c>
      <c r="N2125">
        <v>2750</v>
      </c>
    </row>
    <row r="2126" spans="1:14" x14ac:dyDescent="0.25">
      <c r="A2126">
        <v>1099.7969969999999</v>
      </c>
      <c r="B2126" s="1">
        <f>DATE(2013,5,4) + TIME(19,7,40)</f>
        <v>41398.796990740739</v>
      </c>
      <c r="C2126">
        <v>80</v>
      </c>
      <c r="D2126">
        <v>79.977485657000003</v>
      </c>
      <c r="E2126">
        <v>60</v>
      </c>
      <c r="F2126">
        <v>59.654273987000003</v>
      </c>
      <c r="G2126">
        <v>1340.8654785000001</v>
      </c>
      <c r="H2126">
        <v>1337.9609375</v>
      </c>
      <c r="I2126">
        <v>1327.5666504000001</v>
      </c>
      <c r="J2126">
        <v>1325.8790283000001</v>
      </c>
      <c r="K2126">
        <v>2750</v>
      </c>
      <c r="L2126">
        <v>0</v>
      </c>
      <c r="M2126">
        <v>0</v>
      </c>
      <c r="N2126">
        <v>2750</v>
      </c>
    </row>
    <row r="2127" spans="1:14" x14ac:dyDescent="0.25">
      <c r="A2127">
        <v>1099.927267</v>
      </c>
      <c r="B2127" s="1">
        <f>DATE(2013,5,4) + TIME(22,15,15)</f>
        <v>41398.927256944444</v>
      </c>
      <c r="C2127">
        <v>80</v>
      </c>
      <c r="D2127">
        <v>79.977897643999995</v>
      </c>
      <c r="E2127">
        <v>60</v>
      </c>
      <c r="F2127">
        <v>59.645027161000002</v>
      </c>
      <c r="G2127">
        <v>1340.8623047000001</v>
      </c>
      <c r="H2127">
        <v>1337.9603271000001</v>
      </c>
      <c r="I2127">
        <v>1327.5648193</v>
      </c>
      <c r="J2127">
        <v>1325.8765868999999</v>
      </c>
      <c r="K2127">
        <v>2750</v>
      </c>
      <c r="L2127">
        <v>0</v>
      </c>
      <c r="M2127">
        <v>0</v>
      </c>
      <c r="N2127">
        <v>2750</v>
      </c>
    </row>
    <row r="2128" spans="1:14" x14ac:dyDescent="0.25">
      <c r="A2128">
        <v>1100.0614849999999</v>
      </c>
      <c r="B2128" s="1">
        <f>DATE(2013,5,5) + TIME(1,28,32)</f>
        <v>41399.061481481483</v>
      </c>
      <c r="C2128">
        <v>80</v>
      </c>
      <c r="D2128">
        <v>79.978210449000002</v>
      </c>
      <c r="E2128">
        <v>60</v>
      </c>
      <c r="F2128">
        <v>59.635555267000001</v>
      </c>
      <c r="G2128">
        <v>1340.8586425999999</v>
      </c>
      <c r="H2128">
        <v>1337.9595947</v>
      </c>
      <c r="I2128">
        <v>1327.5628661999999</v>
      </c>
      <c r="J2128">
        <v>1325.8740233999999</v>
      </c>
      <c r="K2128">
        <v>2750</v>
      </c>
      <c r="L2128">
        <v>0</v>
      </c>
      <c r="M2128">
        <v>0</v>
      </c>
      <c r="N2128">
        <v>2750</v>
      </c>
    </row>
    <row r="2129" spans="1:14" x14ac:dyDescent="0.25">
      <c r="A2129">
        <v>1100.2000390000001</v>
      </c>
      <c r="B2129" s="1">
        <f>DATE(2013,5,5) + TIME(4,48,3)</f>
        <v>41399.20003472222</v>
      </c>
      <c r="C2129">
        <v>80</v>
      </c>
      <c r="D2129">
        <v>79.978454589999998</v>
      </c>
      <c r="E2129">
        <v>60</v>
      </c>
      <c r="F2129">
        <v>59.625835418999998</v>
      </c>
      <c r="G2129">
        <v>1340.8544922000001</v>
      </c>
      <c r="H2129">
        <v>1337.9587402</v>
      </c>
      <c r="I2129">
        <v>1327.5609131000001</v>
      </c>
      <c r="J2129">
        <v>1325.8712158000001</v>
      </c>
      <c r="K2129">
        <v>2750</v>
      </c>
      <c r="L2129">
        <v>0</v>
      </c>
      <c r="M2129">
        <v>0</v>
      </c>
      <c r="N2129">
        <v>2750</v>
      </c>
    </row>
    <row r="2130" spans="1:14" x14ac:dyDescent="0.25">
      <c r="A2130">
        <v>1100.343361</v>
      </c>
      <c r="B2130" s="1">
        <f>DATE(2013,5,5) + TIME(8,14,26)</f>
        <v>41399.343356481484</v>
      </c>
      <c r="C2130">
        <v>80</v>
      </c>
      <c r="D2130">
        <v>79.978637695000003</v>
      </c>
      <c r="E2130">
        <v>60</v>
      </c>
      <c r="F2130">
        <v>59.615844727000002</v>
      </c>
      <c r="G2130">
        <v>1340.8500977000001</v>
      </c>
      <c r="H2130">
        <v>1337.9575195</v>
      </c>
      <c r="I2130">
        <v>1327.5587158000001</v>
      </c>
      <c r="J2130">
        <v>1325.8684082</v>
      </c>
      <c r="K2130">
        <v>2750</v>
      </c>
      <c r="L2130">
        <v>0</v>
      </c>
      <c r="M2130">
        <v>0</v>
      </c>
      <c r="N2130">
        <v>2750</v>
      </c>
    </row>
    <row r="2131" spans="1:14" x14ac:dyDescent="0.25">
      <c r="A2131">
        <v>1100.4919500000001</v>
      </c>
      <c r="B2131" s="1">
        <f>DATE(2013,5,5) + TIME(11,48,24)</f>
        <v>41399.491944444446</v>
      </c>
      <c r="C2131">
        <v>80</v>
      </c>
      <c r="D2131">
        <v>79.978782654</v>
      </c>
      <c r="E2131">
        <v>60</v>
      </c>
      <c r="F2131">
        <v>59.605548859000002</v>
      </c>
      <c r="G2131">
        <v>1340.8452147999999</v>
      </c>
      <c r="H2131">
        <v>1337.9561768000001</v>
      </c>
      <c r="I2131">
        <v>1327.5566406</v>
      </c>
      <c r="J2131">
        <v>1325.8653564000001</v>
      </c>
      <c r="K2131">
        <v>2750</v>
      </c>
      <c r="L2131">
        <v>0</v>
      </c>
      <c r="M2131">
        <v>0</v>
      </c>
      <c r="N2131">
        <v>2750</v>
      </c>
    </row>
    <row r="2132" spans="1:14" x14ac:dyDescent="0.25">
      <c r="A2132">
        <v>1100.645792</v>
      </c>
      <c r="B2132" s="1">
        <f>DATE(2013,5,5) + TIME(15,29,56)</f>
        <v>41399.645787037036</v>
      </c>
      <c r="C2132">
        <v>80</v>
      </c>
      <c r="D2132">
        <v>79.978889464999995</v>
      </c>
      <c r="E2132">
        <v>60</v>
      </c>
      <c r="F2132">
        <v>59.594959258999999</v>
      </c>
      <c r="G2132">
        <v>1340.8400879000001</v>
      </c>
      <c r="H2132">
        <v>1337.9547118999999</v>
      </c>
      <c r="I2132">
        <v>1327.5543213000001</v>
      </c>
      <c r="J2132">
        <v>1325.8623047000001</v>
      </c>
      <c r="K2132">
        <v>2750</v>
      </c>
      <c r="L2132">
        <v>0</v>
      </c>
      <c r="M2132">
        <v>0</v>
      </c>
      <c r="N2132">
        <v>2750</v>
      </c>
    </row>
    <row r="2133" spans="1:14" x14ac:dyDescent="0.25">
      <c r="A2133">
        <v>1100.804122</v>
      </c>
      <c r="B2133" s="1">
        <f>DATE(2013,5,5) + TIME(19,17,56)</f>
        <v>41399.804120370369</v>
      </c>
      <c r="C2133">
        <v>80</v>
      </c>
      <c r="D2133">
        <v>79.978965759000005</v>
      </c>
      <c r="E2133">
        <v>60</v>
      </c>
      <c r="F2133">
        <v>59.584114075000002</v>
      </c>
      <c r="G2133">
        <v>1340.8345947</v>
      </c>
      <c r="H2133">
        <v>1337.9530029</v>
      </c>
      <c r="I2133">
        <v>1327.5518798999999</v>
      </c>
      <c r="J2133">
        <v>1325.8590088000001</v>
      </c>
      <c r="K2133">
        <v>2750</v>
      </c>
      <c r="L2133">
        <v>0</v>
      </c>
      <c r="M2133">
        <v>0</v>
      </c>
      <c r="N2133">
        <v>2750</v>
      </c>
    </row>
    <row r="2134" spans="1:14" x14ac:dyDescent="0.25">
      <c r="A2134">
        <v>1100.96487</v>
      </c>
      <c r="B2134" s="1">
        <f>DATE(2013,5,5) + TIME(23,9,24)</f>
        <v>41399.964861111112</v>
      </c>
      <c r="C2134">
        <v>80</v>
      </c>
      <c r="D2134">
        <v>79.979026794000006</v>
      </c>
      <c r="E2134">
        <v>60</v>
      </c>
      <c r="F2134">
        <v>59.573135376000003</v>
      </c>
      <c r="G2134">
        <v>1340.8288574000001</v>
      </c>
      <c r="H2134">
        <v>1337.9511719</v>
      </c>
      <c r="I2134">
        <v>1327.5494385</v>
      </c>
      <c r="J2134">
        <v>1325.8554687999999</v>
      </c>
      <c r="K2134">
        <v>2750</v>
      </c>
      <c r="L2134">
        <v>0</v>
      </c>
      <c r="M2134">
        <v>0</v>
      </c>
      <c r="N2134">
        <v>2750</v>
      </c>
    </row>
    <row r="2135" spans="1:14" x14ac:dyDescent="0.25">
      <c r="A2135">
        <v>1101.1281369999999</v>
      </c>
      <c r="B2135" s="1">
        <f>DATE(2013,5,6) + TIME(3,4,30)</f>
        <v>41400.128125000003</v>
      </c>
      <c r="C2135">
        <v>80</v>
      </c>
      <c r="D2135">
        <v>79.979064941000004</v>
      </c>
      <c r="E2135">
        <v>60</v>
      </c>
      <c r="F2135">
        <v>59.562019348</v>
      </c>
      <c r="G2135">
        <v>1340.822876</v>
      </c>
      <c r="H2135">
        <v>1337.9493408000001</v>
      </c>
      <c r="I2135">
        <v>1327.5467529</v>
      </c>
      <c r="J2135">
        <v>1325.8519286999999</v>
      </c>
      <c r="K2135">
        <v>2750</v>
      </c>
      <c r="L2135">
        <v>0</v>
      </c>
      <c r="M2135">
        <v>0</v>
      </c>
      <c r="N2135">
        <v>2750</v>
      </c>
    </row>
    <row r="2136" spans="1:14" x14ac:dyDescent="0.25">
      <c r="A2136">
        <v>1101.2943640000001</v>
      </c>
      <c r="B2136" s="1">
        <f>DATE(2013,5,6) + TIME(7,3,53)</f>
        <v>41400.294363425928</v>
      </c>
      <c r="C2136">
        <v>80</v>
      </c>
      <c r="D2136">
        <v>79.979087829999997</v>
      </c>
      <c r="E2136">
        <v>60</v>
      </c>
      <c r="F2136">
        <v>59.550750731999997</v>
      </c>
      <c r="G2136">
        <v>1340.8167725000001</v>
      </c>
      <c r="H2136">
        <v>1337.9473877</v>
      </c>
      <c r="I2136">
        <v>1327.5441894999999</v>
      </c>
      <c r="J2136">
        <v>1325.8483887</v>
      </c>
      <c r="K2136">
        <v>2750</v>
      </c>
      <c r="L2136">
        <v>0</v>
      </c>
      <c r="M2136">
        <v>0</v>
      </c>
      <c r="N2136">
        <v>2750</v>
      </c>
    </row>
    <row r="2137" spans="1:14" x14ac:dyDescent="0.25">
      <c r="A2137">
        <v>1101.462671</v>
      </c>
      <c r="B2137" s="1">
        <f>DATE(2013,5,6) + TIME(11,6,14)</f>
        <v>41400.46266203704</v>
      </c>
      <c r="C2137">
        <v>80</v>
      </c>
      <c r="D2137">
        <v>79.979103088000002</v>
      </c>
      <c r="E2137">
        <v>60</v>
      </c>
      <c r="F2137">
        <v>59.539375305</v>
      </c>
      <c r="G2137">
        <v>1340.8105469</v>
      </c>
      <c r="H2137">
        <v>1337.9453125</v>
      </c>
      <c r="I2137">
        <v>1327.5415039</v>
      </c>
      <c r="J2137">
        <v>1325.8446045000001</v>
      </c>
      <c r="K2137">
        <v>2750</v>
      </c>
      <c r="L2137">
        <v>0</v>
      </c>
      <c r="M2137">
        <v>0</v>
      </c>
      <c r="N2137">
        <v>2750</v>
      </c>
    </row>
    <row r="2138" spans="1:14" x14ac:dyDescent="0.25">
      <c r="A2138">
        <v>1101.6324810000001</v>
      </c>
      <c r="B2138" s="1">
        <f>DATE(2013,5,6) + TIME(15,10,46)</f>
        <v>41400.632476851853</v>
      </c>
      <c r="C2138">
        <v>80</v>
      </c>
      <c r="D2138">
        <v>79.979110718000001</v>
      </c>
      <c r="E2138">
        <v>60</v>
      </c>
      <c r="F2138">
        <v>59.527931213000002</v>
      </c>
      <c r="G2138">
        <v>1340.8041992000001</v>
      </c>
      <c r="H2138">
        <v>1337.9431152</v>
      </c>
      <c r="I2138">
        <v>1327.5386963000001</v>
      </c>
      <c r="J2138">
        <v>1325.8406981999999</v>
      </c>
      <c r="K2138">
        <v>2750</v>
      </c>
      <c r="L2138">
        <v>0</v>
      </c>
      <c r="M2138">
        <v>0</v>
      </c>
      <c r="N2138">
        <v>2750</v>
      </c>
    </row>
    <row r="2139" spans="1:14" x14ac:dyDescent="0.25">
      <c r="A2139">
        <v>1101.8041900000001</v>
      </c>
      <c r="B2139" s="1">
        <f>DATE(2013,5,6) + TIME(19,18,2)</f>
        <v>41400.804189814815</v>
      </c>
      <c r="C2139">
        <v>80</v>
      </c>
      <c r="D2139">
        <v>79.979110718000001</v>
      </c>
      <c r="E2139">
        <v>60</v>
      </c>
      <c r="F2139">
        <v>59.516403197999999</v>
      </c>
      <c r="G2139">
        <v>1340.7978516000001</v>
      </c>
      <c r="H2139">
        <v>1337.9410399999999</v>
      </c>
      <c r="I2139">
        <v>1327.5357666</v>
      </c>
      <c r="J2139">
        <v>1325.8367920000001</v>
      </c>
      <c r="K2139">
        <v>2750</v>
      </c>
      <c r="L2139">
        <v>0</v>
      </c>
      <c r="M2139">
        <v>0</v>
      </c>
      <c r="N2139">
        <v>2750</v>
      </c>
    </row>
    <row r="2140" spans="1:14" x14ac:dyDescent="0.25">
      <c r="A2140">
        <v>1101.9781620000001</v>
      </c>
      <c r="B2140" s="1">
        <f>DATE(2013,5,6) + TIME(23,28,33)</f>
        <v>41400.978159722225</v>
      </c>
      <c r="C2140">
        <v>80</v>
      </c>
      <c r="D2140">
        <v>79.979103088000002</v>
      </c>
      <c r="E2140">
        <v>60</v>
      </c>
      <c r="F2140">
        <v>59.504776001000003</v>
      </c>
      <c r="G2140">
        <v>1340.7913818</v>
      </c>
      <c r="H2140">
        <v>1337.9388428</v>
      </c>
      <c r="I2140">
        <v>1327.5329589999999</v>
      </c>
      <c r="J2140">
        <v>1325.8327637</v>
      </c>
      <c r="K2140">
        <v>2750</v>
      </c>
      <c r="L2140">
        <v>0</v>
      </c>
      <c r="M2140">
        <v>0</v>
      </c>
      <c r="N2140">
        <v>2750</v>
      </c>
    </row>
    <row r="2141" spans="1:14" x14ac:dyDescent="0.25">
      <c r="A2141">
        <v>1102.154808</v>
      </c>
      <c r="B2141" s="1">
        <f>DATE(2013,5,7) + TIME(3,42,55)</f>
        <v>41401.154803240737</v>
      </c>
      <c r="C2141">
        <v>80</v>
      </c>
      <c r="D2141">
        <v>79.979095459000007</v>
      </c>
      <c r="E2141">
        <v>60</v>
      </c>
      <c r="F2141">
        <v>59.493022918999998</v>
      </c>
      <c r="G2141">
        <v>1340.7849120999999</v>
      </c>
      <c r="H2141">
        <v>1337.9366454999999</v>
      </c>
      <c r="I2141">
        <v>1327.5299072</v>
      </c>
      <c r="J2141">
        <v>1325.8286132999999</v>
      </c>
      <c r="K2141">
        <v>2750</v>
      </c>
      <c r="L2141">
        <v>0</v>
      </c>
      <c r="M2141">
        <v>0</v>
      </c>
      <c r="N2141">
        <v>2750</v>
      </c>
    </row>
    <row r="2142" spans="1:14" x14ac:dyDescent="0.25">
      <c r="A2142">
        <v>1102.334554</v>
      </c>
      <c r="B2142" s="1">
        <f>DATE(2013,5,7) + TIME(8,1,45)</f>
        <v>41401.334548611114</v>
      </c>
      <c r="C2142">
        <v>80</v>
      </c>
      <c r="D2142">
        <v>79.979080199999999</v>
      </c>
      <c r="E2142">
        <v>60</v>
      </c>
      <c r="F2142">
        <v>59.481124878000003</v>
      </c>
      <c r="G2142">
        <v>1340.7783202999999</v>
      </c>
      <c r="H2142">
        <v>1337.9343262</v>
      </c>
      <c r="I2142">
        <v>1327.5268555</v>
      </c>
      <c r="J2142">
        <v>1325.8243408000001</v>
      </c>
      <c r="K2142">
        <v>2750</v>
      </c>
      <c r="L2142">
        <v>0</v>
      </c>
      <c r="M2142">
        <v>0</v>
      </c>
      <c r="N2142">
        <v>2750</v>
      </c>
    </row>
    <row r="2143" spans="1:14" x14ac:dyDescent="0.25">
      <c r="A2143">
        <v>1102.51785</v>
      </c>
      <c r="B2143" s="1">
        <f>DATE(2013,5,7) + TIME(12,25,42)</f>
        <v>41401.517847222225</v>
      </c>
      <c r="C2143">
        <v>80</v>
      </c>
      <c r="D2143">
        <v>79.979064941000004</v>
      </c>
      <c r="E2143">
        <v>60</v>
      </c>
      <c r="F2143">
        <v>59.469062805</v>
      </c>
      <c r="G2143">
        <v>1340.7716064000001</v>
      </c>
      <c r="H2143">
        <v>1337.9321289</v>
      </c>
      <c r="I2143">
        <v>1327.5238036999999</v>
      </c>
      <c r="J2143">
        <v>1325.8200684000001</v>
      </c>
      <c r="K2143">
        <v>2750</v>
      </c>
      <c r="L2143">
        <v>0</v>
      </c>
      <c r="M2143">
        <v>0</v>
      </c>
      <c r="N2143">
        <v>2750</v>
      </c>
    </row>
    <row r="2144" spans="1:14" x14ac:dyDescent="0.25">
      <c r="A2144">
        <v>1102.7051799999999</v>
      </c>
      <c r="B2144" s="1">
        <f>DATE(2013,5,7) + TIME(16,55,27)</f>
        <v>41401.70517361111</v>
      </c>
      <c r="C2144">
        <v>80</v>
      </c>
      <c r="D2144">
        <v>79.979042053000001</v>
      </c>
      <c r="E2144">
        <v>60</v>
      </c>
      <c r="F2144">
        <v>59.456806182999998</v>
      </c>
      <c r="G2144">
        <v>1340.7648925999999</v>
      </c>
      <c r="H2144">
        <v>1337.9298096</v>
      </c>
      <c r="I2144">
        <v>1327.5205077999999</v>
      </c>
      <c r="J2144">
        <v>1325.8155518000001</v>
      </c>
      <c r="K2144">
        <v>2750</v>
      </c>
      <c r="L2144">
        <v>0</v>
      </c>
      <c r="M2144">
        <v>0</v>
      </c>
      <c r="N2144">
        <v>2750</v>
      </c>
    </row>
    <row r="2145" spans="1:14" x14ac:dyDescent="0.25">
      <c r="A2145">
        <v>1102.89707</v>
      </c>
      <c r="B2145" s="1">
        <f>DATE(2013,5,7) + TIME(21,31,46)</f>
        <v>41401.897060185183</v>
      </c>
      <c r="C2145">
        <v>80</v>
      </c>
      <c r="D2145">
        <v>79.979019164999997</v>
      </c>
      <c r="E2145">
        <v>60</v>
      </c>
      <c r="F2145">
        <v>59.444328308000003</v>
      </c>
      <c r="G2145">
        <v>1340.7580565999999</v>
      </c>
      <c r="H2145">
        <v>1337.9274902</v>
      </c>
      <c r="I2145">
        <v>1327.5172118999999</v>
      </c>
      <c r="J2145">
        <v>1325.8109131000001</v>
      </c>
      <c r="K2145">
        <v>2750</v>
      </c>
      <c r="L2145">
        <v>0</v>
      </c>
      <c r="M2145">
        <v>0</v>
      </c>
      <c r="N2145">
        <v>2750</v>
      </c>
    </row>
    <row r="2146" spans="1:14" x14ac:dyDescent="0.25">
      <c r="A2146">
        <v>1103.094971</v>
      </c>
      <c r="B2146" s="1">
        <f>DATE(2013,5,8) + TIME(2,16,45)</f>
        <v>41402.094965277778</v>
      </c>
      <c r="C2146">
        <v>80</v>
      </c>
      <c r="D2146">
        <v>79.978996276999993</v>
      </c>
      <c r="E2146">
        <v>60</v>
      </c>
      <c r="F2146">
        <v>59.431560515999998</v>
      </c>
      <c r="G2146">
        <v>1340.7512207</v>
      </c>
      <c r="H2146">
        <v>1337.9250488</v>
      </c>
      <c r="I2146">
        <v>1327.5137939000001</v>
      </c>
      <c r="J2146">
        <v>1325.8060303</v>
      </c>
      <c r="K2146">
        <v>2750</v>
      </c>
      <c r="L2146">
        <v>0</v>
      </c>
      <c r="M2146">
        <v>0</v>
      </c>
      <c r="N2146">
        <v>2750</v>
      </c>
    </row>
    <row r="2147" spans="1:14" x14ac:dyDescent="0.25">
      <c r="A2147">
        <v>1103.2983819999999</v>
      </c>
      <c r="B2147" s="1">
        <f>DATE(2013,5,8) + TIME(7,9,40)</f>
        <v>41402.298379629632</v>
      </c>
      <c r="C2147">
        <v>80</v>
      </c>
      <c r="D2147">
        <v>79.978973389000004</v>
      </c>
      <c r="E2147">
        <v>60</v>
      </c>
      <c r="F2147">
        <v>59.418518065999997</v>
      </c>
      <c r="G2147">
        <v>1340.7441406</v>
      </c>
      <c r="H2147">
        <v>1337.9227295000001</v>
      </c>
      <c r="I2147">
        <v>1327.5101318</v>
      </c>
      <c r="J2147">
        <v>1325.8010254000001</v>
      </c>
      <c r="K2147">
        <v>2750</v>
      </c>
      <c r="L2147">
        <v>0</v>
      </c>
      <c r="M2147">
        <v>0</v>
      </c>
      <c r="N2147">
        <v>2750</v>
      </c>
    </row>
    <row r="2148" spans="1:14" x14ac:dyDescent="0.25">
      <c r="A2148">
        <v>1103.504831</v>
      </c>
      <c r="B2148" s="1">
        <f>DATE(2013,5,8) + TIME(12,6,57)</f>
        <v>41402.504826388889</v>
      </c>
      <c r="C2148">
        <v>80</v>
      </c>
      <c r="D2148">
        <v>79.978942871000001</v>
      </c>
      <c r="E2148">
        <v>60</v>
      </c>
      <c r="F2148">
        <v>59.405330657999997</v>
      </c>
      <c r="G2148">
        <v>1340.7370605000001</v>
      </c>
      <c r="H2148">
        <v>1337.9202881000001</v>
      </c>
      <c r="I2148">
        <v>1327.5064697</v>
      </c>
      <c r="J2148">
        <v>1325.7958983999999</v>
      </c>
      <c r="K2148">
        <v>2750</v>
      </c>
      <c r="L2148">
        <v>0</v>
      </c>
      <c r="M2148">
        <v>0</v>
      </c>
      <c r="N2148">
        <v>2750</v>
      </c>
    </row>
    <row r="2149" spans="1:14" x14ac:dyDescent="0.25">
      <c r="A2149">
        <v>1103.7147930000001</v>
      </c>
      <c r="B2149" s="1">
        <f>DATE(2013,5,8) + TIME(17,9,18)</f>
        <v>41402.714791666665</v>
      </c>
      <c r="C2149">
        <v>80</v>
      </c>
      <c r="D2149">
        <v>79.978919982999997</v>
      </c>
      <c r="E2149">
        <v>60</v>
      </c>
      <c r="F2149">
        <v>59.391979218000003</v>
      </c>
      <c r="G2149">
        <v>1340.7298584</v>
      </c>
      <c r="H2149">
        <v>1337.9178466999999</v>
      </c>
      <c r="I2149">
        <v>1327.5026855000001</v>
      </c>
      <c r="J2149">
        <v>1325.7906493999999</v>
      </c>
      <c r="K2149">
        <v>2750</v>
      </c>
      <c r="L2149">
        <v>0</v>
      </c>
      <c r="M2149">
        <v>0</v>
      </c>
      <c r="N2149">
        <v>2750</v>
      </c>
    </row>
    <row r="2150" spans="1:14" x14ac:dyDescent="0.25">
      <c r="A2150">
        <v>1103.9287280000001</v>
      </c>
      <c r="B2150" s="1">
        <f>DATE(2013,5,8) + TIME(22,17,22)</f>
        <v>41402.928726851853</v>
      </c>
      <c r="C2150">
        <v>80</v>
      </c>
      <c r="D2150">
        <v>79.978889464999995</v>
      </c>
      <c r="E2150">
        <v>60</v>
      </c>
      <c r="F2150">
        <v>59.378444672000001</v>
      </c>
      <c r="G2150">
        <v>1340.7227783000001</v>
      </c>
      <c r="H2150">
        <v>1337.9154053</v>
      </c>
      <c r="I2150">
        <v>1327.4987793</v>
      </c>
      <c r="J2150">
        <v>1325.7851562000001</v>
      </c>
      <c r="K2150">
        <v>2750</v>
      </c>
      <c r="L2150">
        <v>0</v>
      </c>
      <c r="M2150">
        <v>0</v>
      </c>
      <c r="N2150">
        <v>2750</v>
      </c>
    </row>
    <row r="2151" spans="1:14" x14ac:dyDescent="0.25">
      <c r="A2151">
        <v>1104.1471349999999</v>
      </c>
      <c r="B2151" s="1">
        <f>DATE(2013,5,9) + TIME(3,31,52)</f>
        <v>41403.147129629629</v>
      </c>
      <c r="C2151">
        <v>80</v>
      </c>
      <c r="D2151">
        <v>79.978858947999996</v>
      </c>
      <c r="E2151">
        <v>60</v>
      </c>
      <c r="F2151">
        <v>59.364704132</v>
      </c>
      <c r="G2151">
        <v>1340.7155762</v>
      </c>
      <c r="H2151">
        <v>1337.9129639</v>
      </c>
      <c r="I2151">
        <v>1327.4948730000001</v>
      </c>
      <c r="J2151">
        <v>1325.7795410000001</v>
      </c>
      <c r="K2151">
        <v>2750</v>
      </c>
      <c r="L2151">
        <v>0</v>
      </c>
      <c r="M2151">
        <v>0</v>
      </c>
      <c r="N2151">
        <v>2750</v>
      </c>
    </row>
    <row r="2152" spans="1:14" x14ac:dyDescent="0.25">
      <c r="A2152">
        <v>1104.370557</v>
      </c>
      <c r="B2152" s="1">
        <f>DATE(2013,5,9) + TIME(8,53,36)</f>
        <v>41403.370555555557</v>
      </c>
      <c r="C2152">
        <v>80</v>
      </c>
      <c r="D2152">
        <v>79.978828429999993</v>
      </c>
      <c r="E2152">
        <v>60</v>
      </c>
      <c r="F2152">
        <v>59.350730896000002</v>
      </c>
      <c r="G2152">
        <v>1340.708374</v>
      </c>
      <c r="H2152">
        <v>1337.9105225000001</v>
      </c>
      <c r="I2152">
        <v>1327.4907227000001</v>
      </c>
      <c r="J2152">
        <v>1325.7738036999999</v>
      </c>
      <c r="K2152">
        <v>2750</v>
      </c>
      <c r="L2152">
        <v>0</v>
      </c>
      <c r="M2152">
        <v>0</v>
      </c>
      <c r="N2152">
        <v>2750</v>
      </c>
    </row>
    <row r="2153" spans="1:14" x14ac:dyDescent="0.25">
      <c r="A2153">
        <v>1104.5995800000001</v>
      </c>
      <c r="B2153" s="1">
        <f>DATE(2013,5,9) + TIME(14,23,23)</f>
        <v>41403.59957175926</v>
      </c>
      <c r="C2153">
        <v>80</v>
      </c>
      <c r="D2153">
        <v>79.978790282999995</v>
      </c>
      <c r="E2153">
        <v>60</v>
      </c>
      <c r="F2153">
        <v>59.336498259999999</v>
      </c>
      <c r="G2153">
        <v>1340.7011719</v>
      </c>
      <c r="H2153">
        <v>1337.9080810999999</v>
      </c>
      <c r="I2153">
        <v>1327.4865723</v>
      </c>
      <c r="J2153">
        <v>1325.7679443</v>
      </c>
      <c r="K2153">
        <v>2750</v>
      </c>
      <c r="L2153">
        <v>0</v>
      </c>
      <c r="M2153">
        <v>0</v>
      </c>
      <c r="N2153">
        <v>2750</v>
      </c>
    </row>
    <row r="2154" spans="1:14" x14ac:dyDescent="0.25">
      <c r="A2154">
        <v>1104.834854</v>
      </c>
      <c r="B2154" s="1">
        <f>DATE(2013,5,9) + TIME(20,2,11)</f>
        <v>41403.834849537037</v>
      </c>
      <c r="C2154">
        <v>80</v>
      </c>
      <c r="D2154">
        <v>79.978759765999996</v>
      </c>
      <c r="E2154">
        <v>60</v>
      </c>
      <c r="F2154">
        <v>59.321979523000003</v>
      </c>
      <c r="G2154">
        <v>1340.6938477000001</v>
      </c>
      <c r="H2154">
        <v>1337.9056396000001</v>
      </c>
      <c r="I2154">
        <v>1327.4821777</v>
      </c>
      <c r="J2154">
        <v>1325.7617187999999</v>
      </c>
      <c r="K2154">
        <v>2750</v>
      </c>
      <c r="L2154">
        <v>0</v>
      </c>
      <c r="M2154">
        <v>0</v>
      </c>
      <c r="N2154">
        <v>2750</v>
      </c>
    </row>
    <row r="2155" spans="1:14" x14ac:dyDescent="0.25">
      <c r="A2155">
        <v>1105.076172</v>
      </c>
      <c r="B2155" s="1">
        <f>DATE(2013,5,10) + TIME(1,49,41)</f>
        <v>41404.076168981483</v>
      </c>
      <c r="C2155">
        <v>80</v>
      </c>
      <c r="D2155">
        <v>79.978729247999993</v>
      </c>
      <c r="E2155">
        <v>60</v>
      </c>
      <c r="F2155">
        <v>59.307174683</v>
      </c>
      <c r="G2155">
        <v>1340.6864014</v>
      </c>
      <c r="H2155">
        <v>1337.9031981999999</v>
      </c>
      <c r="I2155">
        <v>1327.4776611</v>
      </c>
      <c r="J2155">
        <v>1325.7554932</v>
      </c>
      <c r="K2155">
        <v>2750</v>
      </c>
      <c r="L2155">
        <v>0</v>
      </c>
      <c r="M2155">
        <v>0</v>
      </c>
      <c r="N2155">
        <v>2750</v>
      </c>
    </row>
    <row r="2156" spans="1:14" x14ac:dyDescent="0.25">
      <c r="A2156">
        <v>1105.3213740000001</v>
      </c>
      <c r="B2156" s="1">
        <f>DATE(2013,5,10) + TIME(7,42,46)</f>
        <v>41404.32136574074</v>
      </c>
      <c r="C2156">
        <v>80</v>
      </c>
      <c r="D2156">
        <v>79.978691100999995</v>
      </c>
      <c r="E2156">
        <v>60</v>
      </c>
      <c r="F2156">
        <v>59.292190552000001</v>
      </c>
      <c r="G2156">
        <v>1340.6790771000001</v>
      </c>
      <c r="H2156">
        <v>1337.9006348</v>
      </c>
      <c r="I2156">
        <v>1327.4730225000001</v>
      </c>
      <c r="J2156">
        <v>1325.7489014</v>
      </c>
      <c r="K2156">
        <v>2750</v>
      </c>
      <c r="L2156">
        <v>0</v>
      </c>
      <c r="M2156">
        <v>0</v>
      </c>
      <c r="N2156">
        <v>2750</v>
      </c>
    </row>
    <row r="2157" spans="1:14" x14ac:dyDescent="0.25">
      <c r="A2157">
        <v>1105.571044</v>
      </c>
      <c r="B2157" s="1">
        <f>DATE(2013,5,10) + TIME(13,42,18)</f>
        <v>41404.57104166667</v>
      </c>
      <c r="C2157">
        <v>80</v>
      </c>
      <c r="D2157">
        <v>79.978660583000007</v>
      </c>
      <c r="E2157">
        <v>60</v>
      </c>
      <c r="F2157">
        <v>59.277011870999999</v>
      </c>
      <c r="G2157">
        <v>1340.6716309000001</v>
      </c>
      <c r="H2157">
        <v>1337.8981934000001</v>
      </c>
      <c r="I2157">
        <v>1327.4682617000001</v>
      </c>
      <c r="J2157">
        <v>1325.7421875</v>
      </c>
      <c r="K2157">
        <v>2750</v>
      </c>
      <c r="L2157">
        <v>0</v>
      </c>
      <c r="M2157">
        <v>0</v>
      </c>
      <c r="N2157">
        <v>2750</v>
      </c>
    </row>
    <row r="2158" spans="1:14" x14ac:dyDescent="0.25">
      <c r="A2158">
        <v>1105.825765</v>
      </c>
      <c r="B2158" s="1">
        <f>DATE(2013,5,10) + TIME(19,49,6)</f>
        <v>41404.82576388889</v>
      </c>
      <c r="C2158">
        <v>80</v>
      </c>
      <c r="D2158">
        <v>79.978622436999999</v>
      </c>
      <c r="E2158">
        <v>60</v>
      </c>
      <c r="F2158">
        <v>59.261608123999999</v>
      </c>
      <c r="G2158">
        <v>1340.6641846</v>
      </c>
      <c r="H2158">
        <v>1337.895874</v>
      </c>
      <c r="I2158">
        <v>1327.4633789</v>
      </c>
      <c r="J2158">
        <v>1325.7353516000001</v>
      </c>
      <c r="K2158">
        <v>2750</v>
      </c>
      <c r="L2158">
        <v>0</v>
      </c>
      <c r="M2158">
        <v>0</v>
      </c>
      <c r="N2158">
        <v>2750</v>
      </c>
    </row>
    <row r="2159" spans="1:14" x14ac:dyDescent="0.25">
      <c r="A2159">
        <v>1106.0861540000001</v>
      </c>
      <c r="B2159" s="1">
        <f>DATE(2013,5,11) + TIME(2,4,3)</f>
        <v>41405.086145833331</v>
      </c>
      <c r="C2159">
        <v>80</v>
      </c>
      <c r="D2159">
        <v>79.978584290000001</v>
      </c>
      <c r="E2159">
        <v>60</v>
      </c>
      <c r="F2159">
        <v>59.245956421000002</v>
      </c>
      <c r="G2159">
        <v>1340.6568603999999</v>
      </c>
      <c r="H2159">
        <v>1337.8934326000001</v>
      </c>
      <c r="I2159">
        <v>1327.458374</v>
      </c>
      <c r="J2159">
        <v>1325.7282714999999</v>
      </c>
      <c r="K2159">
        <v>2750</v>
      </c>
      <c r="L2159">
        <v>0</v>
      </c>
      <c r="M2159">
        <v>0</v>
      </c>
      <c r="N2159">
        <v>2750</v>
      </c>
    </row>
    <row r="2160" spans="1:14" x14ac:dyDescent="0.25">
      <c r="A2160">
        <v>1106.3528960000001</v>
      </c>
      <c r="B2160" s="1">
        <f>DATE(2013,5,11) + TIME(8,28,10)</f>
        <v>41405.352893518517</v>
      </c>
      <c r="C2160">
        <v>80</v>
      </c>
      <c r="D2160">
        <v>79.978553771999998</v>
      </c>
      <c r="E2160">
        <v>60</v>
      </c>
      <c r="F2160">
        <v>59.230030059999997</v>
      </c>
      <c r="G2160">
        <v>1340.6494141000001</v>
      </c>
      <c r="H2160">
        <v>1337.8909911999999</v>
      </c>
      <c r="I2160">
        <v>1327.4532471</v>
      </c>
      <c r="J2160">
        <v>1325.7209473</v>
      </c>
      <c r="K2160">
        <v>2750</v>
      </c>
      <c r="L2160">
        <v>0</v>
      </c>
      <c r="M2160">
        <v>0</v>
      </c>
      <c r="N2160">
        <v>2750</v>
      </c>
    </row>
    <row r="2161" spans="1:14" x14ac:dyDescent="0.25">
      <c r="A2161">
        <v>1106.6259689999999</v>
      </c>
      <c r="B2161" s="1">
        <f>DATE(2013,5,11) + TIME(15,1,23)</f>
        <v>41405.625960648147</v>
      </c>
      <c r="C2161">
        <v>80</v>
      </c>
      <c r="D2161">
        <v>79.978515625</v>
      </c>
      <c r="E2161">
        <v>60</v>
      </c>
      <c r="F2161">
        <v>59.213825225999997</v>
      </c>
      <c r="G2161">
        <v>1340.6420897999999</v>
      </c>
      <c r="H2161">
        <v>1337.8886719</v>
      </c>
      <c r="I2161">
        <v>1327.4479980000001</v>
      </c>
      <c r="J2161">
        <v>1325.713501</v>
      </c>
      <c r="K2161">
        <v>2750</v>
      </c>
      <c r="L2161">
        <v>0</v>
      </c>
      <c r="M2161">
        <v>0</v>
      </c>
      <c r="N2161">
        <v>2750</v>
      </c>
    </row>
    <row r="2162" spans="1:14" x14ac:dyDescent="0.25">
      <c r="A2162">
        <v>1106.903286</v>
      </c>
      <c r="B2162" s="1">
        <f>DATE(2013,5,11) + TIME(21,40,43)</f>
        <v>41405.903275462966</v>
      </c>
      <c r="C2162">
        <v>80</v>
      </c>
      <c r="D2162">
        <v>79.978477478000002</v>
      </c>
      <c r="E2162">
        <v>60</v>
      </c>
      <c r="F2162">
        <v>59.197441101000003</v>
      </c>
      <c r="G2162">
        <v>1340.6346435999999</v>
      </c>
      <c r="H2162">
        <v>1337.8863524999999</v>
      </c>
      <c r="I2162">
        <v>1327.4425048999999</v>
      </c>
      <c r="J2162">
        <v>1325.7058105000001</v>
      </c>
      <c r="K2162">
        <v>2750</v>
      </c>
      <c r="L2162">
        <v>0</v>
      </c>
      <c r="M2162">
        <v>0</v>
      </c>
      <c r="N2162">
        <v>2750</v>
      </c>
    </row>
    <row r="2163" spans="1:14" x14ac:dyDescent="0.25">
      <c r="A2163">
        <v>1107.1858810000001</v>
      </c>
      <c r="B2163" s="1">
        <f>DATE(2013,5,12) + TIME(4,27,40)</f>
        <v>41406.185879629629</v>
      </c>
      <c r="C2163">
        <v>80</v>
      </c>
      <c r="D2163">
        <v>79.978439331000004</v>
      </c>
      <c r="E2163">
        <v>60</v>
      </c>
      <c r="F2163">
        <v>59.180835723999998</v>
      </c>
      <c r="G2163">
        <v>1340.6271973</v>
      </c>
      <c r="H2163">
        <v>1337.8839111</v>
      </c>
      <c r="I2163">
        <v>1327.4370117000001</v>
      </c>
      <c r="J2163">
        <v>1325.697876</v>
      </c>
      <c r="K2163">
        <v>2750</v>
      </c>
      <c r="L2163">
        <v>0</v>
      </c>
      <c r="M2163">
        <v>0</v>
      </c>
      <c r="N2163">
        <v>2750</v>
      </c>
    </row>
    <row r="2164" spans="1:14" x14ac:dyDescent="0.25">
      <c r="A2164">
        <v>1107.473489</v>
      </c>
      <c r="B2164" s="1">
        <f>DATE(2013,5,12) + TIME(11,21,49)</f>
        <v>41406.473483796297</v>
      </c>
      <c r="C2164">
        <v>80</v>
      </c>
      <c r="D2164">
        <v>79.978401184000006</v>
      </c>
      <c r="E2164">
        <v>60</v>
      </c>
      <c r="F2164">
        <v>59.164028168000002</v>
      </c>
      <c r="G2164">
        <v>1340.6198730000001</v>
      </c>
      <c r="H2164">
        <v>1337.8815918</v>
      </c>
      <c r="I2164">
        <v>1327.4312743999999</v>
      </c>
      <c r="J2164">
        <v>1325.6898193</v>
      </c>
      <c r="K2164">
        <v>2750</v>
      </c>
      <c r="L2164">
        <v>0</v>
      </c>
      <c r="M2164">
        <v>0</v>
      </c>
      <c r="N2164">
        <v>2750</v>
      </c>
    </row>
    <row r="2165" spans="1:14" x14ac:dyDescent="0.25">
      <c r="A2165">
        <v>1107.766752</v>
      </c>
      <c r="B2165" s="1">
        <f>DATE(2013,5,12) + TIME(18,24,7)</f>
        <v>41406.766747685186</v>
      </c>
      <c r="C2165">
        <v>80</v>
      </c>
      <c r="D2165">
        <v>79.978370666999993</v>
      </c>
      <c r="E2165">
        <v>60</v>
      </c>
      <c r="F2165">
        <v>59.146991730000003</v>
      </c>
      <c r="G2165">
        <v>1340.6125488</v>
      </c>
      <c r="H2165">
        <v>1337.8793945</v>
      </c>
      <c r="I2165">
        <v>1327.4254149999999</v>
      </c>
      <c r="J2165">
        <v>1325.6815185999999</v>
      </c>
      <c r="K2165">
        <v>2750</v>
      </c>
      <c r="L2165">
        <v>0</v>
      </c>
      <c r="M2165">
        <v>0</v>
      </c>
      <c r="N2165">
        <v>2750</v>
      </c>
    </row>
    <row r="2166" spans="1:14" x14ac:dyDescent="0.25">
      <c r="A2166">
        <v>1108.068303</v>
      </c>
      <c r="B2166" s="1">
        <f>DATE(2013,5,13) + TIME(1,38,21)</f>
        <v>41407.068298611113</v>
      </c>
      <c r="C2166">
        <v>80</v>
      </c>
      <c r="D2166">
        <v>79.978332519999995</v>
      </c>
      <c r="E2166">
        <v>60</v>
      </c>
      <c r="F2166">
        <v>59.129619597999998</v>
      </c>
      <c r="G2166">
        <v>1340.6052245999999</v>
      </c>
      <c r="H2166">
        <v>1337.8770752</v>
      </c>
      <c r="I2166">
        <v>1327.4194336</v>
      </c>
      <c r="J2166">
        <v>1325.6730957</v>
      </c>
      <c r="K2166">
        <v>2750</v>
      </c>
      <c r="L2166">
        <v>0</v>
      </c>
      <c r="M2166">
        <v>0</v>
      </c>
      <c r="N2166">
        <v>2750</v>
      </c>
    </row>
    <row r="2167" spans="1:14" x14ac:dyDescent="0.25">
      <c r="A2167">
        <v>1108.3793000000001</v>
      </c>
      <c r="B2167" s="1">
        <f>DATE(2013,5,13) + TIME(9,6,11)</f>
        <v>41407.379293981481</v>
      </c>
      <c r="C2167">
        <v>80</v>
      </c>
      <c r="D2167">
        <v>79.978294372999997</v>
      </c>
      <c r="E2167">
        <v>60</v>
      </c>
      <c r="F2167">
        <v>59.111862183</v>
      </c>
      <c r="G2167">
        <v>1340.5979004000001</v>
      </c>
      <c r="H2167">
        <v>1337.8747559000001</v>
      </c>
      <c r="I2167">
        <v>1327.4132079999999</v>
      </c>
      <c r="J2167">
        <v>1325.6643065999999</v>
      </c>
      <c r="K2167">
        <v>2750</v>
      </c>
      <c r="L2167">
        <v>0</v>
      </c>
      <c r="M2167">
        <v>0</v>
      </c>
      <c r="N2167">
        <v>2750</v>
      </c>
    </row>
    <row r="2168" spans="1:14" x14ac:dyDescent="0.25">
      <c r="A2168">
        <v>1108.701118</v>
      </c>
      <c r="B2168" s="1">
        <f>DATE(2013,5,13) + TIME(16,49,36)</f>
        <v>41407.701111111113</v>
      </c>
      <c r="C2168">
        <v>80</v>
      </c>
      <c r="D2168">
        <v>79.978256225999999</v>
      </c>
      <c r="E2168">
        <v>60</v>
      </c>
      <c r="F2168">
        <v>59.093654633</v>
      </c>
      <c r="G2168">
        <v>1340.5904541</v>
      </c>
      <c r="H2168">
        <v>1337.8725586</v>
      </c>
      <c r="I2168">
        <v>1327.4068603999999</v>
      </c>
      <c r="J2168">
        <v>1325.6551514</v>
      </c>
      <c r="K2168">
        <v>2750</v>
      </c>
      <c r="L2168">
        <v>0</v>
      </c>
      <c r="M2168">
        <v>0</v>
      </c>
      <c r="N2168">
        <v>2750</v>
      </c>
    </row>
    <row r="2169" spans="1:14" x14ac:dyDescent="0.25">
      <c r="A2169">
        <v>1109.031197</v>
      </c>
      <c r="B2169" s="1">
        <f>DATE(2013,5,14) + TIME(0,44,55)</f>
        <v>41408.031192129631</v>
      </c>
      <c r="C2169">
        <v>80</v>
      </c>
      <c r="D2169">
        <v>79.978218079000001</v>
      </c>
      <c r="E2169">
        <v>60</v>
      </c>
      <c r="F2169">
        <v>59.075088501000003</v>
      </c>
      <c r="G2169">
        <v>1340.5830077999999</v>
      </c>
      <c r="H2169">
        <v>1337.8702393000001</v>
      </c>
      <c r="I2169">
        <v>1327.4002685999999</v>
      </c>
      <c r="J2169">
        <v>1325.6457519999999</v>
      </c>
      <c r="K2169">
        <v>2750</v>
      </c>
      <c r="L2169">
        <v>0</v>
      </c>
      <c r="M2169">
        <v>0</v>
      </c>
      <c r="N2169">
        <v>2750</v>
      </c>
    </row>
    <row r="2170" spans="1:14" x14ac:dyDescent="0.25">
      <c r="A2170">
        <v>1109.363394</v>
      </c>
      <c r="B2170" s="1">
        <f>DATE(2013,5,14) + TIME(8,43,17)</f>
        <v>41408.363391203704</v>
      </c>
      <c r="C2170">
        <v>80</v>
      </c>
      <c r="D2170">
        <v>79.978179932000003</v>
      </c>
      <c r="E2170">
        <v>60</v>
      </c>
      <c r="F2170">
        <v>59.056415557999998</v>
      </c>
      <c r="G2170">
        <v>1340.5755615</v>
      </c>
      <c r="H2170">
        <v>1337.8680420000001</v>
      </c>
      <c r="I2170">
        <v>1327.3934326000001</v>
      </c>
      <c r="J2170">
        <v>1325.6361084</v>
      </c>
      <c r="K2170">
        <v>2750</v>
      </c>
      <c r="L2170">
        <v>0</v>
      </c>
      <c r="M2170">
        <v>0</v>
      </c>
      <c r="N2170">
        <v>2750</v>
      </c>
    </row>
    <row r="2171" spans="1:14" x14ac:dyDescent="0.25">
      <c r="A2171">
        <v>1109.6985050000001</v>
      </c>
      <c r="B2171" s="1">
        <f>DATE(2013,5,14) + TIME(16,45,50)</f>
        <v>41408.698495370372</v>
      </c>
      <c r="C2171">
        <v>80</v>
      </c>
      <c r="D2171">
        <v>79.978141785000005</v>
      </c>
      <c r="E2171">
        <v>60</v>
      </c>
      <c r="F2171">
        <v>59.037631988999998</v>
      </c>
      <c r="G2171">
        <v>1340.5681152</v>
      </c>
      <c r="H2171">
        <v>1337.8658447</v>
      </c>
      <c r="I2171">
        <v>1327.3864745999999</v>
      </c>
      <c r="J2171">
        <v>1325.6263428</v>
      </c>
      <c r="K2171">
        <v>2750</v>
      </c>
      <c r="L2171">
        <v>0</v>
      </c>
      <c r="M2171">
        <v>0</v>
      </c>
      <c r="N2171">
        <v>2750</v>
      </c>
    </row>
    <row r="2172" spans="1:14" x14ac:dyDescent="0.25">
      <c r="A2172">
        <v>1110.0374449999999</v>
      </c>
      <c r="B2172" s="1">
        <f>DATE(2013,5,15) + TIME(0,53,55)</f>
        <v>41409.037442129629</v>
      </c>
      <c r="C2172">
        <v>80</v>
      </c>
      <c r="D2172">
        <v>79.978103637999993</v>
      </c>
      <c r="E2172">
        <v>60</v>
      </c>
      <c r="F2172">
        <v>59.018722533999998</v>
      </c>
      <c r="G2172">
        <v>1340.5609131000001</v>
      </c>
      <c r="H2172">
        <v>1337.8636475000001</v>
      </c>
      <c r="I2172">
        <v>1327.3795166</v>
      </c>
      <c r="J2172">
        <v>1325.6163329999999</v>
      </c>
      <c r="K2172">
        <v>2750</v>
      </c>
      <c r="L2172">
        <v>0</v>
      </c>
      <c r="M2172">
        <v>0</v>
      </c>
      <c r="N2172">
        <v>2750</v>
      </c>
    </row>
    <row r="2173" spans="1:14" x14ac:dyDescent="0.25">
      <c r="A2173">
        <v>1110.3809040000001</v>
      </c>
      <c r="B2173" s="1">
        <f>DATE(2013,5,15) + TIME(9,8,30)</f>
        <v>41409.380902777775</v>
      </c>
      <c r="C2173">
        <v>80</v>
      </c>
      <c r="D2173">
        <v>79.978065490999995</v>
      </c>
      <c r="E2173">
        <v>60</v>
      </c>
      <c r="F2173">
        <v>58.999675750999998</v>
      </c>
      <c r="G2173">
        <v>1340.5537108999999</v>
      </c>
      <c r="H2173">
        <v>1337.8615723</v>
      </c>
      <c r="I2173">
        <v>1327.3724365</v>
      </c>
      <c r="J2173">
        <v>1325.6062012</v>
      </c>
      <c r="K2173">
        <v>2750</v>
      </c>
      <c r="L2173">
        <v>0</v>
      </c>
      <c r="M2173">
        <v>0</v>
      </c>
      <c r="N2173">
        <v>2750</v>
      </c>
    </row>
    <row r="2174" spans="1:14" x14ac:dyDescent="0.25">
      <c r="A2174">
        <v>1110.7297000000001</v>
      </c>
      <c r="B2174" s="1">
        <f>DATE(2013,5,15) + TIME(17,30,46)</f>
        <v>41409.729699074072</v>
      </c>
      <c r="C2174">
        <v>80</v>
      </c>
      <c r="D2174">
        <v>79.978027343999997</v>
      </c>
      <c r="E2174">
        <v>60</v>
      </c>
      <c r="F2174">
        <v>58.980464935000001</v>
      </c>
      <c r="G2174">
        <v>1340.5466309000001</v>
      </c>
      <c r="H2174">
        <v>1337.8594971</v>
      </c>
      <c r="I2174">
        <v>1327.3652344</v>
      </c>
      <c r="J2174">
        <v>1325.5959473</v>
      </c>
      <c r="K2174">
        <v>2750</v>
      </c>
      <c r="L2174">
        <v>0</v>
      </c>
      <c r="M2174">
        <v>0</v>
      </c>
      <c r="N2174">
        <v>2750</v>
      </c>
    </row>
    <row r="2175" spans="1:14" x14ac:dyDescent="0.25">
      <c r="A2175">
        <v>1111.084707</v>
      </c>
      <c r="B2175" s="1">
        <f>DATE(2013,5,16) + TIME(2,1,58)</f>
        <v>41410.084699074076</v>
      </c>
      <c r="C2175">
        <v>80</v>
      </c>
      <c r="D2175">
        <v>79.977989196999999</v>
      </c>
      <c r="E2175">
        <v>60</v>
      </c>
      <c r="F2175">
        <v>58.961055756</v>
      </c>
      <c r="G2175">
        <v>1340.5395507999999</v>
      </c>
      <c r="H2175">
        <v>1337.8575439000001</v>
      </c>
      <c r="I2175">
        <v>1327.3577881000001</v>
      </c>
      <c r="J2175">
        <v>1325.5854492000001</v>
      </c>
      <c r="K2175">
        <v>2750</v>
      </c>
      <c r="L2175">
        <v>0</v>
      </c>
      <c r="M2175">
        <v>0</v>
      </c>
      <c r="N2175">
        <v>2750</v>
      </c>
    </row>
    <row r="2176" spans="1:14" x14ac:dyDescent="0.25">
      <c r="A2176">
        <v>1111.446858</v>
      </c>
      <c r="B2176" s="1">
        <f>DATE(2013,5,16) + TIME(10,43,28)</f>
        <v>41410.446851851855</v>
      </c>
      <c r="C2176">
        <v>80</v>
      </c>
      <c r="D2176">
        <v>79.977958678999997</v>
      </c>
      <c r="E2176">
        <v>60</v>
      </c>
      <c r="F2176">
        <v>58.941410064999999</v>
      </c>
      <c r="G2176">
        <v>1340.5324707</v>
      </c>
      <c r="H2176">
        <v>1337.8554687999999</v>
      </c>
      <c r="I2176">
        <v>1327.3503418</v>
      </c>
      <c r="J2176">
        <v>1325.574707</v>
      </c>
      <c r="K2176">
        <v>2750</v>
      </c>
      <c r="L2176">
        <v>0</v>
      </c>
      <c r="M2176">
        <v>0</v>
      </c>
      <c r="N2176">
        <v>2750</v>
      </c>
    </row>
    <row r="2177" spans="1:14" x14ac:dyDescent="0.25">
      <c r="A2177">
        <v>1111.817182</v>
      </c>
      <c r="B2177" s="1">
        <f>DATE(2013,5,16) + TIME(19,36,44)</f>
        <v>41410.817175925928</v>
      </c>
      <c r="C2177">
        <v>80</v>
      </c>
      <c r="D2177">
        <v>79.977920531999999</v>
      </c>
      <c r="E2177">
        <v>60</v>
      </c>
      <c r="F2177">
        <v>58.921493529999999</v>
      </c>
      <c r="G2177">
        <v>1340.5255127</v>
      </c>
      <c r="H2177">
        <v>1337.8535156</v>
      </c>
      <c r="I2177">
        <v>1327.3426514</v>
      </c>
      <c r="J2177">
        <v>1325.5637207</v>
      </c>
      <c r="K2177">
        <v>2750</v>
      </c>
      <c r="L2177">
        <v>0</v>
      </c>
      <c r="M2177">
        <v>0</v>
      </c>
      <c r="N2177">
        <v>2750</v>
      </c>
    </row>
    <row r="2178" spans="1:14" x14ac:dyDescent="0.25">
      <c r="A2178">
        <v>1112.1934739999999</v>
      </c>
      <c r="B2178" s="1">
        <f>DATE(2013,5,17) + TIME(4,38,36)</f>
        <v>41411.193472222221</v>
      </c>
      <c r="C2178">
        <v>80</v>
      </c>
      <c r="D2178">
        <v>79.977882385000001</v>
      </c>
      <c r="E2178">
        <v>60</v>
      </c>
      <c r="F2178">
        <v>58.901374816999997</v>
      </c>
      <c r="G2178">
        <v>1340.5185547000001</v>
      </c>
      <c r="H2178">
        <v>1337.8515625</v>
      </c>
      <c r="I2178">
        <v>1327.3347168</v>
      </c>
      <c r="J2178">
        <v>1325.5524902</v>
      </c>
      <c r="K2178">
        <v>2750</v>
      </c>
      <c r="L2178">
        <v>0</v>
      </c>
      <c r="M2178">
        <v>0</v>
      </c>
      <c r="N2178">
        <v>2750</v>
      </c>
    </row>
    <row r="2179" spans="1:14" x14ac:dyDescent="0.25">
      <c r="A2179">
        <v>1112.576699</v>
      </c>
      <c r="B2179" s="1">
        <f>DATE(2013,5,17) + TIME(13,50,26)</f>
        <v>41411.576689814814</v>
      </c>
      <c r="C2179">
        <v>80</v>
      </c>
      <c r="D2179">
        <v>79.977844238000003</v>
      </c>
      <c r="E2179">
        <v>60</v>
      </c>
      <c r="F2179">
        <v>58.881023407000001</v>
      </c>
      <c r="G2179">
        <v>1340.5115966999999</v>
      </c>
      <c r="H2179">
        <v>1337.8496094</v>
      </c>
      <c r="I2179">
        <v>1327.3266602000001</v>
      </c>
      <c r="J2179">
        <v>1325.5410156</v>
      </c>
      <c r="K2179">
        <v>2750</v>
      </c>
      <c r="L2179">
        <v>0</v>
      </c>
      <c r="M2179">
        <v>0</v>
      </c>
      <c r="N2179">
        <v>2750</v>
      </c>
    </row>
    <row r="2180" spans="1:14" x14ac:dyDescent="0.25">
      <c r="A2180">
        <v>1112.967296</v>
      </c>
      <c r="B2180" s="1">
        <f>DATE(2013,5,17) + TIME(23,12,54)</f>
        <v>41411.967291666668</v>
      </c>
      <c r="C2180">
        <v>80</v>
      </c>
      <c r="D2180">
        <v>79.977806091000005</v>
      </c>
      <c r="E2180">
        <v>60</v>
      </c>
      <c r="F2180">
        <v>58.860435486</v>
      </c>
      <c r="G2180">
        <v>1340.5046387</v>
      </c>
      <c r="H2180">
        <v>1337.8476562000001</v>
      </c>
      <c r="I2180">
        <v>1327.3184814000001</v>
      </c>
      <c r="J2180">
        <v>1325.5292969</v>
      </c>
      <c r="K2180">
        <v>2750</v>
      </c>
      <c r="L2180">
        <v>0</v>
      </c>
      <c r="M2180">
        <v>0</v>
      </c>
      <c r="N2180">
        <v>2750</v>
      </c>
    </row>
    <row r="2181" spans="1:14" x14ac:dyDescent="0.25">
      <c r="A2181">
        <v>1113.3662899999999</v>
      </c>
      <c r="B2181" s="1">
        <f>DATE(2013,5,18) + TIME(8,47,27)</f>
        <v>41412.366284722222</v>
      </c>
      <c r="C2181">
        <v>80</v>
      </c>
      <c r="D2181">
        <v>79.977767943999993</v>
      </c>
      <c r="E2181">
        <v>60</v>
      </c>
      <c r="F2181">
        <v>58.839569091999998</v>
      </c>
      <c r="G2181">
        <v>1340.4978027</v>
      </c>
      <c r="H2181">
        <v>1337.8458252</v>
      </c>
      <c r="I2181">
        <v>1327.3101807</v>
      </c>
      <c r="J2181">
        <v>1325.5173339999999</v>
      </c>
      <c r="K2181">
        <v>2750</v>
      </c>
      <c r="L2181">
        <v>0</v>
      </c>
      <c r="M2181">
        <v>0</v>
      </c>
      <c r="N2181">
        <v>2750</v>
      </c>
    </row>
    <row r="2182" spans="1:14" x14ac:dyDescent="0.25">
      <c r="A2182">
        <v>1113.7771720000001</v>
      </c>
      <c r="B2182" s="1">
        <f>DATE(2013,5,18) + TIME(18,39,7)</f>
        <v>41412.77716435185</v>
      </c>
      <c r="C2182">
        <v>80</v>
      </c>
      <c r="D2182">
        <v>79.977737426999994</v>
      </c>
      <c r="E2182">
        <v>60</v>
      </c>
      <c r="F2182">
        <v>58.818305969000001</v>
      </c>
      <c r="G2182">
        <v>1340.4909668</v>
      </c>
      <c r="H2182">
        <v>1337.8438721</v>
      </c>
      <c r="I2182">
        <v>1327.3015137</v>
      </c>
      <c r="J2182">
        <v>1325.5051269999999</v>
      </c>
      <c r="K2182">
        <v>2750</v>
      </c>
      <c r="L2182">
        <v>0</v>
      </c>
      <c r="M2182">
        <v>0</v>
      </c>
      <c r="N2182">
        <v>2750</v>
      </c>
    </row>
    <row r="2183" spans="1:14" x14ac:dyDescent="0.25">
      <c r="A2183">
        <v>1114.20192</v>
      </c>
      <c r="B2183" s="1">
        <f>DATE(2013,5,19) + TIME(4,50,45)</f>
        <v>41413.201909722222</v>
      </c>
      <c r="C2183">
        <v>80</v>
      </c>
      <c r="D2183">
        <v>79.977699279999996</v>
      </c>
      <c r="E2183">
        <v>60</v>
      </c>
      <c r="F2183">
        <v>58.796562195</v>
      </c>
      <c r="G2183">
        <v>1340.4840088000001</v>
      </c>
      <c r="H2183">
        <v>1337.8419189000001</v>
      </c>
      <c r="I2183">
        <v>1327.2927245999999</v>
      </c>
      <c r="J2183">
        <v>1325.4924315999999</v>
      </c>
      <c r="K2183">
        <v>2750</v>
      </c>
      <c r="L2183">
        <v>0</v>
      </c>
      <c r="M2183">
        <v>0</v>
      </c>
      <c r="N2183">
        <v>2750</v>
      </c>
    </row>
    <row r="2184" spans="1:14" x14ac:dyDescent="0.25">
      <c r="A2184">
        <v>1114.642803</v>
      </c>
      <c r="B2184" s="1">
        <f>DATE(2013,5,19) + TIME(15,25,38)</f>
        <v>41413.642800925925</v>
      </c>
      <c r="C2184">
        <v>80</v>
      </c>
      <c r="D2184">
        <v>79.977661132999998</v>
      </c>
      <c r="E2184">
        <v>60</v>
      </c>
      <c r="F2184">
        <v>58.774250031000001</v>
      </c>
      <c r="G2184">
        <v>1340.4770507999999</v>
      </c>
      <c r="H2184">
        <v>1337.8400879000001</v>
      </c>
      <c r="I2184">
        <v>1327.2835693</v>
      </c>
      <c r="J2184">
        <v>1325.4793701000001</v>
      </c>
      <c r="K2184">
        <v>2750</v>
      </c>
      <c r="L2184">
        <v>0</v>
      </c>
      <c r="M2184">
        <v>0</v>
      </c>
      <c r="N2184">
        <v>2750</v>
      </c>
    </row>
    <row r="2185" spans="1:14" x14ac:dyDescent="0.25">
      <c r="A2185">
        <v>1115.1024520000001</v>
      </c>
      <c r="B2185" s="1">
        <f>DATE(2013,5,20) + TIME(2,27,31)</f>
        <v>41414.102442129632</v>
      </c>
      <c r="C2185">
        <v>80</v>
      </c>
      <c r="D2185">
        <v>79.977622986</v>
      </c>
      <c r="E2185">
        <v>60</v>
      </c>
      <c r="F2185">
        <v>58.751255035</v>
      </c>
      <c r="G2185">
        <v>1340.4699707</v>
      </c>
      <c r="H2185">
        <v>1337.8381348</v>
      </c>
      <c r="I2185">
        <v>1327.2740478999999</v>
      </c>
      <c r="J2185">
        <v>1325.4658202999999</v>
      </c>
      <c r="K2185">
        <v>2750</v>
      </c>
      <c r="L2185">
        <v>0</v>
      </c>
      <c r="M2185">
        <v>0</v>
      </c>
      <c r="N2185">
        <v>2750</v>
      </c>
    </row>
    <row r="2186" spans="1:14" x14ac:dyDescent="0.25">
      <c r="A2186">
        <v>1115.5768740000001</v>
      </c>
      <c r="B2186" s="1">
        <f>DATE(2013,5,20) + TIME(13,50,41)</f>
        <v>41414.576863425929</v>
      </c>
      <c r="C2186">
        <v>80</v>
      </c>
      <c r="D2186">
        <v>79.977584839000002</v>
      </c>
      <c r="E2186">
        <v>60</v>
      </c>
      <c r="F2186">
        <v>58.727680206000002</v>
      </c>
      <c r="G2186">
        <v>1340.4627685999999</v>
      </c>
      <c r="H2186">
        <v>1337.8361815999999</v>
      </c>
      <c r="I2186">
        <v>1327.2641602000001</v>
      </c>
      <c r="J2186">
        <v>1325.4516602000001</v>
      </c>
      <c r="K2186">
        <v>2750</v>
      </c>
      <c r="L2186">
        <v>0</v>
      </c>
      <c r="M2186">
        <v>0</v>
      </c>
      <c r="N2186">
        <v>2750</v>
      </c>
    </row>
    <row r="2187" spans="1:14" x14ac:dyDescent="0.25">
      <c r="A2187">
        <v>1115.821412</v>
      </c>
      <c r="B2187" s="1">
        <f>DATE(2013,5,20) + TIME(19,42,50)</f>
        <v>41414.821412037039</v>
      </c>
      <c r="C2187">
        <v>80</v>
      </c>
      <c r="D2187">
        <v>79.977554321</v>
      </c>
      <c r="E2187">
        <v>60</v>
      </c>
      <c r="F2187">
        <v>58.712680816999999</v>
      </c>
      <c r="G2187">
        <v>1340.4554443</v>
      </c>
      <c r="H2187">
        <v>1337.8342285000001</v>
      </c>
      <c r="I2187">
        <v>1327.2547606999999</v>
      </c>
      <c r="J2187">
        <v>1325.4385986</v>
      </c>
      <c r="K2187">
        <v>2750</v>
      </c>
      <c r="L2187">
        <v>0</v>
      </c>
      <c r="M2187">
        <v>0</v>
      </c>
      <c r="N2187">
        <v>2750</v>
      </c>
    </row>
    <row r="2188" spans="1:14" x14ac:dyDescent="0.25">
      <c r="A2188">
        <v>1116.065951</v>
      </c>
      <c r="B2188" s="1">
        <f>DATE(2013,5,21) + TIME(1,34,58)</f>
        <v>41415.065949074073</v>
      </c>
      <c r="C2188">
        <v>80</v>
      </c>
      <c r="D2188">
        <v>79.977531432999996</v>
      </c>
      <c r="E2188">
        <v>60</v>
      </c>
      <c r="F2188">
        <v>58.698356627999999</v>
      </c>
      <c r="G2188">
        <v>1340.4517822</v>
      </c>
      <c r="H2188">
        <v>1337.8332519999999</v>
      </c>
      <c r="I2188">
        <v>1327.2489014</v>
      </c>
      <c r="J2188">
        <v>1325.4301757999999</v>
      </c>
      <c r="K2188">
        <v>2750</v>
      </c>
      <c r="L2188">
        <v>0</v>
      </c>
      <c r="M2188">
        <v>0</v>
      </c>
      <c r="N2188">
        <v>2750</v>
      </c>
    </row>
    <row r="2189" spans="1:14" x14ac:dyDescent="0.25">
      <c r="A2189">
        <v>1116.310489</v>
      </c>
      <c r="B2189" s="1">
        <f>DATE(2013,5,21) + TIME(7,27,6)</f>
        <v>41415.310486111113</v>
      </c>
      <c r="C2189">
        <v>80</v>
      </c>
      <c r="D2189">
        <v>79.977508545000006</v>
      </c>
      <c r="E2189">
        <v>60</v>
      </c>
      <c r="F2189">
        <v>58.684551239000001</v>
      </c>
      <c r="G2189">
        <v>1340.4481201000001</v>
      </c>
      <c r="H2189">
        <v>1337.8322754000001</v>
      </c>
      <c r="I2189">
        <v>1327.2432861</v>
      </c>
      <c r="J2189">
        <v>1325.421875</v>
      </c>
      <c r="K2189">
        <v>2750</v>
      </c>
      <c r="L2189">
        <v>0</v>
      </c>
      <c r="M2189">
        <v>0</v>
      </c>
      <c r="N2189">
        <v>2750</v>
      </c>
    </row>
    <row r="2190" spans="1:14" x14ac:dyDescent="0.25">
      <c r="A2190">
        <v>1116.555028</v>
      </c>
      <c r="B2190" s="1">
        <f>DATE(2013,5,21) + TIME(13,19,14)</f>
        <v>41415.555023148147</v>
      </c>
      <c r="C2190">
        <v>80</v>
      </c>
      <c r="D2190">
        <v>79.977485657000003</v>
      </c>
      <c r="E2190">
        <v>60</v>
      </c>
      <c r="F2190">
        <v>58.671154022000003</v>
      </c>
      <c r="G2190">
        <v>1340.4445800999999</v>
      </c>
      <c r="H2190">
        <v>1337.8312988</v>
      </c>
      <c r="I2190">
        <v>1327.2376709</v>
      </c>
      <c r="J2190">
        <v>1325.4138184000001</v>
      </c>
      <c r="K2190">
        <v>2750</v>
      </c>
      <c r="L2190">
        <v>0</v>
      </c>
      <c r="M2190">
        <v>0</v>
      </c>
      <c r="N2190">
        <v>2750</v>
      </c>
    </row>
    <row r="2191" spans="1:14" x14ac:dyDescent="0.25">
      <c r="A2191">
        <v>1116.7995659999999</v>
      </c>
      <c r="B2191" s="1">
        <f>DATE(2013,5,21) + TIME(19,11,22)</f>
        <v>41415.799560185187</v>
      </c>
      <c r="C2191">
        <v>80</v>
      </c>
      <c r="D2191">
        <v>79.977462768999999</v>
      </c>
      <c r="E2191">
        <v>60</v>
      </c>
      <c r="F2191">
        <v>58.658073424999998</v>
      </c>
      <c r="G2191">
        <v>1340.4410399999999</v>
      </c>
      <c r="H2191">
        <v>1337.8303223</v>
      </c>
      <c r="I2191">
        <v>1327.2321777</v>
      </c>
      <c r="J2191">
        <v>1325.4058838000001</v>
      </c>
      <c r="K2191">
        <v>2750</v>
      </c>
      <c r="L2191">
        <v>0</v>
      </c>
      <c r="M2191">
        <v>0</v>
      </c>
      <c r="N2191">
        <v>2750</v>
      </c>
    </row>
    <row r="2192" spans="1:14" x14ac:dyDescent="0.25">
      <c r="A2192">
        <v>1117.2886430000001</v>
      </c>
      <c r="B2192" s="1">
        <f>DATE(2013,5,22) + TIME(6,55,38)</f>
        <v>41416.288634259261</v>
      </c>
      <c r="C2192">
        <v>80</v>
      </c>
      <c r="D2192">
        <v>79.977439880000006</v>
      </c>
      <c r="E2192">
        <v>60</v>
      </c>
      <c r="F2192">
        <v>58.637443542</v>
      </c>
      <c r="G2192">
        <v>1340.4376221</v>
      </c>
      <c r="H2192">
        <v>1337.8294678</v>
      </c>
      <c r="I2192">
        <v>1327.2260742000001</v>
      </c>
      <c r="J2192">
        <v>1325.3967285000001</v>
      </c>
      <c r="K2192">
        <v>2750</v>
      </c>
      <c r="L2192">
        <v>0</v>
      </c>
      <c r="M2192">
        <v>0</v>
      </c>
      <c r="N2192">
        <v>2750</v>
      </c>
    </row>
    <row r="2193" spans="1:14" x14ac:dyDescent="0.25">
      <c r="A2193">
        <v>1117.7783890000001</v>
      </c>
      <c r="B2193" s="1">
        <f>DATE(2013,5,22) + TIME(18,40,52)</f>
        <v>41416.778379629628</v>
      </c>
      <c r="C2193">
        <v>80</v>
      </c>
      <c r="D2193">
        <v>79.977409363000007</v>
      </c>
      <c r="E2193">
        <v>60</v>
      </c>
      <c r="F2193">
        <v>58.615493774000001</v>
      </c>
      <c r="G2193">
        <v>1340.4307861</v>
      </c>
      <c r="H2193">
        <v>1337.8276367000001</v>
      </c>
      <c r="I2193">
        <v>1327.2160644999999</v>
      </c>
      <c r="J2193">
        <v>1325.3825684000001</v>
      </c>
      <c r="K2193">
        <v>2750</v>
      </c>
      <c r="L2193">
        <v>0</v>
      </c>
      <c r="M2193">
        <v>0</v>
      </c>
      <c r="N2193">
        <v>2750</v>
      </c>
    </row>
    <row r="2194" spans="1:14" x14ac:dyDescent="0.25">
      <c r="A2194">
        <v>1118.271655</v>
      </c>
      <c r="B2194" s="1">
        <f>DATE(2013,5,23) + TIME(6,31,11)</f>
        <v>41417.271655092591</v>
      </c>
      <c r="C2194">
        <v>80</v>
      </c>
      <c r="D2194">
        <v>79.977371215999995</v>
      </c>
      <c r="E2194">
        <v>60</v>
      </c>
      <c r="F2194">
        <v>58.592720032000003</v>
      </c>
      <c r="G2194">
        <v>1340.4239502</v>
      </c>
      <c r="H2194">
        <v>1337.8259277</v>
      </c>
      <c r="I2194">
        <v>1327.2058105000001</v>
      </c>
      <c r="J2194">
        <v>1325.3679199000001</v>
      </c>
      <c r="K2194">
        <v>2750</v>
      </c>
      <c r="L2194">
        <v>0</v>
      </c>
      <c r="M2194">
        <v>0</v>
      </c>
      <c r="N2194">
        <v>2750</v>
      </c>
    </row>
    <row r="2195" spans="1:14" x14ac:dyDescent="0.25">
      <c r="A2195">
        <v>1118.7700170000001</v>
      </c>
      <c r="B2195" s="1">
        <f>DATE(2013,5,23) + TIME(18,28,49)</f>
        <v>41417.770011574074</v>
      </c>
      <c r="C2195">
        <v>80</v>
      </c>
      <c r="D2195">
        <v>79.977340698000006</v>
      </c>
      <c r="E2195">
        <v>60</v>
      </c>
      <c r="F2195">
        <v>58.569404601999999</v>
      </c>
      <c r="G2195">
        <v>1340.4173584</v>
      </c>
      <c r="H2195">
        <v>1337.8240966999999</v>
      </c>
      <c r="I2195">
        <v>1327.1953125</v>
      </c>
      <c r="J2195">
        <v>1325.3530272999999</v>
      </c>
      <c r="K2195">
        <v>2750</v>
      </c>
      <c r="L2195">
        <v>0</v>
      </c>
      <c r="M2195">
        <v>0</v>
      </c>
      <c r="N2195">
        <v>2750</v>
      </c>
    </row>
    <row r="2196" spans="1:14" x14ac:dyDescent="0.25">
      <c r="A2196">
        <v>1119.2748590000001</v>
      </c>
      <c r="B2196" s="1">
        <f>DATE(2013,5,24) + TIME(6,35,47)</f>
        <v>41418.27484953704</v>
      </c>
      <c r="C2196">
        <v>80</v>
      </c>
      <c r="D2196">
        <v>79.977302550999994</v>
      </c>
      <c r="E2196">
        <v>60</v>
      </c>
      <c r="F2196">
        <v>58.545696259000003</v>
      </c>
      <c r="G2196">
        <v>1340.4107666</v>
      </c>
      <c r="H2196">
        <v>1337.8223877</v>
      </c>
      <c r="I2196">
        <v>1327.1845702999999</v>
      </c>
      <c r="J2196">
        <v>1325.3376464999999</v>
      </c>
      <c r="K2196">
        <v>2750</v>
      </c>
      <c r="L2196">
        <v>0</v>
      </c>
      <c r="M2196">
        <v>0</v>
      </c>
      <c r="N2196">
        <v>2750</v>
      </c>
    </row>
    <row r="2197" spans="1:14" x14ac:dyDescent="0.25">
      <c r="A2197">
        <v>1119.7875919999999</v>
      </c>
      <c r="B2197" s="1">
        <f>DATE(2013,5,24) + TIME(18,54,7)</f>
        <v>41418.787581018521</v>
      </c>
      <c r="C2197">
        <v>80</v>
      </c>
      <c r="D2197">
        <v>79.977264403999996</v>
      </c>
      <c r="E2197">
        <v>60</v>
      </c>
      <c r="F2197">
        <v>58.521667479999998</v>
      </c>
      <c r="G2197">
        <v>1340.4041748</v>
      </c>
      <c r="H2197">
        <v>1337.8206786999999</v>
      </c>
      <c r="I2197">
        <v>1327.1737060999999</v>
      </c>
      <c r="J2197">
        <v>1325.3220214999999</v>
      </c>
      <c r="K2197">
        <v>2750</v>
      </c>
      <c r="L2197">
        <v>0</v>
      </c>
      <c r="M2197">
        <v>0</v>
      </c>
      <c r="N2197">
        <v>2750</v>
      </c>
    </row>
    <row r="2198" spans="1:14" x14ac:dyDescent="0.25">
      <c r="A2198">
        <v>1120.3099649999999</v>
      </c>
      <c r="B2198" s="1">
        <f>DATE(2013,5,25) + TIME(7,26,20)</f>
        <v>41419.309953703705</v>
      </c>
      <c r="C2198">
        <v>80</v>
      </c>
      <c r="D2198">
        <v>79.977233886999997</v>
      </c>
      <c r="E2198">
        <v>60</v>
      </c>
      <c r="F2198">
        <v>58.497322083</v>
      </c>
      <c r="G2198">
        <v>1340.3977050999999</v>
      </c>
      <c r="H2198">
        <v>1337.8189697</v>
      </c>
      <c r="I2198">
        <v>1327.1625977000001</v>
      </c>
      <c r="J2198">
        <v>1325.3061522999999</v>
      </c>
      <c r="K2198">
        <v>2750</v>
      </c>
      <c r="L2198">
        <v>0</v>
      </c>
      <c r="M2198">
        <v>0</v>
      </c>
      <c r="N2198">
        <v>2750</v>
      </c>
    </row>
    <row r="2199" spans="1:14" x14ac:dyDescent="0.25">
      <c r="A2199">
        <v>1120.843959</v>
      </c>
      <c r="B2199" s="1">
        <f>DATE(2013,5,25) + TIME(20,15,18)</f>
        <v>41419.843958333331</v>
      </c>
      <c r="C2199">
        <v>80</v>
      </c>
      <c r="D2199">
        <v>79.977195739999999</v>
      </c>
      <c r="E2199">
        <v>60</v>
      </c>
      <c r="F2199">
        <v>58.472633362000003</v>
      </c>
      <c r="G2199">
        <v>1340.3913574000001</v>
      </c>
      <c r="H2199">
        <v>1337.8172606999999</v>
      </c>
      <c r="I2199">
        <v>1327.1513672000001</v>
      </c>
      <c r="J2199">
        <v>1325.2900391000001</v>
      </c>
      <c r="K2199">
        <v>2750</v>
      </c>
      <c r="L2199">
        <v>0</v>
      </c>
      <c r="M2199">
        <v>0</v>
      </c>
      <c r="N2199">
        <v>2750</v>
      </c>
    </row>
    <row r="2200" spans="1:14" x14ac:dyDescent="0.25">
      <c r="A2200">
        <v>1121.3914159999999</v>
      </c>
      <c r="B2200" s="1">
        <f>DATE(2013,5,26) + TIME(9,23,38)</f>
        <v>41420.391412037039</v>
      </c>
      <c r="C2200">
        <v>80</v>
      </c>
      <c r="D2200">
        <v>79.977165221999996</v>
      </c>
      <c r="E2200">
        <v>60</v>
      </c>
      <c r="F2200">
        <v>58.447559357000003</v>
      </c>
      <c r="G2200">
        <v>1340.3848877</v>
      </c>
      <c r="H2200">
        <v>1337.8155518000001</v>
      </c>
      <c r="I2200">
        <v>1327.1397704999999</v>
      </c>
      <c r="J2200">
        <v>1325.2734375</v>
      </c>
      <c r="K2200">
        <v>2750</v>
      </c>
      <c r="L2200">
        <v>0</v>
      </c>
      <c r="M2200">
        <v>0</v>
      </c>
      <c r="N2200">
        <v>2750</v>
      </c>
    </row>
    <row r="2201" spans="1:14" x14ac:dyDescent="0.25">
      <c r="A2201">
        <v>1121.954933</v>
      </c>
      <c r="B2201" s="1">
        <f>DATE(2013,5,26) + TIME(22,55,6)</f>
        <v>41420.954930555556</v>
      </c>
      <c r="C2201">
        <v>80</v>
      </c>
      <c r="D2201">
        <v>79.977127074999999</v>
      </c>
      <c r="E2201">
        <v>60</v>
      </c>
      <c r="F2201">
        <v>58.422019958</v>
      </c>
      <c r="G2201">
        <v>1340.378418</v>
      </c>
      <c r="H2201">
        <v>1337.8139647999999</v>
      </c>
      <c r="I2201">
        <v>1327.1279297000001</v>
      </c>
      <c r="J2201">
        <v>1325.2564697</v>
      </c>
      <c r="K2201">
        <v>2750</v>
      </c>
      <c r="L2201">
        <v>0</v>
      </c>
      <c r="M2201">
        <v>0</v>
      </c>
      <c r="N2201">
        <v>2750</v>
      </c>
    </row>
    <row r="2202" spans="1:14" x14ac:dyDescent="0.25">
      <c r="A2202">
        <v>1122.5335709999999</v>
      </c>
      <c r="B2202" s="1">
        <f>DATE(2013,5,27) + TIME(12,48,20)</f>
        <v>41421.533564814818</v>
      </c>
      <c r="C2202">
        <v>80</v>
      </c>
      <c r="D2202">
        <v>79.977096558</v>
      </c>
      <c r="E2202">
        <v>60</v>
      </c>
      <c r="F2202">
        <v>58.396026611000003</v>
      </c>
      <c r="G2202">
        <v>1340.3718262</v>
      </c>
      <c r="H2202">
        <v>1337.8121338000001</v>
      </c>
      <c r="I2202">
        <v>1327.1158447</v>
      </c>
      <c r="J2202">
        <v>1325.2391356999999</v>
      </c>
      <c r="K2202">
        <v>2750</v>
      </c>
      <c r="L2202">
        <v>0</v>
      </c>
      <c r="M2202">
        <v>0</v>
      </c>
      <c r="N2202">
        <v>2750</v>
      </c>
    </row>
    <row r="2203" spans="1:14" x14ac:dyDescent="0.25">
      <c r="A2203">
        <v>1123.131672</v>
      </c>
      <c r="B2203" s="1">
        <f>DATE(2013,5,28) + TIME(3,9,36)</f>
        <v>41422.131666666668</v>
      </c>
      <c r="C2203">
        <v>80</v>
      </c>
      <c r="D2203">
        <v>79.977058411000002</v>
      </c>
      <c r="E2203">
        <v>60</v>
      </c>
      <c r="F2203">
        <v>58.369464874000002</v>
      </c>
      <c r="G2203">
        <v>1340.3652344</v>
      </c>
      <c r="H2203">
        <v>1337.8104248</v>
      </c>
      <c r="I2203">
        <v>1327.1033935999999</v>
      </c>
      <c r="J2203">
        <v>1325.2213135</v>
      </c>
      <c r="K2203">
        <v>2750</v>
      </c>
      <c r="L2203">
        <v>0</v>
      </c>
      <c r="M2203">
        <v>0</v>
      </c>
      <c r="N2203">
        <v>2750</v>
      </c>
    </row>
    <row r="2204" spans="1:14" x14ac:dyDescent="0.25">
      <c r="A2204">
        <v>1123.752532</v>
      </c>
      <c r="B2204" s="1">
        <f>DATE(2013,5,28) + TIME(18,3,38)</f>
        <v>41422.752523148149</v>
      </c>
      <c r="C2204">
        <v>80</v>
      </c>
      <c r="D2204">
        <v>79.977020264000004</v>
      </c>
      <c r="E2204">
        <v>60</v>
      </c>
      <c r="F2204">
        <v>58.342235565000003</v>
      </c>
      <c r="G2204">
        <v>1340.3586425999999</v>
      </c>
      <c r="H2204">
        <v>1337.8087158000001</v>
      </c>
      <c r="I2204">
        <v>1327.0905762</v>
      </c>
      <c r="J2204">
        <v>1325.2028809000001</v>
      </c>
      <c r="K2204">
        <v>2750</v>
      </c>
      <c r="L2204">
        <v>0</v>
      </c>
      <c r="M2204">
        <v>0</v>
      </c>
      <c r="N2204">
        <v>2750</v>
      </c>
    </row>
    <row r="2205" spans="1:14" x14ac:dyDescent="0.25">
      <c r="A2205">
        <v>1124.4000860000001</v>
      </c>
      <c r="B2205" s="1">
        <f>DATE(2013,5,29) + TIME(9,36,7)</f>
        <v>41423.400081018517</v>
      </c>
      <c r="C2205">
        <v>80</v>
      </c>
      <c r="D2205">
        <v>79.976989746000001</v>
      </c>
      <c r="E2205">
        <v>60</v>
      </c>
      <c r="F2205">
        <v>58.314205170000001</v>
      </c>
      <c r="G2205">
        <v>1340.3519286999999</v>
      </c>
      <c r="H2205">
        <v>1337.8068848</v>
      </c>
      <c r="I2205">
        <v>1327.0772704999999</v>
      </c>
      <c r="J2205">
        <v>1325.1837158000001</v>
      </c>
      <c r="K2205">
        <v>2750</v>
      </c>
      <c r="L2205">
        <v>0</v>
      </c>
      <c r="M2205">
        <v>0</v>
      </c>
      <c r="N2205">
        <v>2750</v>
      </c>
    </row>
    <row r="2206" spans="1:14" x14ac:dyDescent="0.25">
      <c r="A2206">
        <v>1125.0713069999999</v>
      </c>
      <c r="B2206" s="1">
        <f>DATE(2013,5,30) + TIME(1,42,40)</f>
        <v>41424.071296296293</v>
      </c>
      <c r="C2206">
        <v>80</v>
      </c>
      <c r="D2206">
        <v>79.976951599000003</v>
      </c>
      <c r="E2206">
        <v>60</v>
      </c>
      <c r="F2206">
        <v>58.285396575999997</v>
      </c>
      <c r="G2206">
        <v>1340.3449707</v>
      </c>
      <c r="H2206">
        <v>1337.8050536999999</v>
      </c>
      <c r="I2206">
        <v>1327.0634766000001</v>
      </c>
      <c r="J2206">
        <v>1325.1639404</v>
      </c>
      <c r="K2206">
        <v>2750</v>
      </c>
      <c r="L2206">
        <v>0</v>
      </c>
      <c r="M2206">
        <v>0</v>
      </c>
      <c r="N2206">
        <v>2750</v>
      </c>
    </row>
    <row r="2207" spans="1:14" x14ac:dyDescent="0.25">
      <c r="A2207">
        <v>1125.760661</v>
      </c>
      <c r="B2207" s="1">
        <f>DATE(2013,5,30) + TIME(18,15,21)</f>
        <v>41424.760659722226</v>
      </c>
      <c r="C2207">
        <v>80</v>
      </c>
      <c r="D2207">
        <v>79.976913452000005</v>
      </c>
      <c r="E2207">
        <v>60</v>
      </c>
      <c r="F2207">
        <v>58.255939484000002</v>
      </c>
      <c r="G2207">
        <v>1340.3380127</v>
      </c>
      <c r="H2207">
        <v>1337.8032227000001</v>
      </c>
      <c r="I2207">
        <v>1327.0491943</v>
      </c>
      <c r="J2207">
        <v>1325.1435547000001</v>
      </c>
      <c r="K2207">
        <v>2750</v>
      </c>
      <c r="L2207">
        <v>0</v>
      </c>
      <c r="M2207">
        <v>0</v>
      </c>
      <c r="N2207">
        <v>2750</v>
      </c>
    </row>
    <row r="2208" spans="1:14" x14ac:dyDescent="0.25">
      <c r="A2208">
        <v>1126.4533859999999</v>
      </c>
      <c r="B2208" s="1">
        <f>DATE(2013,5,31) + TIME(10,52,52)</f>
        <v>41425.453379629631</v>
      </c>
      <c r="C2208">
        <v>80</v>
      </c>
      <c r="D2208">
        <v>79.976882935000006</v>
      </c>
      <c r="E2208">
        <v>60</v>
      </c>
      <c r="F2208">
        <v>58.226230620999999</v>
      </c>
      <c r="G2208">
        <v>1340.3310547000001</v>
      </c>
      <c r="H2208">
        <v>1337.8013916</v>
      </c>
      <c r="I2208">
        <v>1327.0345459</v>
      </c>
      <c r="J2208">
        <v>1325.1225586</v>
      </c>
      <c r="K2208">
        <v>2750</v>
      </c>
      <c r="L2208">
        <v>0</v>
      </c>
      <c r="M2208">
        <v>0</v>
      </c>
      <c r="N2208">
        <v>2750</v>
      </c>
    </row>
    <row r="2209" spans="1:14" x14ac:dyDescent="0.25">
      <c r="A2209">
        <v>1127</v>
      </c>
      <c r="B2209" s="1">
        <f>DATE(2013,6,1) + TIME(0,0,0)</f>
        <v>41426</v>
      </c>
      <c r="C2209">
        <v>80</v>
      </c>
      <c r="D2209">
        <v>79.976844787999994</v>
      </c>
      <c r="E2209">
        <v>60</v>
      </c>
      <c r="F2209">
        <v>58.200115203999999</v>
      </c>
      <c r="G2209">
        <v>1340.3240966999999</v>
      </c>
      <c r="H2209">
        <v>1337.7995605000001</v>
      </c>
      <c r="I2209">
        <v>1327.0202637</v>
      </c>
      <c r="J2209">
        <v>1325.1021728999999</v>
      </c>
      <c r="K2209">
        <v>2750</v>
      </c>
      <c r="L2209">
        <v>0</v>
      </c>
      <c r="M2209">
        <v>0</v>
      </c>
      <c r="N2209">
        <v>2750</v>
      </c>
    </row>
    <row r="2210" spans="1:14" x14ac:dyDescent="0.25">
      <c r="A2210">
        <v>1127.6945020000001</v>
      </c>
      <c r="B2210" s="1">
        <f>DATE(2013,6,1) + TIME(16,40,5)</f>
        <v>41426.694502314815</v>
      </c>
      <c r="C2210">
        <v>80</v>
      </c>
      <c r="D2210">
        <v>79.976814270000006</v>
      </c>
      <c r="E2210">
        <v>60</v>
      </c>
      <c r="F2210">
        <v>58.171791077000002</v>
      </c>
      <c r="G2210">
        <v>1340.3188477000001</v>
      </c>
      <c r="H2210">
        <v>1337.7980957</v>
      </c>
      <c r="I2210">
        <v>1327.0076904</v>
      </c>
      <c r="J2210">
        <v>1325.0838623</v>
      </c>
      <c r="K2210">
        <v>2750</v>
      </c>
      <c r="L2210">
        <v>0</v>
      </c>
      <c r="M2210">
        <v>0</v>
      </c>
      <c r="N2210">
        <v>2750</v>
      </c>
    </row>
    <row r="2211" spans="1:14" x14ac:dyDescent="0.25">
      <c r="A2211">
        <v>1128.398794</v>
      </c>
      <c r="B2211" s="1">
        <f>DATE(2013,6,2) + TIME(9,34,15)</f>
        <v>41427.398784722223</v>
      </c>
      <c r="C2211">
        <v>80</v>
      </c>
      <c r="D2211">
        <v>79.976783752000003</v>
      </c>
      <c r="E2211">
        <v>60</v>
      </c>
      <c r="F2211">
        <v>58.142791748</v>
      </c>
      <c r="G2211">
        <v>1340.3121338000001</v>
      </c>
      <c r="H2211">
        <v>1337.7962646000001</v>
      </c>
      <c r="I2211">
        <v>1326.9932861</v>
      </c>
      <c r="J2211">
        <v>1325.0631103999999</v>
      </c>
      <c r="K2211">
        <v>2750</v>
      </c>
      <c r="L2211">
        <v>0</v>
      </c>
      <c r="M2211">
        <v>0</v>
      </c>
      <c r="N2211">
        <v>2750</v>
      </c>
    </row>
    <row r="2212" spans="1:14" x14ac:dyDescent="0.25">
      <c r="A2212">
        <v>1129.112924</v>
      </c>
      <c r="B2212" s="1">
        <f>DATE(2013,6,3) + TIME(2,42,36)</f>
        <v>41428.112916666665</v>
      </c>
      <c r="C2212">
        <v>80</v>
      </c>
      <c r="D2212">
        <v>79.976745605000005</v>
      </c>
      <c r="E2212">
        <v>60</v>
      </c>
      <c r="F2212">
        <v>58.113376617</v>
      </c>
      <c r="G2212">
        <v>1340.3055420000001</v>
      </c>
      <c r="H2212">
        <v>1337.7944336</v>
      </c>
      <c r="I2212">
        <v>1326.9785156</v>
      </c>
      <c r="J2212">
        <v>1325.0419922000001</v>
      </c>
      <c r="K2212">
        <v>2750</v>
      </c>
      <c r="L2212">
        <v>0</v>
      </c>
      <c r="M2212">
        <v>0</v>
      </c>
      <c r="N2212">
        <v>2750</v>
      </c>
    </row>
    <row r="2213" spans="1:14" x14ac:dyDescent="0.25">
      <c r="A2213">
        <v>1129.840052</v>
      </c>
      <c r="B2213" s="1">
        <f>DATE(2013,6,3) + TIME(20,9,40)</f>
        <v>41428.840046296296</v>
      </c>
      <c r="C2213">
        <v>80</v>
      </c>
      <c r="D2213">
        <v>79.976715088000006</v>
      </c>
      <c r="E2213">
        <v>60</v>
      </c>
      <c r="F2213">
        <v>58.083618164000001</v>
      </c>
      <c r="G2213">
        <v>1340.2990723</v>
      </c>
      <c r="H2213">
        <v>1337.7926024999999</v>
      </c>
      <c r="I2213">
        <v>1326.963501</v>
      </c>
      <c r="J2213">
        <v>1325.0203856999999</v>
      </c>
      <c r="K2213">
        <v>2750</v>
      </c>
      <c r="L2213">
        <v>0</v>
      </c>
      <c r="M2213">
        <v>0</v>
      </c>
      <c r="N2213">
        <v>2750</v>
      </c>
    </row>
    <row r="2214" spans="1:14" x14ac:dyDescent="0.25">
      <c r="A2214">
        <v>1130.5769009999999</v>
      </c>
      <c r="B2214" s="1">
        <f>DATE(2013,6,4) + TIME(13,50,44)</f>
        <v>41429.576898148145</v>
      </c>
      <c r="C2214">
        <v>80</v>
      </c>
      <c r="D2214">
        <v>79.976684570000003</v>
      </c>
      <c r="E2214">
        <v>60</v>
      </c>
      <c r="F2214">
        <v>58.053627014</v>
      </c>
      <c r="G2214">
        <v>1340.2924805</v>
      </c>
      <c r="H2214">
        <v>1337.7908935999999</v>
      </c>
      <c r="I2214">
        <v>1326.9482422000001</v>
      </c>
      <c r="J2214">
        <v>1324.9985352000001</v>
      </c>
      <c r="K2214">
        <v>2750</v>
      </c>
      <c r="L2214">
        <v>0</v>
      </c>
      <c r="M2214">
        <v>0</v>
      </c>
      <c r="N2214">
        <v>2750</v>
      </c>
    </row>
    <row r="2215" spans="1:14" x14ac:dyDescent="0.25">
      <c r="A2215">
        <v>1131.3201590000001</v>
      </c>
      <c r="B2215" s="1">
        <f>DATE(2013,6,5) + TIME(7,41,1)</f>
        <v>41430.320150462961</v>
      </c>
      <c r="C2215">
        <v>80</v>
      </c>
      <c r="D2215">
        <v>79.976654053000004</v>
      </c>
      <c r="E2215">
        <v>60</v>
      </c>
      <c r="F2215">
        <v>58.023525237999998</v>
      </c>
      <c r="G2215">
        <v>1340.2860106999999</v>
      </c>
      <c r="H2215">
        <v>1337.7890625</v>
      </c>
      <c r="I2215">
        <v>1326.9328613</v>
      </c>
      <c r="J2215">
        <v>1324.9764404</v>
      </c>
      <c r="K2215">
        <v>2750</v>
      </c>
      <c r="L2215">
        <v>0</v>
      </c>
      <c r="M2215">
        <v>0</v>
      </c>
      <c r="N2215">
        <v>2750</v>
      </c>
    </row>
    <row r="2216" spans="1:14" x14ac:dyDescent="0.25">
      <c r="A2216">
        <v>1132.0727449999999</v>
      </c>
      <c r="B2216" s="1">
        <f>DATE(2013,6,6) + TIME(1,44,45)</f>
        <v>41431.072743055556</v>
      </c>
      <c r="C2216">
        <v>80</v>
      </c>
      <c r="D2216">
        <v>79.976615906000006</v>
      </c>
      <c r="E2216">
        <v>60</v>
      </c>
      <c r="F2216">
        <v>57.993316649999997</v>
      </c>
      <c r="G2216">
        <v>1340.2796631000001</v>
      </c>
      <c r="H2216">
        <v>1337.7872314000001</v>
      </c>
      <c r="I2216">
        <v>1326.9174805</v>
      </c>
      <c r="J2216">
        <v>1324.9542236</v>
      </c>
      <c r="K2216">
        <v>2750</v>
      </c>
      <c r="L2216">
        <v>0</v>
      </c>
      <c r="M2216">
        <v>0</v>
      </c>
      <c r="N2216">
        <v>2750</v>
      </c>
    </row>
    <row r="2217" spans="1:14" x14ac:dyDescent="0.25">
      <c r="A2217">
        <v>1132.837753</v>
      </c>
      <c r="B2217" s="1">
        <f>DATE(2013,6,6) + TIME(20,6,21)</f>
        <v>41431.837743055556</v>
      </c>
      <c r="C2217">
        <v>80</v>
      </c>
      <c r="D2217">
        <v>79.976585388000004</v>
      </c>
      <c r="E2217">
        <v>60</v>
      </c>
      <c r="F2217">
        <v>57.962951660000002</v>
      </c>
      <c r="G2217">
        <v>1340.2733154</v>
      </c>
      <c r="H2217">
        <v>1337.7854004000001</v>
      </c>
      <c r="I2217">
        <v>1326.9018555</v>
      </c>
      <c r="J2217">
        <v>1324.9317627</v>
      </c>
      <c r="K2217">
        <v>2750</v>
      </c>
      <c r="L2217">
        <v>0</v>
      </c>
      <c r="M2217">
        <v>0</v>
      </c>
      <c r="N2217">
        <v>2750</v>
      </c>
    </row>
    <row r="2218" spans="1:14" x14ac:dyDescent="0.25">
      <c r="A2218">
        <v>1133.6177399999999</v>
      </c>
      <c r="B2218" s="1">
        <f>DATE(2013,6,7) + TIME(14,49,32)</f>
        <v>41432.617731481485</v>
      </c>
      <c r="C2218">
        <v>80</v>
      </c>
      <c r="D2218">
        <v>79.976554871000005</v>
      </c>
      <c r="E2218">
        <v>60</v>
      </c>
      <c r="F2218">
        <v>57.932346344000003</v>
      </c>
      <c r="G2218">
        <v>1340.2669678</v>
      </c>
      <c r="H2218">
        <v>1337.7835693</v>
      </c>
      <c r="I2218">
        <v>1326.8859863</v>
      </c>
      <c r="J2218">
        <v>1324.9090576000001</v>
      </c>
      <c r="K2218">
        <v>2750</v>
      </c>
      <c r="L2218">
        <v>0</v>
      </c>
      <c r="M2218">
        <v>0</v>
      </c>
      <c r="N2218">
        <v>2750</v>
      </c>
    </row>
    <row r="2219" spans="1:14" x14ac:dyDescent="0.25">
      <c r="A2219">
        <v>1134.4157029999999</v>
      </c>
      <c r="B2219" s="1">
        <f>DATE(2013,6,8) + TIME(9,58,36)</f>
        <v>41433.415694444448</v>
      </c>
      <c r="C2219">
        <v>80</v>
      </c>
      <c r="D2219">
        <v>79.976524353000002</v>
      </c>
      <c r="E2219">
        <v>60</v>
      </c>
      <c r="F2219">
        <v>57.901416779000002</v>
      </c>
      <c r="G2219">
        <v>1340.2606201000001</v>
      </c>
      <c r="H2219">
        <v>1337.7817382999999</v>
      </c>
      <c r="I2219">
        <v>1326.8699951000001</v>
      </c>
      <c r="J2219">
        <v>1324.8859863</v>
      </c>
      <c r="K2219">
        <v>2750</v>
      </c>
      <c r="L2219">
        <v>0</v>
      </c>
      <c r="M2219">
        <v>0</v>
      </c>
      <c r="N2219">
        <v>2750</v>
      </c>
    </row>
    <row r="2220" spans="1:14" x14ac:dyDescent="0.25">
      <c r="A2220">
        <v>1135.2349079999999</v>
      </c>
      <c r="B2220" s="1">
        <f>DATE(2013,6,9) + TIME(5,38,16)</f>
        <v>41434.234907407408</v>
      </c>
      <c r="C2220">
        <v>80</v>
      </c>
      <c r="D2220">
        <v>79.976493834999999</v>
      </c>
      <c r="E2220">
        <v>60</v>
      </c>
      <c r="F2220">
        <v>57.870052338000001</v>
      </c>
      <c r="G2220">
        <v>1340.2543945</v>
      </c>
      <c r="H2220">
        <v>1337.7799072</v>
      </c>
      <c r="I2220">
        <v>1326.8536377</v>
      </c>
      <c r="J2220">
        <v>1324.8625488</v>
      </c>
      <c r="K2220">
        <v>2750</v>
      </c>
      <c r="L2220">
        <v>0</v>
      </c>
      <c r="M2220">
        <v>0</v>
      </c>
      <c r="N2220">
        <v>2750</v>
      </c>
    </row>
    <row r="2221" spans="1:14" x14ac:dyDescent="0.25">
      <c r="A2221">
        <v>1136.0790689999999</v>
      </c>
      <c r="B2221" s="1">
        <f>DATE(2013,6,10) + TIME(1,53,51)</f>
        <v>41435.079062500001</v>
      </c>
      <c r="C2221">
        <v>80</v>
      </c>
      <c r="D2221">
        <v>79.976463318</v>
      </c>
      <c r="E2221">
        <v>60</v>
      </c>
      <c r="F2221">
        <v>57.838146209999998</v>
      </c>
      <c r="G2221">
        <v>1340.2479248</v>
      </c>
      <c r="H2221">
        <v>1337.7780762</v>
      </c>
      <c r="I2221">
        <v>1326.8370361</v>
      </c>
      <c r="J2221">
        <v>1324.838501</v>
      </c>
      <c r="K2221">
        <v>2750</v>
      </c>
      <c r="L2221">
        <v>0</v>
      </c>
      <c r="M2221">
        <v>0</v>
      </c>
      <c r="N2221">
        <v>2750</v>
      </c>
    </row>
    <row r="2222" spans="1:14" x14ac:dyDescent="0.25">
      <c r="A2222">
        <v>1136.9647689999999</v>
      </c>
      <c r="B2222" s="1">
        <f>DATE(2013,6,10) + TIME(23,9,16)</f>
        <v>41435.964768518519</v>
      </c>
      <c r="C2222">
        <v>80</v>
      </c>
      <c r="D2222">
        <v>79.976440429999997</v>
      </c>
      <c r="E2222">
        <v>60</v>
      </c>
      <c r="F2222">
        <v>57.805358886999997</v>
      </c>
      <c r="G2222">
        <v>1340.2415771000001</v>
      </c>
      <c r="H2222">
        <v>1337.7761230000001</v>
      </c>
      <c r="I2222">
        <v>1326.8199463000001</v>
      </c>
      <c r="J2222">
        <v>1324.8139647999999</v>
      </c>
      <c r="K2222">
        <v>2750</v>
      </c>
      <c r="L2222">
        <v>0</v>
      </c>
      <c r="M2222">
        <v>0</v>
      </c>
      <c r="N2222">
        <v>2750</v>
      </c>
    </row>
    <row r="2223" spans="1:14" x14ac:dyDescent="0.25">
      <c r="A2223">
        <v>1137.875256</v>
      </c>
      <c r="B2223" s="1">
        <f>DATE(2013,6,11) + TIME(21,0,22)</f>
        <v>41436.875254629631</v>
      </c>
      <c r="C2223">
        <v>80</v>
      </c>
      <c r="D2223">
        <v>79.976409911999994</v>
      </c>
      <c r="E2223">
        <v>60</v>
      </c>
      <c r="F2223">
        <v>57.771762848000002</v>
      </c>
      <c r="G2223">
        <v>1340.2349853999999</v>
      </c>
      <c r="H2223">
        <v>1337.7741699000001</v>
      </c>
      <c r="I2223">
        <v>1326.8022461</v>
      </c>
      <c r="J2223">
        <v>1324.7885742000001</v>
      </c>
      <c r="K2223">
        <v>2750</v>
      </c>
      <c r="L2223">
        <v>0</v>
      </c>
      <c r="M2223">
        <v>0</v>
      </c>
      <c r="N2223">
        <v>2750</v>
      </c>
    </row>
    <row r="2224" spans="1:14" x14ac:dyDescent="0.25">
      <c r="A2224">
        <v>1138.7992340000001</v>
      </c>
      <c r="B2224" s="1">
        <f>DATE(2013,6,12) + TIME(19,10,53)</f>
        <v>41437.799224537041</v>
      </c>
      <c r="C2224">
        <v>80</v>
      </c>
      <c r="D2224">
        <v>79.976379394999995</v>
      </c>
      <c r="E2224">
        <v>60</v>
      </c>
      <c r="F2224">
        <v>57.737644195999998</v>
      </c>
      <c r="G2224">
        <v>1340.2282714999999</v>
      </c>
      <c r="H2224">
        <v>1337.7722168</v>
      </c>
      <c r="I2224">
        <v>1326.7841797000001</v>
      </c>
      <c r="J2224">
        <v>1324.7624512</v>
      </c>
      <c r="K2224">
        <v>2750</v>
      </c>
      <c r="L2224">
        <v>0</v>
      </c>
      <c r="M2224">
        <v>0</v>
      </c>
      <c r="N2224">
        <v>2750</v>
      </c>
    </row>
    <row r="2225" spans="1:14" x14ac:dyDescent="0.25">
      <c r="A2225">
        <v>1139.741569</v>
      </c>
      <c r="B2225" s="1">
        <f>DATE(2013,6,13) + TIME(17,47,51)</f>
        <v>41438.741562499999</v>
      </c>
      <c r="C2225">
        <v>80</v>
      </c>
      <c r="D2225">
        <v>79.976348877000007</v>
      </c>
      <c r="E2225">
        <v>60</v>
      </c>
      <c r="F2225">
        <v>57.703121185000001</v>
      </c>
      <c r="G2225">
        <v>1340.2216797000001</v>
      </c>
      <c r="H2225">
        <v>1337.7701416</v>
      </c>
      <c r="I2225">
        <v>1326.7658690999999</v>
      </c>
      <c r="J2225">
        <v>1324.7360839999999</v>
      </c>
      <c r="K2225">
        <v>2750</v>
      </c>
      <c r="L2225">
        <v>0</v>
      </c>
      <c r="M2225">
        <v>0</v>
      </c>
      <c r="N2225">
        <v>2750</v>
      </c>
    </row>
    <row r="2226" spans="1:14" x14ac:dyDescent="0.25">
      <c r="A2226">
        <v>1140.7063659999999</v>
      </c>
      <c r="B2226" s="1">
        <f>DATE(2013,6,14) + TIME(16,57,9)</f>
        <v>41439.706354166665</v>
      </c>
      <c r="C2226">
        <v>80</v>
      </c>
      <c r="D2226">
        <v>79.976318359000004</v>
      </c>
      <c r="E2226">
        <v>60</v>
      </c>
      <c r="F2226">
        <v>57.668155669999997</v>
      </c>
      <c r="G2226">
        <v>1340.2150879000001</v>
      </c>
      <c r="H2226">
        <v>1337.7681885</v>
      </c>
      <c r="I2226">
        <v>1326.7471923999999</v>
      </c>
      <c r="J2226">
        <v>1324.7092285000001</v>
      </c>
      <c r="K2226">
        <v>2750</v>
      </c>
      <c r="L2226">
        <v>0</v>
      </c>
      <c r="M2226">
        <v>0</v>
      </c>
      <c r="N2226">
        <v>2750</v>
      </c>
    </row>
    <row r="2227" spans="1:14" x14ac:dyDescent="0.25">
      <c r="A2227">
        <v>1141.688318</v>
      </c>
      <c r="B2227" s="1">
        <f>DATE(2013,6,15) + TIME(16,31,10)</f>
        <v>41440.688310185185</v>
      </c>
      <c r="C2227">
        <v>80</v>
      </c>
      <c r="D2227">
        <v>79.976287842000005</v>
      </c>
      <c r="E2227">
        <v>60</v>
      </c>
      <c r="F2227">
        <v>57.632797240999999</v>
      </c>
      <c r="G2227">
        <v>1340.2084961</v>
      </c>
      <c r="H2227">
        <v>1337.7661132999999</v>
      </c>
      <c r="I2227">
        <v>1326.7282714999999</v>
      </c>
      <c r="J2227">
        <v>1324.6820068</v>
      </c>
      <c r="K2227">
        <v>2750</v>
      </c>
      <c r="L2227">
        <v>0</v>
      </c>
      <c r="M2227">
        <v>0</v>
      </c>
      <c r="N2227">
        <v>2750</v>
      </c>
    </row>
    <row r="2228" spans="1:14" x14ac:dyDescent="0.25">
      <c r="A2228">
        <v>1142.6935410000001</v>
      </c>
      <c r="B2228" s="1">
        <f>DATE(2013,6,16) + TIME(16,38,41)</f>
        <v>41441.693530092591</v>
      </c>
      <c r="C2228">
        <v>80</v>
      </c>
      <c r="D2228">
        <v>79.976257324000002</v>
      </c>
      <c r="E2228">
        <v>60</v>
      </c>
      <c r="F2228">
        <v>57.597007751</v>
      </c>
      <c r="G2228">
        <v>1340.2019043</v>
      </c>
      <c r="H2228">
        <v>1337.7640381000001</v>
      </c>
      <c r="I2228">
        <v>1326.7091064000001</v>
      </c>
      <c r="J2228">
        <v>1324.6544189000001</v>
      </c>
      <c r="K2228">
        <v>2750</v>
      </c>
      <c r="L2228">
        <v>0</v>
      </c>
      <c r="M2228">
        <v>0</v>
      </c>
      <c r="N2228">
        <v>2750</v>
      </c>
    </row>
    <row r="2229" spans="1:14" x14ac:dyDescent="0.25">
      <c r="A2229">
        <v>1143.7346419999999</v>
      </c>
      <c r="B2229" s="1">
        <f>DATE(2013,6,17) + TIME(17,37,53)</f>
        <v>41442.7346412037</v>
      </c>
      <c r="C2229">
        <v>80</v>
      </c>
      <c r="D2229">
        <v>79.976234435999999</v>
      </c>
      <c r="E2229">
        <v>60</v>
      </c>
      <c r="F2229">
        <v>57.560565947999997</v>
      </c>
      <c r="G2229">
        <v>1340.1954346</v>
      </c>
      <c r="H2229">
        <v>1337.7619629000001</v>
      </c>
      <c r="I2229">
        <v>1326.6896973</v>
      </c>
      <c r="J2229">
        <v>1324.6263428</v>
      </c>
      <c r="K2229">
        <v>2750</v>
      </c>
      <c r="L2229">
        <v>0</v>
      </c>
      <c r="M2229">
        <v>0</v>
      </c>
      <c r="N2229">
        <v>2750</v>
      </c>
    </row>
    <row r="2230" spans="1:14" x14ac:dyDescent="0.25">
      <c r="A2230">
        <v>1144.7840329999999</v>
      </c>
      <c r="B2230" s="1">
        <f>DATE(2013,6,18) + TIME(18,49,0)</f>
        <v>41443.78402777778</v>
      </c>
      <c r="C2230">
        <v>80</v>
      </c>
      <c r="D2230">
        <v>79.976203917999996</v>
      </c>
      <c r="E2230">
        <v>60</v>
      </c>
      <c r="F2230">
        <v>57.523674010999997</v>
      </c>
      <c r="G2230">
        <v>1340.1887207</v>
      </c>
      <c r="H2230">
        <v>1337.7597656</v>
      </c>
      <c r="I2230">
        <v>1326.6697998</v>
      </c>
      <c r="J2230">
        <v>1324.5976562000001</v>
      </c>
      <c r="K2230">
        <v>2750</v>
      </c>
      <c r="L2230">
        <v>0</v>
      </c>
      <c r="M2230">
        <v>0</v>
      </c>
      <c r="N2230">
        <v>2750</v>
      </c>
    </row>
    <row r="2231" spans="1:14" x14ac:dyDescent="0.25">
      <c r="A2231">
        <v>1145.8361150000001</v>
      </c>
      <c r="B2231" s="1">
        <f>DATE(2013,6,19) + TIME(20,4,0)</f>
        <v>41444.836111111108</v>
      </c>
      <c r="C2231">
        <v>80</v>
      </c>
      <c r="D2231">
        <v>79.976181030000006</v>
      </c>
      <c r="E2231">
        <v>60</v>
      </c>
      <c r="F2231">
        <v>57.486698150999999</v>
      </c>
      <c r="G2231">
        <v>1340.1821289</v>
      </c>
      <c r="H2231">
        <v>1337.7576904</v>
      </c>
      <c r="I2231">
        <v>1326.6497803</v>
      </c>
      <c r="J2231">
        <v>1324.5688477000001</v>
      </c>
      <c r="K2231">
        <v>2750</v>
      </c>
      <c r="L2231">
        <v>0</v>
      </c>
      <c r="M2231">
        <v>0</v>
      </c>
      <c r="N2231">
        <v>2750</v>
      </c>
    </row>
    <row r="2232" spans="1:14" x14ac:dyDescent="0.25">
      <c r="A2232">
        <v>1146.895381</v>
      </c>
      <c r="B2232" s="1">
        <f>DATE(2013,6,20) + TIME(21,29,20)</f>
        <v>41445.895370370374</v>
      </c>
      <c r="C2232">
        <v>80</v>
      </c>
      <c r="D2232">
        <v>79.976150512999993</v>
      </c>
      <c r="E2232">
        <v>60</v>
      </c>
      <c r="F2232">
        <v>57.449752808</v>
      </c>
      <c r="G2232">
        <v>1340.1756591999999</v>
      </c>
      <c r="H2232">
        <v>1337.7554932</v>
      </c>
      <c r="I2232">
        <v>1326.6297606999999</v>
      </c>
      <c r="J2232">
        <v>1324.5400391000001</v>
      </c>
      <c r="K2232">
        <v>2750</v>
      </c>
      <c r="L2232">
        <v>0</v>
      </c>
      <c r="M2232">
        <v>0</v>
      </c>
      <c r="N2232">
        <v>2750</v>
      </c>
    </row>
    <row r="2233" spans="1:14" x14ac:dyDescent="0.25">
      <c r="A2233">
        <v>1147.9662510000001</v>
      </c>
      <c r="B2233" s="1">
        <f>DATE(2013,6,21) + TIME(23,11,24)</f>
        <v>41446.966249999998</v>
      </c>
      <c r="C2233">
        <v>80</v>
      </c>
      <c r="D2233">
        <v>79.976127625000004</v>
      </c>
      <c r="E2233">
        <v>60</v>
      </c>
      <c r="F2233">
        <v>57.412784576</v>
      </c>
      <c r="G2233">
        <v>1340.1693115</v>
      </c>
      <c r="H2233">
        <v>1337.753418</v>
      </c>
      <c r="I2233">
        <v>1326.6098632999999</v>
      </c>
      <c r="J2233">
        <v>1324.5111084</v>
      </c>
      <c r="K2233">
        <v>2750</v>
      </c>
      <c r="L2233">
        <v>0</v>
      </c>
      <c r="M2233">
        <v>0</v>
      </c>
      <c r="N2233">
        <v>2750</v>
      </c>
    </row>
    <row r="2234" spans="1:14" x14ac:dyDescent="0.25">
      <c r="A2234">
        <v>1149.053273</v>
      </c>
      <c r="B2234" s="1">
        <f>DATE(2013,6,23) + TIME(1,16,42)</f>
        <v>41448.053263888891</v>
      </c>
      <c r="C2234">
        <v>80</v>
      </c>
      <c r="D2234">
        <v>79.976104735999996</v>
      </c>
      <c r="E2234">
        <v>60</v>
      </c>
      <c r="F2234">
        <v>57.375675201</v>
      </c>
      <c r="G2234">
        <v>1340.1629639</v>
      </c>
      <c r="H2234">
        <v>1337.7512207</v>
      </c>
      <c r="I2234">
        <v>1326.5898437999999</v>
      </c>
      <c r="J2234">
        <v>1324.4822998</v>
      </c>
      <c r="K2234">
        <v>2750</v>
      </c>
      <c r="L2234">
        <v>0</v>
      </c>
      <c r="M2234">
        <v>0</v>
      </c>
      <c r="N2234">
        <v>2750</v>
      </c>
    </row>
    <row r="2235" spans="1:14" x14ac:dyDescent="0.25">
      <c r="A2235">
        <v>1150.161419</v>
      </c>
      <c r="B2235" s="1">
        <f>DATE(2013,6,24) + TIME(3,52,26)</f>
        <v>41449.161412037036</v>
      </c>
      <c r="C2235">
        <v>80</v>
      </c>
      <c r="D2235">
        <v>79.976074218999997</v>
      </c>
      <c r="E2235">
        <v>60</v>
      </c>
      <c r="F2235">
        <v>57.338279724000003</v>
      </c>
      <c r="G2235">
        <v>1340.1566161999999</v>
      </c>
      <c r="H2235">
        <v>1337.7491454999999</v>
      </c>
      <c r="I2235">
        <v>1326.5697021000001</v>
      </c>
      <c r="J2235">
        <v>1324.4532471</v>
      </c>
      <c r="K2235">
        <v>2750</v>
      </c>
      <c r="L2235">
        <v>0</v>
      </c>
      <c r="M2235">
        <v>0</v>
      </c>
      <c r="N2235">
        <v>2750</v>
      </c>
    </row>
    <row r="2236" spans="1:14" x14ac:dyDescent="0.25">
      <c r="A2236">
        <v>1151.2953869999999</v>
      </c>
      <c r="B2236" s="1">
        <f>DATE(2013,6,25) + TIME(7,5,21)</f>
        <v>41450.295381944445</v>
      </c>
      <c r="C2236">
        <v>80</v>
      </c>
      <c r="D2236">
        <v>79.976051330999994</v>
      </c>
      <c r="E2236">
        <v>60</v>
      </c>
      <c r="F2236">
        <v>57.300437926999997</v>
      </c>
      <c r="G2236">
        <v>1340.1502685999999</v>
      </c>
      <c r="H2236">
        <v>1337.7469481999999</v>
      </c>
      <c r="I2236">
        <v>1326.5494385</v>
      </c>
      <c r="J2236">
        <v>1324.4238281</v>
      </c>
      <c r="K2236">
        <v>2750</v>
      </c>
      <c r="L2236">
        <v>0</v>
      </c>
      <c r="M2236">
        <v>0</v>
      </c>
      <c r="N2236">
        <v>2750</v>
      </c>
    </row>
    <row r="2237" spans="1:14" x14ac:dyDescent="0.25">
      <c r="A2237">
        <v>1152.4603549999999</v>
      </c>
      <c r="B2237" s="1">
        <f>DATE(2013,6,26) + TIME(11,2,54)</f>
        <v>41451.460347222222</v>
      </c>
      <c r="C2237">
        <v>80</v>
      </c>
      <c r="D2237">
        <v>79.976028442</v>
      </c>
      <c r="E2237">
        <v>60</v>
      </c>
      <c r="F2237">
        <v>57.261989593999999</v>
      </c>
      <c r="G2237">
        <v>1340.1439209</v>
      </c>
      <c r="H2237">
        <v>1337.7446289</v>
      </c>
      <c r="I2237">
        <v>1326.5289307</v>
      </c>
      <c r="J2237">
        <v>1324.3941649999999</v>
      </c>
      <c r="K2237">
        <v>2750</v>
      </c>
      <c r="L2237">
        <v>0</v>
      </c>
      <c r="M2237">
        <v>0</v>
      </c>
      <c r="N2237">
        <v>2750</v>
      </c>
    </row>
    <row r="2238" spans="1:14" x14ac:dyDescent="0.25">
      <c r="A2238">
        <v>1153.671251</v>
      </c>
      <c r="B2238" s="1">
        <f>DATE(2013,6,27) + TIME(16,6,36)</f>
        <v>41452.671249999999</v>
      </c>
      <c r="C2238">
        <v>80</v>
      </c>
      <c r="D2238">
        <v>79.976005553999997</v>
      </c>
      <c r="E2238">
        <v>60</v>
      </c>
      <c r="F2238">
        <v>57.222648620999998</v>
      </c>
      <c r="G2238">
        <v>1340.1375731999999</v>
      </c>
      <c r="H2238">
        <v>1337.7424315999999</v>
      </c>
      <c r="I2238">
        <v>1326.5079346</v>
      </c>
      <c r="J2238">
        <v>1324.3638916</v>
      </c>
      <c r="K2238">
        <v>2750</v>
      </c>
      <c r="L2238">
        <v>0</v>
      </c>
      <c r="M2238">
        <v>0</v>
      </c>
      <c r="N2238">
        <v>2750</v>
      </c>
    </row>
    <row r="2239" spans="1:14" x14ac:dyDescent="0.25">
      <c r="A2239">
        <v>1154.9153349999999</v>
      </c>
      <c r="B2239" s="1">
        <f>DATE(2013,6,28) + TIME(21,58,4)</f>
        <v>41453.915324074071</v>
      </c>
      <c r="C2239">
        <v>80</v>
      </c>
      <c r="D2239">
        <v>79.975990295000003</v>
      </c>
      <c r="E2239">
        <v>60</v>
      </c>
      <c r="F2239">
        <v>57.182315826</v>
      </c>
      <c r="G2239">
        <v>1340.1309814000001</v>
      </c>
      <c r="H2239">
        <v>1337.7401123</v>
      </c>
      <c r="I2239">
        <v>1326.4865723</v>
      </c>
      <c r="J2239">
        <v>1324.3328856999999</v>
      </c>
      <c r="K2239">
        <v>2750</v>
      </c>
      <c r="L2239">
        <v>0</v>
      </c>
      <c r="M2239">
        <v>0</v>
      </c>
      <c r="N2239">
        <v>2750</v>
      </c>
    </row>
    <row r="2240" spans="1:14" x14ac:dyDescent="0.25">
      <c r="A2240">
        <v>1156.19289</v>
      </c>
      <c r="B2240" s="1">
        <f>DATE(2013,6,30) + TIME(4,37,45)</f>
        <v>41455.192881944444</v>
      </c>
      <c r="C2240">
        <v>80</v>
      </c>
      <c r="D2240">
        <v>79.975967406999999</v>
      </c>
      <c r="E2240">
        <v>60</v>
      </c>
      <c r="F2240">
        <v>57.141078948999997</v>
      </c>
      <c r="G2240">
        <v>1340.1245117000001</v>
      </c>
      <c r="H2240">
        <v>1337.7376709</v>
      </c>
      <c r="I2240">
        <v>1326.4647216999999</v>
      </c>
      <c r="J2240">
        <v>1324.3013916</v>
      </c>
      <c r="K2240">
        <v>2750</v>
      </c>
      <c r="L2240">
        <v>0</v>
      </c>
      <c r="M2240">
        <v>0</v>
      </c>
      <c r="N2240">
        <v>2750</v>
      </c>
    </row>
    <row r="2241" spans="1:14" x14ac:dyDescent="0.25">
      <c r="A2241">
        <v>1157</v>
      </c>
      <c r="B2241" s="1">
        <f>DATE(2013,7,1) + TIME(0,0,0)</f>
        <v>41456</v>
      </c>
      <c r="C2241">
        <v>80</v>
      </c>
      <c r="D2241">
        <v>79.975944518999995</v>
      </c>
      <c r="E2241">
        <v>60</v>
      </c>
      <c r="F2241">
        <v>57.106235503999997</v>
      </c>
      <c r="G2241">
        <v>1340.1179199000001</v>
      </c>
      <c r="H2241">
        <v>1337.7352295000001</v>
      </c>
      <c r="I2241">
        <v>1326.4433594</v>
      </c>
      <c r="J2241">
        <v>1324.2707519999999</v>
      </c>
      <c r="K2241">
        <v>2750</v>
      </c>
      <c r="L2241">
        <v>0</v>
      </c>
      <c r="M2241">
        <v>0</v>
      </c>
      <c r="N2241">
        <v>2750</v>
      </c>
    </row>
    <row r="2242" spans="1:14" x14ac:dyDescent="0.25">
      <c r="A2242">
        <v>1158.3388259999999</v>
      </c>
      <c r="B2242" s="1">
        <f>DATE(2013,7,2) + TIME(8,7,54)</f>
        <v>41457.338819444441</v>
      </c>
      <c r="C2242">
        <v>80</v>
      </c>
      <c r="D2242">
        <v>79.975929260000001</v>
      </c>
      <c r="E2242">
        <v>60</v>
      </c>
      <c r="F2242">
        <v>57.069473266999999</v>
      </c>
      <c r="G2242">
        <v>1340.1138916</v>
      </c>
      <c r="H2242">
        <v>1337.7337646000001</v>
      </c>
      <c r="I2242">
        <v>1326.4268798999999</v>
      </c>
      <c r="J2242">
        <v>1324.2460937999999</v>
      </c>
      <c r="K2242">
        <v>2750</v>
      </c>
      <c r="L2242">
        <v>0</v>
      </c>
      <c r="M2242">
        <v>0</v>
      </c>
      <c r="N2242">
        <v>2750</v>
      </c>
    </row>
    <row r="2243" spans="1:14" x14ac:dyDescent="0.25">
      <c r="A2243">
        <v>1159.750777</v>
      </c>
      <c r="B2243" s="1">
        <f>DATE(2013,7,3) + TIME(18,1,7)</f>
        <v>41458.750775462962</v>
      </c>
      <c r="C2243">
        <v>80</v>
      </c>
      <c r="D2243">
        <v>79.975906371999997</v>
      </c>
      <c r="E2243">
        <v>60</v>
      </c>
      <c r="F2243">
        <v>57.027366637999997</v>
      </c>
      <c r="G2243">
        <v>1340.1071777</v>
      </c>
      <c r="H2243">
        <v>1337.7313231999999</v>
      </c>
      <c r="I2243">
        <v>1326.4052733999999</v>
      </c>
      <c r="J2243">
        <v>1324.2149658000001</v>
      </c>
      <c r="K2243">
        <v>2750</v>
      </c>
      <c r="L2243">
        <v>0</v>
      </c>
      <c r="M2243">
        <v>0</v>
      </c>
      <c r="N2243">
        <v>2750</v>
      </c>
    </row>
    <row r="2244" spans="1:14" x14ac:dyDescent="0.25">
      <c r="A2244">
        <v>1161.219116</v>
      </c>
      <c r="B2244" s="1">
        <f>DATE(2013,7,5) + TIME(5,15,31)</f>
        <v>41460.219108796293</v>
      </c>
      <c r="C2244">
        <v>80</v>
      </c>
      <c r="D2244">
        <v>79.975891113000003</v>
      </c>
      <c r="E2244">
        <v>60</v>
      </c>
      <c r="F2244">
        <v>56.982158661</v>
      </c>
      <c r="G2244">
        <v>1340.1003418</v>
      </c>
      <c r="H2244">
        <v>1337.7287598</v>
      </c>
      <c r="I2244">
        <v>1326.3820800999999</v>
      </c>
      <c r="J2244">
        <v>1324.1813964999999</v>
      </c>
      <c r="K2244">
        <v>2750</v>
      </c>
      <c r="L2244">
        <v>0</v>
      </c>
      <c r="M2244">
        <v>0</v>
      </c>
      <c r="N2244">
        <v>2750</v>
      </c>
    </row>
    <row r="2245" spans="1:14" x14ac:dyDescent="0.25">
      <c r="A2245">
        <v>1162.751145</v>
      </c>
      <c r="B2245" s="1">
        <f>DATE(2013,7,6) + TIME(18,1,38)</f>
        <v>41461.751134259262</v>
      </c>
      <c r="C2245">
        <v>80</v>
      </c>
      <c r="D2245">
        <v>79.975868224999999</v>
      </c>
      <c r="E2245">
        <v>60</v>
      </c>
      <c r="F2245">
        <v>56.934787749999998</v>
      </c>
      <c r="G2245">
        <v>1340.0932617000001</v>
      </c>
      <c r="H2245">
        <v>1337.7260742000001</v>
      </c>
      <c r="I2245">
        <v>1326.3580322</v>
      </c>
      <c r="J2245">
        <v>1324.1463623</v>
      </c>
      <c r="K2245">
        <v>2750</v>
      </c>
      <c r="L2245">
        <v>0</v>
      </c>
      <c r="M2245">
        <v>0</v>
      </c>
      <c r="N2245">
        <v>2750</v>
      </c>
    </row>
    <row r="2246" spans="1:14" x14ac:dyDescent="0.25">
      <c r="A2246">
        <v>1164.2982930000001</v>
      </c>
      <c r="B2246" s="1">
        <f>DATE(2013,7,8) + TIME(7,9,32)</f>
        <v>41463.29828703704</v>
      </c>
      <c r="C2246">
        <v>80</v>
      </c>
      <c r="D2246">
        <v>79.975852966000005</v>
      </c>
      <c r="E2246">
        <v>60</v>
      </c>
      <c r="F2246">
        <v>56.885898589999996</v>
      </c>
      <c r="G2246">
        <v>1340.0861815999999</v>
      </c>
      <c r="H2246">
        <v>1337.7232666</v>
      </c>
      <c r="I2246">
        <v>1326.3331298999999</v>
      </c>
      <c r="J2246">
        <v>1324.1103516000001</v>
      </c>
      <c r="K2246">
        <v>2750</v>
      </c>
      <c r="L2246">
        <v>0</v>
      </c>
      <c r="M2246">
        <v>0</v>
      </c>
      <c r="N2246">
        <v>2750</v>
      </c>
    </row>
    <row r="2247" spans="1:14" x14ac:dyDescent="0.25">
      <c r="A2247">
        <v>1165.862541</v>
      </c>
      <c r="B2247" s="1">
        <f>DATE(2013,7,9) + TIME(20,42,3)</f>
        <v>41464.862534722219</v>
      </c>
      <c r="C2247">
        <v>80</v>
      </c>
      <c r="D2247">
        <v>79.975830078000001</v>
      </c>
      <c r="E2247">
        <v>60</v>
      </c>
      <c r="F2247">
        <v>56.836311340000002</v>
      </c>
      <c r="G2247">
        <v>1340.0791016000001</v>
      </c>
      <c r="H2247">
        <v>1337.7204589999999</v>
      </c>
      <c r="I2247">
        <v>1326.3081055</v>
      </c>
      <c r="J2247">
        <v>1324.0738524999999</v>
      </c>
      <c r="K2247">
        <v>2750</v>
      </c>
      <c r="L2247">
        <v>0</v>
      </c>
      <c r="M2247">
        <v>0</v>
      </c>
      <c r="N2247">
        <v>2750</v>
      </c>
    </row>
    <row r="2248" spans="1:14" x14ac:dyDescent="0.25">
      <c r="A2248">
        <v>1167.442454</v>
      </c>
      <c r="B2248" s="1">
        <f>DATE(2013,7,11) + TIME(10,37,8)</f>
        <v>41466.442453703705</v>
      </c>
      <c r="C2248">
        <v>80</v>
      </c>
      <c r="D2248">
        <v>79.975814818999993</v>
      </c>
      <c r="E2248">
        <v>60</v>
      </c>
      <c r="F2248">
        <v>56.786247252999999</v>
      </c>
      <c r="G2248">
        <v>1340.0718993999999</v>
      </c>
      <c r="H2248">
        <v>1337.7175293</v>
      </c>
      <c r="I2248">
        <v>1326.2832031</v>
      </c>
      <c r="J2248">
        <v>1324.0374756000001</v>
      </c>
      <c r="K2248">
        <v>2750</v>
      </c>
      <c r="L2248">
        <v>0</v>
      </c>
      <c r="M2248">
        <v>0</v>
      </c>
      <c r="N2248">
        <v>2750</v>
      </c>
    </row>
    <row r="2249" spans="1:14" x14ac:dyDescent="0.25">
      <c r="A2249">
        <v>1169.0262769999999</v>
      </c>
      <c r="B2249" s="1">
        <f>DATE(2013,7,13) + TIME(0,37,50)</f>
        <v>41468.026273148149</v>
      </c>
      <c r="C2249">
        <v>80</v>
      </c>
      <c r="D2249">
        <v>79.975791931000003</v>
      </c>
      <c r="E2249">
        <v>60</v>
      </c>
      <c r="F2249">
        <v>56.735885619999998</v>
      </c>
      <c r="G2249">
        <v>1340.0648193</v>
      </c>
      <c r="H2249">
        <v>1337.7145995999999</v>
      </c>
      <c r="I2249">
        <v>1326.2584228999999</v>
      </c>
      <c r="J2249">
        <v>1324.0012207</v>
      </c>
      <c r="K2249">
        <v>2750</v>
      </c>
      <c r="L2249">
        <v>0</v>
      </c>
      <c r="M2249">
        <v>0</v>
      </c>
      <c r="N2249">
        <v>2750</v>
      </c>
    </row>
    <row r="2250" spans="1:14" x14ac:dyDescent="0.25">
      <c r="A2250">
        <v>1170.6169520000001</v>
      </c>
      <c r="B2250" s="1">
        <f>DATE(2013,7,14) + TIME(14,48,24)</f>
        <v>41469.616944444446</v>
      </c>
      <c r="C2250">
        <v>80</v>
      </c>
      <c r="D2250">
        <v>79.975776671999995</v>
      </c>
      <c r="E2250">
        <v>60</v>
      </c>
      <c r="F2250">
        <v>56.685390472000002</v>
      </c>
      <c r="G2250">
        <v>1340.0578613</v>
      </c>
      <c r="H2250">
        <v>1337.7117920000001</v>
      </c>
      <c r="I2250">
        <v>1326.2338867000001</v>
      </c>
      <c r="J2250">
        <v>1323.965332</v>
      </c>
      <c r="K2250">
        <v>2750</v>
      </c>
      <c r="L2250">
        <v>0</v>
      </c>
      <c r="M2250">
        <v>0</v>
      </c>
      <c r="N2250">
        <v>2750</v>
      </c>
    </row>
    <row r="2251" spans="1:14" x14ac:dyDescent="0.25">
      <c r="A2251">
        <v>1172.2227949999999</v>
      </c>
      <c r="B2251" s="1">
        <f>DATE(2013,7,16) + TIME(5,20,49)</f>
        <v>41471.22278935185</v>
      </c>
      <c r="C2251">
        <v>80</v>
      </c>
      <c r="D2251">
        <v>79.975761414000004</v>
      </c>
      <c r="E2251">
        <v>60</v>
      </c>
      <c r="F2251">
        <v>56.634696959999999</v>
      </c>
      <c r="G2251">
        <v>1340.0510254000001</v>
      </c>
      <c r="H2251">
        <v>1337.7088623</v>
      </c>
      <c r="I2251">
        <v>1326.2095947</v>
      </c>
      <c r="J2251">
        <v>1323.9296875</v>
      </c>
      <c r="K2251">
        <v>2750</v>
      </c>
      <c r="L2251">
        <v>0</v>
      </c>
      <c r="M2251">
        <v>0</v>
      </c>
      <c r="N2251">
        <v>2750</v>
      </c>
    </row>
    <row r="2252" spans="1:14" x14ac:dyDescent="0.25">
      <c r="A2252">
        <v>1173.851639</v>
      </c>
      <c r="B2252" s="1">
        <f>DATE(2013,7,17) + TIME(20,26,21)</f>
        <v>41472.851631944446</v>
      </c>
      <c r="C2252">
        <v>80</v>
      </c>
      <c r="D2252">
        <v>79.975746154999996</v>
      </c>
      <c r="E2252">
        <v>60</v>
      </c>
      <c r="F2252">
        <v>56.583602904999999</v>
      </c>
      <c r="G2252">
        <v>1340.0443115</v>
      </c>
      <c r="H2252">
        <v>1337.7060547000001</v>
      </c>
      <c r="I2252">
        <v>1326.1855469</v>
      </c>
      <c r="J2252">
        <v>1323.8944091999999</v>
      </c>
      <c r="K2252">
        <v>2750</v>
      </c>
      <c r="L2252">
        <v>0</v>
      </c>
      <c r="M2252">
        <v>0</v>
      </c>
      <c r="N2252">
        <v>2750</v>
      </c>
    </row>
    <row r="2253" spans="1:14" x14ac:dyDescent="0.25">
      <c r="A2253">
        <v>1175.511518</v>
      </c>
      <c r="B2253" s="1">
        <f>DATE(2013,7,19) + TIME(12,16,35)</f>
        <v>41474.511516203704</v>
      </c>
      <c r="C2253">
        <v>80</v>
      </c>
      <c r="D2253">
        <v>79.975730896000002</v>
      </c>
      <c r="E2253">
        <v>60</v>
      </c>
      <c r="F2253">
        <v>56.531879425</v>
      </c>
      <c r="G2253">
        <v>1340.0375977000001</v>
      </c>
      <c r="H2253">
        <v>1337.703125</v>
      </c>
      <c r="I2253">
        <v>1326.1616211</v>
      </c>
      <c r="J2253">
        <v>1323.8592529</v>
      </c>
      <c r="K2253">
        <v>2750</v>
      </c>
      <c r="L2253">
        <v>0</v>
      </c>
      <c r="M2253">
        <v>0</v>
      </c>
      <c r="N2253">
        <v>2750</v>
      </c>
    </row>
    <row r="2254" spans="1:14" x14ac:dyDescent="0.25">
      <c r="A2254">
        <v>1177.2111399999999</v>
      </c>
      <c r="B2254" s="1">
        <f>DATE(2013,7,21) + TIME(5,4,2)</f>
        <v>41476.211134259262</v>
      </c>
      <c r="C2254">
        <v>80</v>
      </c>
      <c r="D2254">
        <v>79.975715636999993</v>
      </c>
      <c r="E2254">
        <v>60</v>
      </c>
      <c r="F2254">
        <v>56.479309082</v>
      </c>
      <c r="G2254">
        <v>1340.0310059000001</v>
      </c>
      <c r="H2254">
        <v>1337.7003173999999</v>
      </c>
      <c r="I2254">
        <v>1326.1378173999999</v>
      </c>
      <c r="J2254">
        <v>1323.8239745999999</v>
      </c>
      <c r="K2254">
        <v>2750</v>
      </c>
      <c r="L2254">
        <v>0</v>
      </c>
      <c r="M2254">
        <v>0</v>
      </c>
      <c r="N2254">
        <v>2750</v>
      </c>
    </row>
    <row r="2255" spans="1:14" x14ac:dyDescent="0.25">
      <c r="A2255">
        <v>1178.979147</v>
      </c>
      <c r="B2255" s="1">
        <f>DATE(2013,7,22) + TIME(23,29,58)</f>
        <v>41477.979143518518</v>
      </c>
      <c r="C2255">
        <v>80</v>
      </c>
      <c r="D2255">
        <v>79.975708007999998</v>
      </c>
      <c r="E2255">
        <v>60</v>
      </c>
      <c r="F2255">
        <v>56.425518036</v>
      </c>
      <c r="G2255">
        <v>1340.0242920000001</v>
      </c>
      <c r="H2255">
        <v>1337.6973877</v>
      </c>
      <c r="I2255">
        <v>1326.1138916</v>
      </c>
      <c r="J2255">
        <v>1323.7885742000001</v>
      </c>
      <c r="K2255">
        <v>2750</v>
      </c>
      <c r="L2255">
        <v>0</v>
      </c>
      <c r="M2255">
        <v>0</v>
      </c>
      <c r="N2255">
        <v>2750</v>
      </c>
    </row>
    <row r="2256" spans="1:14" x14ac:dyDescent="0.25">
      <c r="A2256">
        <v>1180.8482260000001</v>
      </c>
      <c r="B2256" s="1">
        <f>DATE(2013,7,24) + TIME(20,21,26)</f>
        <v>41479.848217592589</v>
      </c>
      <c r="C2256">
        <v>80</v>
      </c>
      <c r="D2256">
        <v>79.975692749000004</v>
      </c>
      <c r="E2256">
        <v>60</v>
      </c>
      <c r="F2256">
        <v>56.369819640999999</v>
      </c>
      <c r="G2256">
        <v>1340.0175781</v>
      </c>
      <c r="H2256">
        <v>1337.6944579999999</v>
      </c>
      <c r="I2256">
        <v>1326.0895995999999</v>
      </c>
      <c r="J2256">
        <v>1323.7525635</v>
      </c>
      <c r="K2256">
        <v>2750</v>
      </c>
      <c r="L2256">
        <v>0</v>
      </c>
      <c r="M2256">
        <v>0</v>
      </c>
      <c r="N2256">
        <v>2750</v>
      </c>
    </row>
    <row r="2257" spans="1:14" x14ac:dyDescent="0.25">
      <c r="A2257">
        <v>1181.7915820000001</v>
      </c>
      <c r="B2257" s="1">
        <f>DATE(2013,7,25) + TIME(18,59,52)</f>
        <v>41480.791574074072</v>
      </c>
      <c r="C2257">
        <v>80</v>
      </c>
      <c r="D2257">
        <v>79.975677489999995</v>
      </c>
      <c r="E2257">
        <v>60</v>
      </c>
      <c r="F2257">
        <v>56.323661803999997</v>
      </c>
      <c r="G2257">
        <v>1340.0106201000001</v>
      </c>
      <c r="H2257">
        <v>1337.6912841999999</v>
      </c>
      <c r="I2257">
        <v>1326.0656738</v>
      </c>
      <c r="J2257">
        <v>1323.7176514</v>
      </c>
      <c r="K2257">
        <v>2750</v>
      </c>
      <c r="L2257">
        <v>0</v>
      </c>
      <c r="M2257">
        <v>0</v>
      </c>
      <c r="N2257">
        <v>2750</v>
      </c>
    </row>
    <row r="2258" spans="1:14" x14ac:dyDescent="0.25">
      <c r="A2258">
        <v>1182.7349380000001</v>
      </c>
      <c r="B2258" s="1">
        <f>DATE(2013,7,26) + TIME(17,38,18)</f>
        <v>41481.734930555554</v>
      </c>
      <c r="C2258">
        <v>80</v>
      </c>
      <c r="D2258">
        <v>79.975662231000001</v>
      </c>
      <c r="E2258">
        <v>60</v>
      </c>
      <c r="F2258">
        <v>56.287918091000002</v>
      </c>
      <c r="G2258">
        <v>1340.0072021000001</v>
      </c>
      <c r="H2258">
        <v>1337.6898193</v>
      </c>
      <c r="I2258">
        <v>1326.0501709</v>
      </c>
      <c r="J2258">
        <v>1323.6937256000001</v>
      </c>
      <c r="K2258">
        <v>2750</v>
      </c>
      <c r="L2258">
        <v>0</v>
      </c>
      <c r="M2258">
        <v>0</v>
      </c>
      <c r="N2258">
        <v>2750</v>
      </c>
    </row>
    <row r="2259" spans="1:14" x14ac:dyDescent="0.25">
      <c r="A2259">
        <v>1183.6782940000001</v>
      </c>
      <c r="B2259" s="1">
        <f>DATE(2013,7,27) + TIME(16,16,44)</f>
        <v>41482.678287037037</v>
      </c>
      <c r="C2259">
        <v>80</v>
      </c>
      <c r="D2259">
        <v>79.975662231000001</v>
      </c>
      <c r="E2259">
        <v>60</v>
      </c>
      <c r="F2259">
        <v>56.256473540999998</v>
      </c>
      <c r="G2259">
        <v>1340.0037841999999</v>
      </c>
      <c r="H2259">
        <v>1337.6882324000001</v>
      </c>
      <c r="I2259">
        <v>1326.0366211</v>
      </c>
      <c r="J2259">
        <v>1323.6730957</v>
      </c>
      <c r="K2259">
        <v>2750</v>
      </c>
      <c r="L2259">
        <v>0</v>
      </c>
      <c r="M2259">
        <v>0</v>
      </c>
      <c r="N2259">
        <v>2750</v>
      </c>
    </row>
    <row r="2260" spans="1:14" x14ac:dyDescent="0.25">
      <c r="A2260">
        <v>1184.6212680000001</v>
      </c>
      <c r="B2260" s="1">
        <f>DATE(2013,7,28) + TIME(14,54,37)</f>
        <v>41483.621261574073</v>
      </c>
      <c r="C2260">
        <v>80</v>
      </c>
      <c r="D2260">
        <v>79.975654602000006</v>
      </c>
      <c r="E2260">
        <v>60</v>
      </c>
      <c r="F2260">
        <v>56.226936340000002</v>
      </c>
      <c r="G2260">
        <v>1340.0004882999999</v>
      </c>
      <c r="H2260">
        <v>1337.6867675999999</v>
      </c>
      <c r="I2260">
        <v>1326.0239257999999</v>
      </c>
      <c r="J2260">
        <v>1323.6538086</v>
      </c>
      <c r="K2260">
        <v>2750</v>
      </c>
      <c r="L2260">
        <v>0</v>
      </c>
      <c r="M2260">
        <v>0</v>
      </c>
      <c r="N2260">
        <v>2750</v>
      </c>
    </row>
    <row r="2261" spans="1:14" x14ac:dyDescent="0.25">
      <c r="A2261">
        <v>1185.561526</v>
      </c>
      <c r="B2261" s="1">
        <f>DATE(2013,7,29) + TIME(13,28,35)</f>
        <v>41484.561516203707</v>
      </c>
      <c r="C2261">
        <v>80</v>
      </c>
      <c r="D2261">
        <v>79.975646972999996</v>
      </c>
      <c r="E2261">
        <v>60</v>
      </c>
      <c r="F2261">
        <v>56.198429107999999</v>
      </c>
      <c r="G2261">
        <v>1339.9971923999999</v>
      </c>
      <c r="H2261">
        <v>1337.6851807</v>
      </c>
      <c r="I2261">
        <v>1326.0115966999999</v>
      </c>
      <c r="J2261">
        <v>1323.635376</v>
      </c>
      <c r="K2261">
        <v>2750</v>
      </c>
      <c r="L2261">
        <v>0</v>
      </c>
      <c r="M2261">
        <v>0</v>
      </c>
      <c r="N2261">
        <v>2750</v>
      </c>
    </row>
    <row r="2262" spans="1:14" x14ac:dyDescent="0.25">
      <c r="A2262">
        <v>1186.4999809999999</v>
      </c>
      <c r="B2262" s="1">
        <f>DATE(2013,7,30) + TIME(11,59,58)</f>
        <v>41485.499976851854</v>
      </c>
      <c r="C2262">
        <v>80</v>
      </c>
      <c r="D2262">
        <v>79.975646972999996</v>
      </c>
      <c r="E2262">
        <v>60</v>
      </c>
      <c r="F2262">
        <v>56.170650481999999</v>
      </c>
      <c r="G2262">
        <v>1339.9938964999999</v>
      </c>
      <c r="H2262">
        <v>1337.6837158000001</v>
      </c>
      <c r="I2262">
        <v>1325.9996338000001</v>
      </c>
      <c r="J2262">
        <v>1323.6173096</v>
      </c>
      <c r="K2262">
        <v>2750</v>
      </c>
      <c r="L2262">
        <v>0</v>
      </c>
      <c r="M2262">
        <v>0</v>
      </c>
      <c r="N2262">
        <v>2750</v>
      </c>
    </row>
    <row r="2263" spans="1:14" x14ac:dyDescent="0.25">
      <c r="A2263">
        <v>1188</v>
      </c>
      <c r="B2263" s="1">
        <f>DATE(2013,8,1) + TIME(0,0,0)</f>
        <v>41487</v>
      </c>
      <c r="C2263">
        <v>80</v>
      </c>
      <c r="D2263">
        <v>79.975646972999996</v>
      </c>
      <c r="E2263">
        <v>60</v>
      </c>
      <c r="F2263">
        <v>56.138813018999997</v>
      </c>
      <c r="G2263">
        <v>1339.9907227000001</v>
      </c>
      <c r="H2263">
        <v>1337.682251</v>
      </c>
      <c r="I2263">
        <v>1325.9875488</v>
      </c>
      <c r="J2263">
        <v>1323.5987548999999</v>
      </c>
      <c r="K2263">
        <v>2750</v>
      </c>
      <c r="L2263">
        <v>0</v>
      </c>
      <c r="M2263">
        <v>0</v>
      </c>
      <c r="N2263">
        <v>2750</v>
      </c>
    </row>
    <row r="2264" spans="1:14" x14ac:dyDescent="0.25">
      <c r="A2264">
        <v>1188.9376850000001</v>
      </c>
      <c r="B2264" s="1">
        <f>DATE(2013,8,1) + TIME(22,30,15)</f>
        <v>41487.937673611108</v>
      </c>
      <c r="C2264">
        <v>80</v>
      </c>
      <c r="D2264">
        <v>79.975639342999997</v>
      </c>
      <c r="E2264">
        <v>60</v>
      </c>
      <c r="F2264">
        <v>56.105705260999997</v>
      </c>
      <c r="G2264">
        <v>1339.9855957</v>
      </c>
      <c r="H2264">
        <v>1337.6798096</v>
      </c>
      <c r="I2264">
        <v>1325.9718018000001</v>
      </c>
      <c r="J2264">
        <v>1323.5754394999999</v>
      </c>
      <c r="K2264">
        <v>2750</v>
      </c>
      <c r="L2264">
        <v>0</v>
      </c>
      <c r="M2264">
        <v>0</v>
      </c>
      <c r="N2264">
        <v>2750</v>
      </c>
    </row>
    <row r="2265" spans="1:14" x14ac:dyDescent="0.25">
      <c r="A2265">
        <v>1189.8753690000001</v>
      </c>
      <c r="B2265" s="1">
        <f>DATE(2013,8,2) + TIME(21,0,31)</f>
        <v>41488.875358796293</v>
      </c>
      <c r="C2265">
        <v>80</v>
      </c>
      <c r="D2265">
        <v>79.975631714000002</v>
      </c>
      <c r="E2265">
        <v>60</v>
      </c>
      <c r="F2265">
        <v>56.077583312999998</v>
      </c>
      <c r="G2265">
        <v>1339.9824219</v>
      </c>
      <c r="H2265">
        <v>1337.6783447</v>
      </c>
      <c r="I2265">
        <v>1325.9593506000001</v>
      </c>
      <c r="J2265">
        <v>1323.5563964999999</v>
      </c>
      <c r="K2265">
        <v>2750</v>
      </c>
      <c r="L2265">
        <v>0</v>
      </c>
      <c r="M2265">
        <v>0</v>
      </c>
      <c r="N2265">
        <v>2750</v>
      </c>
    </row>
    <row r="2266" spans="1:14" x14ac:dyDescent="0.25">
      <c r="A2266">
        <v>1190.813054</v>
      </c>
      <c r="B2266" s="1">
        <f>DATE(2013,8,3) + TIME(19,30,47)</f>
        <v>41489.813043981485</v>
      </c>
      <c r="C2266">
        <v>80</v>
      </c>
      <c r="D2266">
        <v>79.975631714000002</v>
      </c>
      <c r="E2266">
        <v>60</v>
      </c>
      <c r="F2266">
        <v>56.051998138000002</v>
      </c>
      <c r="G2266">
        <v>1339.9793701000001</v>
      </c>
      <c r="H2266">
        <v>1337.6768798999999</v>
      </c>
      <c r="I2266">
        <v>1325.947876</v>
      </c>
      <c r="J2266">
        <v>1323.5386963000001</v>
      </c>
      <c r="K2266">
        <v>2750</v>
      </c>
      <c r="L2266">
        <v>0</v>
      </c>
      <c r="M2266">
        <v>0</v>
      </c>
      <c r="N2266">
        <v>2750</v>
      </c>
    </row>
    <row r="2267" spans="1:14" x14ac:dyDescent="0.25">
      <c r="A2267">
        <v>1191.7507390000001</v>
      </c>
      <c r="B2267" s="1">
        <f>DATE(2013,8,4) + TIME(18,1,3)</f>
        <v>41490.75072916667</v>
      </c>
      <c r="C2267">
        <v>80</v>
      </c>
      <c r="D2267">
        <v>79.975624084000003</v>
      </c>
      <c r="E2267">
        <v>60</v>
      </c>
      <c r="F2267">
        <v>56.028045654000003</v>
      </c>
      <c r="G2267">
        <v>1339.9761963000001</v>
      </c>
      <c r="H2267">
        <v>1337.6754149999999</v>
      </c>
      <c r="I2267">
        <v>1325.9368896000001</v>
      </c>
      <c r="J2267">
        <v>1323.5217285000001</v>
      </c>
      <c r="K2267">
        <v>2750</v>
      </c>
      <c r="L2267">
        <v>0</v>
      </c>
      <c r="M2267">
        <v>0</v>
      </c>
      <c r="N2267">
        <v>2750</v>
      </c>
    </row>
    <row r="2268" spans="1:14" x14ac:dyDescent="0.25">
      <c r="A2268">
        <v>1192.6884230000001</v>
      </c>
      <c r="B2268" s="1">
        <f>DATE(2013,8,5) + TIME(16,31,19)</f>
        <v>41491.688414351855</v>
      </c>
      <c r="C2268">
        <v>80</v>
      </c>
      <c r="D2268">
        <v>79.975624084000003</v>
      </c>
      <c r="E2268">
        <v>60</v>
      </c>
      <c r="F2268">
        <v>56.005474091000004</v>
      </c>
      <c r="G2268">
        <v>1339.9731445</v>
      </c>
      <c r="H2268">
        <v>1337.6739502</v>
      </c>
      <c r="I2268">
        <v>1325.9261475000001</v>
      </c>
      <c r="J2268">
        <v>1323.505249</v>
      </c>
      <c r="K2268">
        <v>2750</v>
      </c>
      <c r="L2268">
        <v>0</v>
      </c>
      <c r="M2268">
        <v>0</v>
      </c>
      <c r="N2268">
        <v>2750</v>
      </c>
    </row>
    <row r="2269" spans="1:14" x14ac:dyDescent="0.25">
      <c r="A2269">
        <v>1193.6261079999999</v>
      </c>
      <c r="B2269" s="1">
        <f>DATE(2013,8,6) + TIME(15,1,35)</f>
        <v>41492.626099537039</v>
      </c>
      <c r="C2269">
        <v>80</v>
      </c>
      <c r="D2269">
        <v>79.975624084000003</v>
      </c>
      <c r="E2269">
        <v>60</v>
      </c>
      <c r="F2269">
        <v>55.984260558999999</v>
      </c>
      <c r="G2269">
        <v>1339.9702147999999</v>
      </c>
      <c r="H2269">
        <v>1337.6724853999999</v>
      </c>
      <c r="I2269">
        <v>1325.9156493999999</v>
      </c>
      <c r="J2269">
        <v>1323.4890137</v>
      </c>
      <c r="K2269">
        <v>2750</v>
      </c>
      <c r="L2269">
        <v>0</v>
      </c>
      <c r="M2269">
        <v>0</v>
      </c>
      <c r="N2269">
        <v>2750</v>
      </c>
    </row>
    <row r="2270" spans="1:14" x14ac:dyDescent="0.25">
      <c r="A2270">
        <v>1195.501477</v>
      </c>
      <c r="B2270" s="1">
        <f>DATE(2013,8,8) + TIME(12,2,7)</f>
        <v>41494.501469907409</v>
      </c>
      <c r="C2270">
        <v>80</v>
      </c>
      <c r="D2270">
        <v>79.975631714000002</v>
      </c>
      <c r="E2270">
        <v>60</v>
      </c>
      <c r="F2270">
        <v>55.959732056</v>
      </c>
      <c r="G2270">
        <v>1339.9671631000001</v>
      </c>
      <c r="H2270">
        <v>1337.6711425999999</v>
      </c>
      <c r="I2270">
        <v>1325.9047852000001</v>
      </c>
      <c r="J2270">
        <v>1323.4719238</v>
      </c>
      <c r="K2270">
        <v>2750</v>
      </c>
      <c r="L2270">
        <v>0</v>
      </c>
      <c r="M2270">
        <v>0</v>
      </c>
      <c r="N2270">
        <v>2750</v>
      </c>
    </row>
    <row r="2271" spans="1:14" x14ac:dyDescent="0.25">
      <c r="A2271">
        <v>1197.3781469999999</v>
      </c>
      <c r="B2271" s="1">
        <f>DATE(2013,8,10) + TIME(9,4,31)</f>
        <v>41496.378136574072</v>
      </c>
      <c r="C2271">
        <v>80</v>
      </c>
      <c r="D2271">
        <v>79.975631714000002</v>
      </c>
      <c r="E2271">
        <v>60</v>
      </c>
      <c r="F2271">
        <v>55.927921294999997</v>
      </c>
      <c r="G2271">
        <v>1339.9611815999999</v>
      </c>
      <c r="H2271">
        <v>1337.6682129000001</v>
      </c>
      <c r="I2271">
        <v>1325.8878173999999</v>
      </c>
      <c r="J2271">
        <v>1323.4460449000001</v>
      </c>
      <c r="K2271">
        <v>2750</v>
      </c>
      <c r="L2271">
        <v>0</v>
      </c>
      <c r="M2271">
        <v>0</v>
      </c>
      <c r="N2271">
        <v>2750</v>
      </c>
    </row>
    <row r="2272" spans="1:14" x14ac:dyDescent="0.25">
      <c r="A2272">
        <v>1199.2938240000001</v>
      </c>
      <c r="B2272" s="1">
        <f>DATE(2013,8,12) + TIME(7,3,6)</f>
        <v>41498.293819444443</v>
      </c>
      <c r="C2272">
        <v>80</v>
      </c>
      <c r="D2272">
        <v>79.975624084000003</v>
      </c>
      <c r="E2272">
        <v>60</v>
      </c>
      <c r="F2272">
        <v>55.899917602999999</v>
      </c>
      <c r="G2272">
        <v>1339.9553223</v>
      </c>
      <c r="H2272">
        <v>1337.6652832</v>
      </c>
      <c r="I2272">
        <v>1325.8691406</v>
      </c>
      <c r="J2272">
        <v>1323.4169922000001</v>
      </c>
      <c r="K2272">
        <v>2750</v>
      </c>
      <c r="L2272">
        <v>0</v>
      </c>
      <c r="M2272">
        <v>0</v>
      </c>
      <c r="N2272">
        <v>2750</v>
      </c>
    </row>
    <row r="2273" spans="1:14" x14ac:dyDescent="0.25">
      <c r="A2273">
        <v>1201.2579089999999</v>
      </c>
      <c r="B2273" s="1">
        <f>DATE(2013,8,14) + TIME(6,11,23)</f>
        <v>41500.257905092592</v>
      </c>
      <c r="C2273">
        <v>80</v>
      </c>
      <c r="D2273">
        <v>79.975624084000003</v>
      </c>
      <c r="E2273">
        <v>60</v>
      </c>
      <c r="F2273">
        <v>55.879623412999997</v>
      </c>
      <c r="G2273">
        <v>1339.9494629000001</v>
      </c>
      <c r="H2273">
        <v>1337.6623535000001</v>
      </c>
      <c r="I2273">
        <v>1325.8504639</v>
      </c>
      <c r="J2273">
        <v>1323.3874512</v>
      </c>
      <c r="K2273">
        <v>2750</v>
      </c>
      <c r="L2273">
        <v>0</v>
      </c>
      <c r="M2273">
        <v>0</v>
      </c>
      <c r="N2273">
        <v>2750</v>
      </c>
    </row>
    <row r="2274" spans="1:14" x14ac:dyDescent="0.25">
      <c r="A2274">
        <v>1203.280859</v>
      </c>
      <c r="B2274" s="1">
        <f>DATE(2013,8,16) + TIME(6,44,26)</f>
        <v>41502.280856481484</v>
      </c>
      <c r="C2274">
        <v>80</v>
      </c>
      <c r="D2274">
        <v>79.975624084000003</v>
      </c>
      <c r="E2274">
        <v>60</v>
      </c>
      <c r="F2274">
        <v>55.869899750000002</v>
      </c>
      <c r="G2274">
        <v>1339.9436035000001</v>
      </c>
      <c r="H2274">
        <v>1337.6594238</v>
      </c>
      <c r="I2274">
        <v>1325.8320312000001</v>
      </c>
      <c r="J2274">
        <v>1323.3580322</v>
      </c>
      <c r="K2274">
        <v>2750</v>
      </c>
      <c r="L2274">
        <v>0</v>
      </c>
      <c r="M2274">
        <v>0</v>
      </c>
      <c r="N2274">
        <v>2750</v>
      </c>
    </row>
    <row r="2275" spans="1:14" x14ac:dyDescent="0.25">
      <c r="A2275">
        <v>1205.3741769999999</v>
      </c>
      <c r="B2275" s="1">
        <f>DATE(2013,8,18) + TIME(8,58,48)</f>
        <v>41504.374166666668</v>
      </c>
      <c r="C2275">
        <v>80</v>
      </c>
      <c r="D2275">
        <v>79.975624084000003</v>
      </c>
      <c r="E2275">
        <v>60</v>
      </c>
      <c r="F2275">
        <v>55.874038696</v>
      </c>
      <c r="G2275">
        <v>1339.9376221</v>
      </c>
      <c r="H2275">
        <v>1337.6563721</v>
      </c>
      <c r="I2275">
        <v>1325.8139647999999</v>
      </c>
      <c r="J2275">
        <v>1323.3289795000001</v>
      </c>
      <c r="K2275">
        <v>2750</v>
      </c>
      <c r="L2275">
        <v>0</v>
      </c>
      <c r="M2275">
        <v>0</v>
      </c>
      <c r="N2275">
        <v>2750</v>
      </c>
    </row>
    <row r="2276" spans="1:14" x14ac:dyDescent="0.25">
      <c r="A2276">
        <v>1207.5509039999999</v>
      </c>
      <c r="B2276" s="1">
        <f>DATE(2013,8,20) + TIME(13,13,18)</f>
        <v>41506.550902777781</v>
      </c>
      <c r="C2276">
        <v>80</v>
      </c>
      <c r="D2276">
        <v>79.975624084000003</v>
      </c>
      <c r="E2276">
        <v>60</v>
      </c>
      <c r="F2276">
        <v>55.895889281999999</v>
      </c>
      <c r="G2276">
        <v>1339.9315185999999</v>
      </c>
      <c r="H2276">
        <v>1337.6533202999999</v>
      </c>
      <c r="I2276">
        <v>1325.7963867000001</v>
      </c>
      <c r="J2276">
        <v>1323.300293</v>
      </c>
      <c r="K2276">
        <v>2750</v>
      </c>
      <c r="L2276">
        <v>0</v>
      </c>
      <c r="M2276">
        <v>0</v>
      </c>
      <c r="N2276">
        <v>2750</v>
      </c>
    </row>
    <row r="2277" spans="1:14" x14ac:dyDescent="0.25">
      <c r="A2277">
        <v>1209.8267820000001</v>
      </c>
      <c r="B2277" s="1">
        <f>DATE(2013,8,22) + TIME(19,50,33)</f>
        <v>41508.826770833337</v>
      </c>
      <c r="C2277">
        <v>80</v>
      </c>
      <c r="D2277">
        <v>79.975624084000003</v>
      </c>
      <c r="E2277">
        <v>60</v>
      </c>
      <c r="F2277">
        <v>55.940265656000001</v>
      </c>
      <c r="G2277">
        <v>1339.925293</v>
      </c>
      <c r="H2277">
        <v>1337.6501464999999</v>
      </c>
      <c r="I2277">
        <v>1325.7791748</v>
      </c>
      <c r="J2277">
        <v>1323.2719727000001</v>
      </c>
      <c r="K2277">
        <v>2750</v>
      </c>
      <c r="L2277">
        <v>0</v>
      </c>
      <c r="M2277">
        <v>0</v>
      </c>
      <c r="N2277">
        <v>2750</v>
      </c>
    </row>
    <row r="2278" spans="1:14" x14ac:dyDescent="0.25">
      <c r="A2278">
        <v>1212.2188679999999</v>
      </c>
      <c r="B2278" s="1">
        <f>DATE(2013,8,25) + TIME(5,15,10)</f>
        <v>41511.218865740739</v>
      </c>
      <c r="C2278">
        <v>80</v>
      </c>
      <c r="D2278">
        <v>79.975624084000003</v>
      </c>
      <c r="E2278">
        <v>60</v>
      </c>
      <c r="F2278">
        <v>56.013339995999999</v>
      </c>
      <c r="G2278">
        <v>1339.9188231999999</v>
      </c>
      <c r="H2278">
        <v>1337.6467285000001</v>
      </c>
      <c r="I2278">
        <v>1325.7624512</v>
      </c>
      <c r="J2278">
        <v>1323.2442627</v>
      </c>
      <c r="K2278">
        <v>2750</v>
      </c>
      <c r="L2278">
        <v>0</v>
      </c>
      <c r="M2278">
        <v>0</v>
      </c>
      <c r="N2278">
        <v>2750</v>
      </c>
    </row>
    <row r="2279" spans="1:14" x14ac:dyDescent="0.25">
      <c r="A2279">
        <v>1214.7493340000001</v>
      </c>
      <c r="B2279" s="1">
        <f>DATE(2013,8,27) + TIME(17,59,2)</f>
        <v>41513.749328703707</v>
      </c>
      <c r="C2279">
        <v>80</v>
      </c>
      <c r="D2279">
        <v>79.975631714000002</v>
      </c>
      <c r="E2279">
        <v>60</v>
      </c>
      <c r="F2279">
        <v>56.122608184999997</v>
      </c>
      <c r="G2279">
        <v>1339.9122314000001</v>
      </c>
      <c r="H2279">
        <v>1337.6433105000001</v>
      </c>
      <c r="I2279">
        <v>1325.7462158000001</v>
      </c>
      <c r="J2279">
        <v>1323.2171631000001</v>
      </c>
      <c r="K2279">
        <v>2750</v>
      </c>
      <c r="L2279">
        <v>0</v>
      </c>
      <c r="M2279">
        <v>0</v>
      </c>
      <c r="N2279">
        <v>2750</v>
      </c>
    </row>
    <row r="2280" spans="1:14" x14ac:dyDescent="0.25">
      <c r="A2280">
        <v>1217.4443329999999</v>
      </c>
      <c r="B2280" s="1">
        <f>DATE(2013,8,30) + TIME(10,39,50)</f>
        <v>41516.444328703707</v>
      </c>
      <c r="C2280">
        <v>80</v>
      </c>
      <c r="D2280">
        <v>79.975639342999997</v>
      </c>
      <c r="E2280">
        <v>60</v>
      </c>
      <c r="F2280">
        <v>56.276199341000002</v>
      </c>
      <c r="G2280">
        <v>1339.9053954999999</v>
      </c>
      <c r="H2280">
        <v>1337.6396483999999</v>
      </c>
      <c r="I2280">
        <v>1325.7307129000001</v>
      </c>
      <c r="J2280">
        <v>1323.1906738</v>
      </c>
      <c r="K2280">
        <v>2750</v>
      </c>
      <c r="L2280">
        <v>0</v>
      </c>
      <c r="M2280">
        <v>0</v>
      </c>
      <c r="N2280">
        <v>2750</v>
      </c>
    </row>
    <row r="2281" spans="1:14" x14ac:dyDescent="0.25">
      <c r="A2281">
        <v>1219</v>
      </c>
      <c r="B2281" s="1">
        <f>DATE(2013,9,1) + TIME(0,0,0)</f>
        <v>41518</v>
      </c>
      <c r="C2281">
        <v>80</v>
      </c>
      <c r="D2281">
        <v>79.975624084000003</v>
      </c>
      <c r="E2281">
        <v>60</v>
      </c>
      <c r="F2281">
        <v>56.459236144999998</v>
      </c>
      <c r="G2281">
        <v>1339.8981934000001</v>
      </c>
      <c r="H2281">
        <v>1337.6358643000001</v>
      </c>
      <c r="I2281">
        <v>1325.7169189000001</v>
      </c>
      <c r="J2281">
        <v>1323.1663818</v>
      </c>
      <c r="K2281">
        <v>2750</v>
      </c>
      <c r="L2281">
        <v>0</v>
      </c>
      <c r="M2281">
        <v>0</v>
      </c>
      <c r="N2281">
        <v>2750</v>
      </c>
    </row>
    <row r="2282" spans="1:14" x14ac:dyDescent="0.25">
      <c r="A2282">
        <v>1221.7690500000001</v>
      </c>
      <c r="B2282" s="1">
        <f>DATE(2013,9,3) + TIME(18,27,25)</f>
        <v>41520.76903935185</v>
      </c>
      <c r="C2282">
        <v>80</v>
      </c>
      <c r="D2282">
        <v>79.975639342999997</v>
      </c>
      <c r="E2282">
        <v>60</v>
      </c>
      <c r="F2282">
        <v>56.640644072999997</v>
      </c>
      <c r="G2282">
        <v>1339.8941649999999</v>
      </c>
      <c r="H2282">
        <v>1337.6336670000001</v>
      </c>
      <c r="I2282">
        <v>1325.7059326000001</v>
      </c>
      <c r="J2282">
        <v>1323.1491699000001</v>
      </c>
      <c r="K2282">
        <v>2750</v>
      </c>
      <c r="L2282">
        <v>0</v>
      </c>
      <c r="M2282">
        <v>0</v>
      </c>
      <c r="N2282">
        <v>2750</v>
      </c>
    </row>
    <row r="2283" spans="1:14" x14ac:dyDescent="0.25">
      <c r="A2283">
        <v>1224.619999</v>
      </c>
      <c r="B2283" s="1">
        <f>DATE(2013,9,6) + TIME(14,52,47)</f>
        <v>41523.619988425926</v>
      </c>
      <c r="C2283">
        <v>80</v>
      </c>
      <c r="D2283">
        <v>79.975646972999996</v>
      </c>
      <c r="E2283">
        <v>60</v>
      </c>
      <c r="F2283">
        <v>56.917518616000002</v>
      </c>
      <c r="G2283">
        <v>1339.8869629000001</v>
      </c>
      <c r="H2283">
        <v>1337.6297606999999</v>
      </c>
      <c r="I2283">
        <v>1325.6947021000001</v>
      </c>
      <c r="J2283">
        <v>1323.1293945</v>
      </c>
      <c r="K2283">
        <v>2750</v>
      </c>
      <c r="L2283">
        <v>0</v>
      </c>
      <c r="M2283">
        <v>0</v>
      </c>
      <c r="N2283">
        <v>2750</v>
      </c>
    </row>
    <row r="2284" spans="1:14" x14ac:dyDescent="0.25">
      <c r="A2284">
        <v>1227.572529</v>
      </c>
      <c r="B2284" s="1">
        <f>DATE(2013,9,9) + TIME(13,44,26)</f>
        <v>41526.572523148148</v>
      </c>
      <c r="C2284">
        <v>80</v>
      </c>
      <c r="D2284">
        <v>79.975654602000006</v>
      </c>
      <c r="E2284">
        <v>60</v>
      </c>
      <c r="F2284">
        <v>57.252651215</v>
      </c>
      <c r="G2284">
        <v>1339.8797606999999</v>
      </c>
      <c r="H2284">
        <v>1337.6258545000001</v>
      </c>
      <c r="I2284">
        <v>1325.6833495999999</v>
      </c>
      <c r="J2284">
        <v>1323.1101074000001</v>
      </c>
      <c r="K2284">
        <v>2750</v>
      </c>
      <c r="L2284">
        <v>0</v>
      </c>
      <c r="M2284">
        <v>0</v>
      </c>
      <c r="N2284">
        <v>2750</v>
      </c>
    </row>
    <row r="2285" spans="1:14" x14ac:dyDescent="0.25">
      <c r="A2285">
        <v>1230.644681</v>
      </c>
      <c r="B2285" s="1">
        <f>DATE(2013,9,12) + TIME(15,28,20)</f>
        <v>41529.644675925927</v>
      </c>
      <c r="C2285">
        <v>80</v>
      </c>
      <c r="D2285">
        <v>79.975662231000001</v>
      </c>
      <c r="E2285">
        <v>60</v>
      </c>
      <c r="F2285">
        <v>57.635288238999998</v>
      </c>
      <c r="G2285">
        <v>1339.8725586</v>
      </c>
      <c r="H2285">
        <v>1337.6217041</v>
      </c>
      <c r="I2285">
        <v>1325.6730957</v>
      </c>
      <c r="J2285">
        <v>1323.0927733999999</v>
      </c>
      <c r="K2285">
        <v>2750</v>
      </c>
      <c r="L2285">
        <v>0</v>
      </c>
      <c r="M2285">
        <v>0</v>
      </c>
      <c r="N2285">
        <v>2750</v>
      </c>
    </row>
    <row r="2286" spans="1:14" x14ac:dyDescent="0.25">
      <c r="A2286">
        <v>1233.869252</v>
      </c>
      <c r="B2286" s="1">
        <f>DATE(2013,9,15) + TIME(20,51,43)</f>
        <v>41532.869247685187</v>
      </c>
      <c r="C2286">
        <v>80</v>
      </c>
      <c r="D2286">
        <v>79.975677489999995</v>
      </c>
      <c r="E2286">
        <v>60</v>
      </c>
      <c r="F2286">
        <v>58.060180664000001</v>
      </c>
      <c r="G2286">
        <v>1339.8651123</v>
      </c>
      <c r="H2286">
        <v>1337.6176757999999</v>
      </c>
      <c r="I2286">
        <v>1325.6638184000001</v>
      </c>
      <c r="J2286">
        <v>1323.0773925999999</v>
      </c>
      <c r="K2286">
        <v>2750</v>
      </c>
      <c r="L2286">
        <v>0</v>
      </c>
      <c r="M2286">
        <v>0</v>
      </c>
      <c r="N2286">
        <v>2750</v>
      </c>
    </row>
    <row r="2287" spans="1:14" x14ac:dyDescent="0.25">
      <c r="A2287">
        <v>1237.19427</v>
      </c>
      <c r="B2287" s="1">
        <f>DATE(2013,9,19) + TIME(4,39,44)</f>
        <v>41536.19425925926</v>
      </c>
      <c r="C2287">
        <v>80</v>
      </c>
      <c r="D2287">
        <v>79.975685119999994</v>
      </c>
      <c r="E2287">
        <v>60</v>
      </c>
      <c r="F2287">
        <v>58.519348145000002</v>
      </c>
      <c r="G2287">
        <v>1339.8575439000001</v>
      </c>
      <c r="H2287">
        <v>1337.6134033000001</v>
      </c>
      <c r="I2287">
        <v>1325.6556396000001</v>
      </c>
      <c r="J2287">
        <v>1323.0639647999999</v>
      </c>
      <c r="K2287">
        <v>2750</v>
      </c>
      <c r="L2287">
        <v>0</v>
      </c>
      <c r="M2287">
        <v>0</v>
      </c>
      <c r="N2287">
        <v>2750</v>
      </c>
    </row>
    <row r="2288" spans="1:14" x14ac:dyDescent="0.25">
      <c r="A2288">
        <v>1240.5490010000001</v>
      </c>
      <c r="B2288" s="1">
        <f>DATE(2013,9,22) + TIME(13,10,33)</f>
        <v>41539.548993055556</v>
      </c>
      <c r="C2288">
        <v>80</v>
      </c>
      <c r="D2288">
        <v>79.975700377999999</v>
      </c>
      <c r="E2288">
        <v>60</v>
      </c>
      <c r="F2288">
        <v>58.995014191000003</v>
      </c>
      <c r="G2288">
        <v>1339.8499756000001</v>
      </c>
      <c r="H2288">
        <v>1337.6091309000001</v>
      </c>
      <c r="I2288">
        <v>1325.6485596</v>
      </c>
      <c r="J2288">
        <v>1323.0524902</v>
      </c>
      <c r="K2288">
        <v>2750</v>
      </c>
      <c r="L2288">
        <v>0</v>
      </c>
      <c r="M2288">
        <v>0</v>
      </c>
      <c r="N2288">
        <v>2750</v>
      </c>
    </row>
    <row r="2289" spans="1:14" x14ac:dyDescent="0.25">
      <c r="A2289">
        <v>1243.90626</v>
      </c>
      <c r="B2289" s="1">
        <f>DATE(2013,9,25) + TIME(21,45,0)</f>
        <v>41542.90625</v>
      </c>
      <c r="C2289">
        <v>80</v>
      </c>
      <c r="D2289">
        <v>79.975708007999998</v>
      </c>
      <c r="E2289">
        <v>60</v>
      </c>
      <c r="F2289">
        <v>59.469505310000002</v>
      </c>
      <c r="G2289">
        <v>1339.8425293</v>
      </c>
      <c r="H2289">
        <v>1337.6048584</v>
      </c>
      <c r="I2289">
        <v>1325.6427002</v>
      </c>
      <c r="J2289">
        <v>1323.0429687999999</v>
      </c>
      <c r="K2289">
        <v>2750</v>
      </c>
      <c r="L2289">
        <v>0</v>
      </c>
      <c r="M2289">
        <v>0</v>
      </c>
      <c r="N2289">
        <v>2750</v>
      </c>
    </row>
    <row r="2290" spans="1:14" x14ac:dyDescent="0.25">
      <c r="A2290">
        <v>1247.3186889999999</v>
      </c>
      <c r="B2290" s="1">
        <f>DATE(2013,9,29) + TIME(7,38,54)</f>
        <v>41546.318680555552</v>
      </c>
      <c r="C2290">
        <v>80</v>
      </c>
      <c r="D2290">
        <v>79.975723267000006</v>
      </c>
      <c r="E2290">
        <v>60</v>
      </c>
      <c r="F2290">
        <v>59.935436248999999</v>
      </c>
      <c r="G2290">
        <v>1339.8352050999999</v>
      </c>
      <c r="H2290">
        <v>1337.6008300999999</v>
      </c>
      <c r="I2290">
        <v>1325.6376952999999</v>
      </c>
      <c r="J2290">
        <v>1323.0351562000001</v>
      </c>
      <c r="K2290">
        <v>2750</v>
      </c>
      <c r="L2290">
        <v>0</v>
      </c>
      <c r="M2290">
        <v>0</v>
      </c>
      <c r="N2290">
        <v>2750</v>
      </c>
    </row>
    <row r="2291" spans="1:14" x14ac:dyDescent="0.25">
      <c r="A2291">
        <v>1249</v>
      </c>
      <c r="B2291" s="1">
        <f>DATE(2013,10,1) + TIME(0,0,0)</f>
        <v>41548</v>
      </c>
      <c r="C2291">
        <v>80</v>
      </c>
      <c r="D2291">
        <v>79.975715636999993</v>
      </c>
      <c r="E2291">
        <v>60</v>
      </c>
      <c r="F2291">
        <v>60.332798003999997</v>
      </c>
      <c r="G2291">
        <v>1339.828125</v>
      </c>
      <c r="H2291">
        <v>1337.5968018000001</v>
      </c>
      <c r="I2291">
        <v>1325.6348877</v>
      </c>
      <c r="J2291">
        <v>1323.0294189000001</v>
      </c>
      <c r="K2291">
        <v>2750</v>
      </c>
      <c r="L2291">
        <v>0</v>
      </c>
      <c r="M2291">
        <v>0</v>
      </c>
      <c r="N2291">
        <v>2750</v>
      </c>
    </row>
    <row r="2292" spans="1:14" x14ac:dyDescent="0.25">
      <c r="A2292">
        <v>1252.5273609999999</v>
      </c>
      <c r="B2292" s="1">
        <f>DATE(2013,10,4) + TIME(12,39,23)</f>
        <v>41551.527349537035</v>
      </c>
      <c r="C2292">
        <v>80</v>
      </c>
      <c r="D2292">
        <v>79.975746154999996</v>
      </c>
      <c r="E2292">
        <v>60</v>
      </c>
      <c r="F2292">
        <v>60.625873566000003</v>
      </c>
      <c r="G2292">
        <v>1339.824707</v>
      </c>
      <c r="H2292">
        <v>1337.5948486</v>
      </c>
      <c r="I2292">
        <v>1325.6311035000001</v>
      </c>
      <c r="J2292">
        <v>1323.0266113</v>
      </c>
      <c r="K2292">
        <v>2750</v>
      </c>
      <c r="L2292">
        <v>0</v>
      </c>
      <c r="M2292">
        <v>0</v>
      </c>
      <c r="N2292">
        <v>2750</v>
      </c>
    </row>
    <row r="2293" spans="1:14" x14ac:dyDescent="0.25">
      <c r="A2293">
        <v>1256.1975379999999</v>
      </c>
      <c r="B2293" s="1">
        <f>DATE(2013,10,8) + TIME(4,44,27)</f>
        <v>41555.197534722225</v>
      </c>
      <c r="C2293">
        <v>80</v>
      </c>
      <c r="D2293">
        <v>79.975761414000004</v>
      </c>
      <c r="E2293">
        <v>60</v>
      </c>
      <c r="F2293">
        <v>61.040790557999998</v>
      </c>
      <c r="G2293">
        <v>1339.8176269999999</v>
      </c>
      <c r="H2293">
        <v>1337.5906981999999</v>
      </c>
      <c r="I2293">
        <v>1325.6280518000001</v>
      </c>
      <c r="J2293">
        <v>1323.0205077999999</v>
      </c>
      <c r="K2293">
        <v>2750</v>
      </c>
      <c r="L2293">
        <v>0</v>
      </c>
      <c r="M2293">
        <v>0</v>
      </c>
      <c r="N2293">
        <v>2750</v>
      </c>
    </row>
    <row r="2294" spans="1:14" x14ac:dyDescent="0.25">
      <c r="A2294">
        <v>1260.0470230000001</v>
      </c>
      <c r="B2294" s="1">
        <f>DATE(2013,10,12) + TIME(1,7,42)</f>
        <v>41559.047013888892</v>
      </c>
      <c r="C2294">
        <v>80</v>
      </c>
      <c r="D2294">
        <v>79.975784301999994</v>
      </c>
      <c r="E2294">
        <v>60</v>
      </c>
      <c r="F2294">
        <v>61.470264434999997</v>
      </c>
      <c r="G2294">
        <v>1339.8104248</v>
      </c>
      <c r="H2294">
        <v>1337.5866699000001</v>
      </c>
      <c r="I2294">
        <v>1325.625</v>
      </c>
      <c r="J2294">
        <v>1323.0157471</v>
      </c>
      <c r="K2294">
        <v>2750</v>
      </c>
      <c r="L2294">
        <v>0</v>
      </c>
      <c r="M2294">
        <v>0</v>
      </c>
      <c r="N2294">
        <v>2750</v>
      </c>
    </row>
    <row r="2295" spans="1:14" x14ac:dyDescent="0.25">
      <c r="A2295">
        <v>1264.0401790000001</v>
      </c>
      <c r="B2295" s="1">
        <f>DATE(2013,10,16) + TIME(0,57,51)</f>
        <v>41563.040173611109</v>
      </c>
      <c r="C2295">
        <v>80</v>
      </c>
      <c r="D2295">
        <v>79.975799561000002</v>
      </c>
      <c r="E2295">
        <v>60</v>
      </c>
      <c r="F2295">
        <v>61.886066436999997</v>
      </c>
      <c r="G2295">
        <v>1339.8031006000001</v>
      </c>
      <c r="H2295">
        <v>1337.5825195</v>
      </c>
      <c r="I2295">
        <v>1325.6223144999999</v>
      </c>
      <c r="J2295">
        <v>1323.0114745999999</v>
      </c>
      <c r="K2295">
        <v>2750</v>
      </c>
      <c r="L2295">
        <v>0</v>
      </c>
      <c r="M2295">
        <v>0</v>
      </c>
      <c r="N2295">
        <v>2750</v>
      </c>
    </row>
    <row r="2296" spans="1:14" x14ac:dyDescent="0.25">
      <c r="A2296">
        <v>1268.161042</v>
      </c>
      <c r="B2296" s="1">
        <f>DATE(2013,10,20) + TIME(3,51,54)</f>
        <v>41567.161041666666</v>
      </c>
      <c r="C2296">
        <v>80</v>
      </c>
      <c r="D2296">
        <v>79.975837708</v>
      </c>
      <c r="E2296">
        <v>60</v>
      </c>
      <c r="F2296">
        <v>62.300048828000001</v>
      </c>
      <c r="G2296">
        <v>1339.7957764</v>
      </c>
      <c r="H2296">
        <v>1337.5782471</v>
      </c>
      <c r="I2296">
        <v>1325.619751</v>
      </c>
      <c r="J2296">
        <v>1323.0075684000001</v>
      </c>
      <c r="K2296">
        <v>2750</v>
      </c>
      <c r="L2296">
        <v>0</v>
      </c>
      <c r="M2296">
        <v>0</v>
      </c>
      <c r="N2296">
        <v>2750</v>
      </c>
    </row>
    <row r="2297" spans="1:14" x14ac:dyDescent="0.25">
      <c r="A2297">
        <v>1272.3559969999999</v>
      </c>
      <c r="B2297" s="1">
        <f>DATE(2013,10,24) + TIME(8,32,38)</f>
        <v>41571.355995370373</v>
      </c>
      <c r="C2297">
        <v>80</v>
      </c>
      <c r="D2297">
        <v>79.975822449000006</v>
      </c>
      <c r="E2297">
        <v>60</v>
      </c>
      <c r="F2297">
        <v>62.675617217999999</v>
      </c>
      <c r="G2297">
        <v>1339.7884521000001</v>
      </c>
      <c r="H2297">
        <v>1337.5740966999999</v>
      </c>
      <c r="I2297">
        <v>1325.6175536999999</v>
      </c>
      <c r="J2297">
        <v>1323.0040283000001</v>
      </c>
      <c r="K2297">
        <v>2750</v>
      </c>
      <c r="L2297">
        <v>0</v>
      </c>
      <c r="M2297">
        <v>0</v>
      </c>
      <c r="N2297">
        <v>2750</v>
      </c>
    </row>
    <row r="2298" spans="1:14" x14ac:dyDescent="0.25">
      <c r="A2298">
        <v>1276.6903709999999</v>
      </c>
      <c r="B2298" s="1">
        <f>DATE(2013,10,28) + TIME(16,34,8)</f>
        <v>41575.690370370372</v>
      </c>
      <c r="C2298">
        <v>80</v>
      </c>
      <c r="D2298">
        <v>79.975921631000006</v>
      </c>
      <c r="E2298">
        <v>60</v>
      </c>
      <c r="F2298">
        <v>63.084342956999997</v>
      </c>
      <c r="G2298">
        <v>1339.78125</v>
      </c>
      <c r="H2298">
        <v>1337.5699463000001</v>
      </c>
      <c r="I2298">
        <v>1325.6153564000001</v>
      </c>
      <c r="J2298">
        <v>1323.0008545000001</v>
      </c>
      <c r="K2298">
        <v>2750</v>
      </c>
      <c r="L2298">
        <v>0</v>
      </c>
      <c r="M2298">
        <v>0</v>
      </c>
      <c r="N2298">
        <v>2750</v>
      </c>
    </row>
    <row r="2299" spans="1:14" x14ac:dyDescent="0.25">
      <c r="A2299">
        <v>1280</v>
      </c>
      <c r="B2299" s="1">
        <f>DATE(2013,11,1) + TIME(0,0,0)</f>
        <v>41579</v>
      </c>
      <c r="C2299">
        <v>80</v>
      </c>
      <c r="D2299">
        <v>79.975799561000002</v>
      </c>
      <c r="E2299">
        <v>60</v>
      </c>
      <c r="F2299">
        <v>63.339813231999997</v>
      </c>
      <c r="G2299">
        <v>1339.7739257999999</v>
      </c>
      <c r="H2299">
        <v>1337.5657959</v>
      </c>
      <c r="I2299">
        <v>1325.6141356999999</v>
      </c>
      <c r="J2299">
        <v>1322.9975586</v>
      </c>
      <c r="K2299">
        <v>2750</v>
      </c>
      <c r="L2299">
        <v>0</v>
      </c>
      <c r="M2299">
        <v>0</v>
      </c>
      <c r="N2299">
        <v>2750</v>
      </c>
    </row>
    <row r="2300" spans="1:14" x14ac:dyDescent="0.25">
      <c r="A2300">
        <v>1280.0000010000001</v>
      </c>
      <c r="B2300" s="1">
        <f>DATE(2013,11,1) + TIME(0,0,0)</f>
        <v>41579</v>
      </c>
      <c r="C2300">
        <v>80</v>
      </c>
      <c r="D2300">
        <v>79.975700377999999</v>
      </c>
      <c r="E2300">
        <v>60</v>
      </c>
      <c r="F2300">
        <v>63.339942932</v>
      </c>
      <c r="G2300">
        <v>1336.8686522999999</v>
      </c>
      <c r="H2300">
        <v>1336.0703125</v>
      </c>
      <c r="I2300">
        <v>1329.1683350000001</v>
      </c>
      <c r="J2300">
        <v>1326.6416016000001</v>
      </c>
      <c r="K2300">
        <v>0</v>
      </c>
      <c r="L2300">
        <v>2750</v>
      </c>
      <c r="M2300">
        <v>2750</v>
      </c>
      <c r="N2300">
        <v>0</v>
      </c>
    </row>
    <row r="2301" spans="1:14" x14ac:dyDescent="0.25">
      <c r="A2301">
        <v>1280.000004</v>
      </c>
      <c r="B2301" s="1">
        <f>DATE(2013,11,1) + TIME(0,0,0)</f>
        <v>41579</v>
      </c>
      <c r="C2301">
        <v>80</v>
      </c>
      <c r="D2301">
        <v>79.975563049000002</v>
      </c>
      <c r="E2301">
        <v>60</v>
      </c>
      <c r="F2301">
        <v>63.340118408000002</v>
      </c>
      <c r="G2301">
        <v>1335.9360352000001</v>
      </c>
      <c r="H2301">
        <v>1335.1232910000001</v>
      </c>
      <c r="I2301">
        <v>1330.4980469</v>
      </c>
      <c r="J2301">
        <v>1328.0791016000001</v>
      </c>
      <c r="K2301">
        <v>0</v>
      </c>
      <c r="L2301">
        <v>2750</v>
      </c>
      <c r="M2301">
        <v>2750</v>
      </c>
      <c r="N2301">
        <v>0</v>
      </c>
    </row>
    <row r="2302" spans="1:14" x14ac:dyDescent="0.25">
      <c r="A2302">
        <v>1280.0000130000001</v>
      </c>
      <c r="B2302" s="1">
        <f>DATE(2013,11,1) + TIME(0,0,1)</f>
        <v>41579.000011574077</v>
      </c>
      <c r="C2302">
        <v>80</v>
      </c>
      <c r="D2302">
        <v>79.975425720000004</v>
      </c>
      <c r="E2302">
        <v>60</v>
      </c>
      <c r="F2302">
        <v>63.340267181000002</v>
      </c>
      <c r="G2302">
        <v>1334.9682617000001</v>
      </c>
      <c r="H2302">
        <v>1334.1212158000001</v>
      </c>
      <c r="I2302">
        <v>1332.0749512</v>
      </c>
      <c r="J2302">
        <v>1329.6378173999999</v>
      </c>
      <c r="K2302">
        <v>0</v>
      </c>
      <c r="L2302">
        <v>2750</v>
      </c>
      <c r="M2302">
        <v>2750</v>
      </c>
      <c r="N2302">
        <v>0</v>
      </c>
    </row>
    <row r="2303" spans="1:14" x14ac:dyDescent="0.25">
      <c r="A2303">
        <v>1280.0000399999999</v>
      </c>
      <c r="B2303" s="1">
        <f>DATE(2013,11,1) + TIME(0,0,3)</f>
        <v>41579.000034722223</v>
      </c>
      <c r="C2303">
        <v>80</v>
      </c>
      <c r="D2303">
        <v>79.975288391000007</v>
      </c>
      <c r="E2303">
        <v>60</v>
      </c>
      <c r="F2303">
        <v>63.340297698999997</v>
      </c>
      <c r="G2303">
        <v>1334.012207</v>
      </c>
      <c r="H2303">
        <v>1333.1175536999999</v>
      </c>
      <c r="I2303">
        <v>1333.6616211</v>
      </c>
      <c r="J2303">
        <v>1331.1777344</v>
      </c>
      <c r="K2303">
        <v>0</v>
      </c>
      <c r="L2303">
        <v>2750</v>
      </c>
      <c r="M2303">
        <v>2750</v>
      </c>
      <c r="N2303">
        <v>0</v>
      </c>
    </row>
    <row r="2304" spans="1:14" x14ac:dyDescent="0.25">
      <c r="A2304">
        <v>1280.000121</v>
      </c>
      <c r="B2304" s="1">
        <f>DATE(2013,11,1) + TIME(0,0,10)</f>
        <v>41579.000115740739</v>
      </c>
      <c r="C2304">
        <v>80</v>
      </c>
      <c r="D2304">
        <v>79.975128174000005</v>
      </c>
      <c r="E2304">
        <v>60</v>
      </c>
      <c r="F2304">
        <v>63.339965820000003</v>
      </c>
      <c r="G2304">
        <v>1333.0214844</v>
      </c>
      <c r="H2304">
        <v>1332.0635986</v>
      </c>
      <c r="I2304">
        <v>1335.21875</v>
      </c>
      <c r="J2304">
        <v>1332.6877440999999</v>
      </c>
      <c r="K2304">
        <v>0</v>
      </c>
      <c r="L2304">
        <v>2750</v>
      </c>
      <c r="M2304">
        <v>2750</v>
      </c>
      <c r="N2304">
        <v>0</v>
      </c>
    </row>
    <row r="2305" spans="1:14" x14ac:dyDescent="0.25">
      <c r="A2305">
        <v>1280.000364</v>
      </c>
      <c r="B2305" s="1">
        <f>DATE(2013,11,1) + TIME(0,0,31)</f>
        <v>41579.000358796293</v>
      </c>
      <c r="C2305">
        <v>80</v>
      </c>
      <c r="D2305">
        <v>79.974929810000006</v>
      </c>
      <c r="E2305">
        <v>60</v>
      </c>
      <c r="F2305">
        <v>63.338527679000002</v>
      </c>
      <c r="G2305">
        <v>1331.9705810999999</v>
      </c>
      <c r="H2305">
        <v>1330.9398193</v>
      </c>
      <c r="I2305">
        <v>1336.7432861</v>
      </c>
      <c r="J2305">
        <v>1334.1541748</v>
      </c>
      <c r="K2305">
        <v>0</v>
      </c>
      <c r="L2305">
        <v>2750</v>
      </c>
      <c r="M2305">
        <v>2750</v>
      </c>
      <c r="N2305">
        <v>0</v>
      </c>
    </row>
    <row r="2306" spans="1:14" x14ac:dyDescent="0.25">
      <c r="A2306">
        <v>1280.0010930000001</v>
      </c>
      <c r="B2306" s="1">
        <f>DATE(2013,11,1) + TIME(0,1,34)</f>
        <v>41579.001087962963</v>
      </c>
      <c r="C2306">
        <v>80</v>
      </c>
      <c r="D2306">
        <v>79.974624633999994</v>
      </c>
      <c r="E2306">
        <v>60</v>
      </c>
      <c r="F2306">
        <v>63.333679199000002</v>
      </c>
      <c r="G2306">
        <v>1330.9586182</v>
      </c>
      <c r="H2306">
        <v>1329.8642577999999</v>
      </c>
      <c r="I2306">
        <v>1338.1131591999999</v>
      </c>
      <c r="J2306">
        <v>1335.4600829999999</v>
      </c>
      <c r="K2306">
        <v>0</v>
      </c>
      <c r="L2306">
        <v>2750</v>
      </c>
      <c r="M2306">
        <v>2750</v>
      </c>
      <c r="N2306">
        <v>0</v>
      </c>
    </row>
    <row r="2307" spans="1:14" x14ac:dyDescent="0.25">
      <c r="A2307">
        <v>1280.0032799999999</v>
      </c>
      <c r="B2307" s="1">
        <f>DATE(2013,11,1) + TIME(0,4,43)</f>
        <v>41579.003275462965</v>
      </c>
      <c r="C2307">
        <v>80</v>
      </c>
      <c r="D2307">
        <v>79.974006653000004</v>
      </c>
      <c r="E2307">
        <v>60</v>
      </c>
      <c r="F2307">
        <v>63.318561553999999</v>
      </c>
      <c r="G2307">
        <v>1330.1951904</v>
      </c>
      <c r="H2307">
        <v>1329.0660399999999</v>
      </c>
      <c r="I2307">
        <v>1339.0981445</v>
      </c>
      <c r="J2307">
        <v>1336.4014893000001</v>
      </c>
      <c r="K2307">
        <v>0</v>
      </c>
      <c r="L2307">
        <v>2750</v>
      </c>
      <c r="M2307">
        <v>2750</v>
      </c>
      <c r="N2307">
        <v>0</v>
      </c>
    </row>
    <row r="2308" spans="1:14" x14ac:dyDescent="0.25">
      <c r="A2308">
        <v>1280.0098410000001</v>
      </c>
      <c r="B2308" s="1">
        <f>DATE(2013,11,1) + TIME(0,14,10)</f>
        <v>41579.009837962964</v>
      </c>
      <c r="C2308">
        <v>80</v>
      </c>
      <c r="D2308">
        <v>79.972442627000007</v>
      </c>
      <c r="E2308">
        <v>60</v>
      </c>
      <c r="F2308">
        <v>63.273300171000002</v>
      </c>
      <c r="G2308">
        <v>1329.8015137</v>
      </c>
      <c r="H2308">
        <v>1328.6616211</v>
      </c>
      <c r="I2308">
        <v>1339.5684814000001</v>
      </c>
      <c r="J2308">
        <v>1336.8570557</v>
      </c>
      <c r="K2308">
        <v>0</v>
      </c>
      <c r="L2308">
        <v>2750</v>
      </c>
      <c r="M2308">
        <v>2750</v>
      </c>
      <c r="N2308">
        <v>0</v>
      </c>
    </row>
    <row r="2309" spans="1:14" x14ac:dyDescent="0.25">
      <c r="A2309">
        <v>1280.029524</v>
      </c>
      <c r="B2309" s="1">
        <f>DATE(2013,11,1) + TIME(0,42,30)</f>
        <v>41579.029513888891</v>
      </c>
      <c r="C2309">
        <v>80</v>
      </c>
      <c r="D2309">
        <v>79.967987061000002</v>
      </c>
      <c r="E2309">
        <v>60</v>
      </c>
      <c r="F2309">
        <v>63.143165588000002</v>
      </c>
      <c r="G2309">
        <v>1329.6899414</v>
      </c>
      <c r="H2309">
        <v>1328.5471190999999</v>
      </c>
      <c r="I2309">
        <v>1339.6595459</v>
      </c>
      <c r="J2309">
        <v>1336.9521483999999</v>
      </c>
      <c r="K2309">
        <v>0</v>
      </c>
      <c r="L2309">
        <v>2750</v>
      </c>
      <c r="M2309">
        <v>2750</v>
      </c>
      <c r="N2309">
        <v>0</v>
      </c>
    </row>
    <row r="2310" spans="1:14" x14ac:dyDescent="0.25">
      <c r="A2310">
        <v>1280.059225</v>
      </c>
      <c r="B2310" s="1">
        <f>DATE(2013,11,1) + TIME(1,25,17)</f>
        <v>41579.059224537035</v>
      </c>
      <c r="C2310">
        <v>80</v>
      </c>
      <c r="D2310">
        <v>79.961479186999995</v>
      </c>
      <c r="E2310">
        <v>60</v>
      </c>
      <c r="F2310">
        <v>62.959262848000002</v>
      </c>
      <c r="G2310">
        <v>1329.6737060999999</v>
      </c>
      <c r="H2310">
        <v>1328.5289307</v>
      </c>
      <c r="I2310">
        <v>1339.6433105000001</v>
      </c>
      <c r="J2310">
        <v>1336.9440918</v>
      </c>
      <c r="K2310">
        <v>0</v>
      </c>
      <c r="L2310">
        <v>2750</v>
      </c>
      <c r="M2310">
        <v>2750</v>
      </c>
      <c r="N2310">
        <v>0</v>
      </c>
    </row>
    <row r="2311" spans="1:14" x14ac:dyDescent="0.25">
      <c r="A2311">
        <v>1280.0895270000001</v>
      </c>
      <c r="B2311" s="1">
        <f>DATE(2013,11,1) + TIME(2,8,55)</f>
        <v>41579.089525462965</v>
      </c>
      <c r="C2311">
        <v>80</v>
      </c>
      <c r="D2311">
        <v>79.955047606999997</v>
      </c>
      <c r="E2311">
        <v>60</v>
      </c>
      <c r="F2311">
        <v>62.783531189000001</v>
      </c>
      <c r="G2311">
        <v>1329.668457</v>
      </c>
      <c r="H2311">
        <v>1328.5214844</v>
      </c>
      <c r="I2311">
        <v>1339.6267089999999</v>
      </c>
      <c r="J2311">
        <v>1336.9327393000001</v>
      </c>
      <c r="K2311">
        <v>0</v>
      </c>
      <c r="L2311">
        <v>2750</v>
      </c>
      <c r="M2311">
        <v>2750</v>
      </c>
      <c r="N2311">
        <v>0</v>
      </c>
    </row>
    <row r="2312" spans="1:14" x14ac:dyDescent="0.25">
      <c r="A2312">
        <v>1280.120514</v>
      </c>
      <c r="B2312" s="1">
        <f>DATE(2013,11,1) + TIME(2,53,32)</f>
        <v>41579.120509259257</v>
      </c>
      <c r="C2312">
        <v>80</v>
      </c>
      <c r="D2312">
        <v>79.948677063000005</v>
      </c>
      <c r="E2312">
        <v>60</v>
      </c>
      <c r="F2312">
        <v>62.615352631</v>
      </c>
      <c r="G2312">
        <v>1329.6644286999999</v>
      </c>
      <c r="H2312">
        <v>1328.5151367000001</v>
      </c>
      <c r="I2312">
        <v>1339.6110839999999</v>
      </c>
      <c r="J2312">
        <v>1336.9219971</v>
      </c>
      <c r="K2312">
        <v>0</v>
      </c>
      <c r="L2312">
        <v>2750</v>
      </c>
      <c r="M2312">
        <v>2750</v>
      </c>
      <c r="N2312">
        <v>0</v>
      </c>
    </row>
    <row r="2313" spans="1:14" x14ac:dyDescent="0.25">
      <c r="A2313">
        <v>1280.152233</v>
      </c>
      <c r="B2313" s="1">
        <f>DATE(2013,11,1) + TIME(3,39,12)</f>
        <v>41579.152222222219</v>
      </c>
      <c r="C2313">
        <v>80</v>
      </c>
      <c r="D2313">
        <v>79.942359924000002</v>
      </c>
      <c r="E2313">
        <v>60</v>
      </c>
      <c r="F2313">
        <v>62.454383849999999</v>
      </c>
      <c r="G2313">
        <v>1329.6604004000001</v>
      </c>
      <c r="H2313">
        <v>1328.5089111</v>
      </c>
      <c r="I2313">
        <v>1339.5970459</v>
      </c>
      <c r="J2313">
        <v>1336.9123535000001</v>
      </c>
      <c r="K2313">
        <v>0</v>
      </c>
      <c r="L2313">
        <v>2750</v>
      </c>
      <c r="M2313">
        <v>2750</v>
      </c>
      <c r="N2313">
        <v>0</v>
      </c>
    </row>
    <row r="2314" spans="1:14" x14ac:dyDescent="0.25">
      <c r="A2314">
        <v>1280.184737</v>
      </c>
      <c r="B2314" s="1">
        <f>DATE(2013,11,1) + TIME(4,26,1)</f>
        <v>41579.184733796297</v>
      </c>
      <c r="C2314">
        <v>80</v>
      </c>
      <c r="D2314">
        <v>79.936096191000004</v>
      </c>
      <c r="E2314">
        <v>60</v>
      </c>
      <c r="F2314">
        <v>62.300308227999999</v>
      </c>
      <c r="G2314">
        <v>1329.6563721</v>
      </c>
      <c r="H2314">
        <v>1328.5025635</v>
      </c>
      <c r="I2314">
        <v>1339.5842285000001</v>
      </c>
      <c r="J2314">
        <v>1336.9034423999999</v>
      </c>
      <c r="K2314">
        <v>0</v>
      </c>
      <c r="L2314">
        <v>2750</v>
      </c>
      <c r="M2314">
        <v>2750</v>
      </c>
      <c r="N2314">
        <v>0</v>
      </c>
    </row>
    <row r="2315" spans="1:14" x14ac:dyDescent="0.25">
      <c r="A2315">
        <v>1280.2180579999999</v>
      </c>
      <c r="B2315" s="1">
        <f>DATE(2013,11,1) + TIME(5,14,0)</f>
        <v>41579.218055555553</v>
      </c>
      <c r="C2315">
        <v>80</v>
      </c>
      <c r="D2315">
        <v>79.929885863999999</v>
      </c>
      <c r="E2315">
        <v>60</v>
      </c>
      <c r="F2315">
        <v>62.152927398999999</v>
      </c>
      <c r="G2315">
        <v>1329.6522216999999</v>
      </c>
      <c r="H2315">
        <v>1328.4962158000001</v>
      </c>
      <c r="I2315">
        <v>1339.572876</v>
      </c>
      <c r="J2315">
        <v>1336.8956298999999</v>
      </c>
      <c r="K2315">
        <v>0</v>
      </c>
      <c r="L2315">
        <v>2750</v>
      </c>
      <c r="M2315">
        <v>2750</v>
      </c>
      <c r="N2315">
        <v>0</v>
      </c>
    </row>
    <row r="2316" spans="1:14" x14ac:dyDescent="0.25">
      <c r="A2316">
        <v>1280.2522759999999</v>
      </c>
      <c r="B2316" s="1">
        <f>DATE(2013,11,1) + TIME(6,3,16)</f>
        <v>41579.252268518518</v>
      </c>
      <c r="C2316">
        <v>80</v>
      </c>
      <c r="D2316">
        <v>79.923721313000001</v>
      </c>
      <c r="E2316">
        <v>60</v>
      </c>
      <c r="F2316">
        <v>62.011886597</v>
      </c>
      <c r="G2316">
        <v>1329.6480713000001</v>
      </c>
      <c r="H2316">
        <v>1328.4898682</v>
      </c>
      <c r="I2316">
        <v>1339.5626221</v>
      </c>
      <c r="J2316">
        <v>1336.8884277</v>
      </c>
      <c r="K2316">
        <v>0</v>
      </c>
      <c r="L2316">
        <v>2750</v>
      </c>
      <c r="M2316">
        <v>2750</v>
      </c>
      <c r="N2316">
        <v>0</v>
      </c>
    </row>
    <row r="2317" spans="1:14" x14ac:dyDescent="0.25">
      <c r="A2317">
        <v>1280.2874549999999</v>
      </c>
      <c r="B2317" s="1">
        <f>DATE(2013,11,1) + TIME(6,53,56)</f>
        <v>41579.287453703706</v>
      </c>
      <c r="C2317">
        <v>80</v>
      </c>
      <c r="D2317">
        <v>79.917602539000001</v>
      </c>
      <c r="E2317">
        <v>60</v>
      </c>
      <c r="F2317">
        <v>61.876945495999998</v>
      </c>
      <c r="G2317">
        <v>1329.6439209</v>
      </c>
      <c r="H2317">
        <v>1328.4833983999999</v>
      </c>
      <c r="I2317">
        <v>1339.5537108999999</v>
      </c>
      <c r="J2317">
        <v>1336.8822021000001</v>
      </c>
      <c r="K2317">
        <v>0</v>
      </c>
      <c r="L2317">
        <v>2750</v>
      </c>
      <c r="M2317">
        <v>2750</v>
      </c>
      <c r="N2317">
        <v>0</v>
      </c>
    </row>
    <row r="2318" spans="1:14" x14ac:dyDescent="0.25">
      <c r="A2318">
        <v>1280.323666</v>
      </c>
      <c r="B2318" s="1">
        <f>DATE(2013,11,1) + TIME(7,46,4)</f>
        <v>41579.323657407411</v>
      </c>
      <c r="C2318">
        <v>80</v>
      </c>
      <c r="D2318">
        <v>79.911514281999999</v>
      </c>
      <c r="E2318">
        <v>60</v>
      </c>
      <c r="F2318">
        <v>61.747882842999999</v>
      </c>
      <c r="G2318">
        <v>1329.6397704999999</v>
      </c>
      <c r="H2318">
        <v>1328.4768065999999</v>
      </c>
      <c r="I2318">
        <v>1339.5457764</v>
      </c>
      <c r="J2318">
        <v>1336.8767089999999</v>
      </c>
      <c r="K2318">
        <v>0</v>
      </c>
      <c r="L2318">
        <v>2750</v>
      </c>
      <c r="M2318">
        <v>2750</v>
      </c>
      <c r="N2318">
        <v>0</v>
      </c>
    </row>
    <row r="2319" spans="1:14" x14ac:dyDescent="0.25">
      <c r="A2319">
        <v>1280.3609839999999</v>
      </c>
      <c r="B2319" s="1">
        <f>DATE(2013,11,1) + TIME(8,39,48)</f>
        <v>41579.360972222225</v>
      </c>
      <c r="C2319">
        <v>80</v>
      </c>
      <c r="D2319">
        <v>79.905464171999995</v>
      </c>
      <c r="E2319">
        <v>60</v>
      </c>
      <c r="F2319">
        <v>61.624496460000003</v>
      </c>
      <c r="G2319">
        <v>1329.6354980000001</v>
      </c>
      <c r="H2319">
        <v>1328.4702147999999</v>
      </c>
      <c r="I2319">
        <v>1339.5390625</v>
      </c>
      <c r="J2319">
        <v>1336.8718262</v>
      </c>
      <c r="K2319">
        <v>0</v>
      </c>
      <c r="L2319">
        <v>2750</v>
      </c>
      <c r="M2319">
        <v>2750</v>
      </c>
      <c r="N2319">
        <v>0</v>
      </c>
    </row>
    <row r="2320" spans="1:14" x14ac:dyDescent="0.25">
      <c r="A2320">
        <v>1280.399484</v>
      </c>
      <c r="B2320" s="1">
        <f>DATE(2013,11,1) + TIME(9,35,15)</f>
        <v>41579.39947916667</v>
      </c>
      <c r="C2320">
        <v>80</v>
      </c>
      <c r="D2320">
        <v>79.899452209000003</v>
      </c>
      <c r="E2320">
        <v>60</v>
      </c>
      <c r="F2320">
        <v>61.506626128999997</v>
      </c>
      <c r="G2320">
        <v>1329.6311035000001</v>
      </c>
      <c r="H2320">
        <v>1328.463501</v>
      </c>
      <c r="I2320">
        <v>1339.5334473</v>
      </c>
      <c r="J2320">
        <v>1336.8677978999999</v>
      </c>
      <c r="K2320">
        <v>0</v>
      </c>
      <c r="L2320">
        <v>2750</v>
      </c>
      <c r="M2320">
        <v>2750</v>
      </c>
      <c r="N2320">
        <v>0</v>
      </c>
    </row>
    <row r="2321" spans="1:14" x14ac:dyDescent="0.25">
      <c r="A2321">
        <v>1280.4392620000001</v>
      </c>
      <c r="B2321" s="1">
        <f>DATE(2013,11,1) + TIME(10,32,32)</f>
        <v>41579.439259259256</v>
      </c>
      <c r="C2321">
        <v>80</v>
      </c>
      <c r="D2321">
        <v>79.893463135000005</v>
      </c>
      <c r="E2321">
        <v>60</v>
      </c>
      <c r="F2321">
        <v>61.394088744999998</v>
      </c>
      <c r="G2321">
        <v>1329.6267089999999</v>
      </c>
      <c r="H2321">
        <v>1328.4566649999999</v>
      </c>
      <c r="I2321">
        <v>1339.5286865</v>
      </c>
      <c r="J2321">
        <v>1336.8643798999999</v>
      </c>
      <c r="K2321">
        <v>0</v>
      </c>
      <c r="L2321">
        <v>2750</v>
      </c>
      <c r="M2321">
        <v>2750</v>
      </c>
      <c r="N2321">
        <v>0</v>
      </c>
    </row>
    <row r="2322" spans="1:14" x14ac:dyDescent="0.25">
      <c r="A2322">
        <v>1280.480419</v>
      </c>
      <c r="B2322" s="1">
        <f>DATE(2013,11,1) + TIME(11,31,48)</f>
        <v>41579.480416666665</v>
      </c>
      <c r="C2322">
        <v>80</v>
      </c>
      <c r="D2322">
        <v>79.887496948000006</v>
      </c>
      <c r="E2322">
        <v>60</v>
      </c>
      <c r="F2322">
        <v>61.286731719999999</v>
      </c>
      <c r="G2322">
        <v>1329.6221923999999</v>
      </c>
      <c r="H2322">
        <v>1328.4498291</v>
      </c>
      <c r="I2322">
        <v>1339.5249022999999</v>
      </c>
      <c r="J2322">
        <v>1336.8615723</v>
      </c>
      <c r="K2322">
        <v>0</v>
      </c>
      <c r="L2322">
        <v>2750</v>
      </c>
      <c r="M2322">
        <v>2750</v>
      </c>
      <c r="N2322">
        <v>0</v>
      </c>
    </row>
    <row r="2323" spans="1:14" x14ac:dyDescent="0.25">
      <c r="A2323">
        <v>1280.523064</v>
      </c>
      <c r="B2323" s="1">
        <f>DATE(2013,11,1) + TIME(12,33,12)</f>
        <v>41579.523055555554</v>
      </c>
      <c r="C2323">
        <v>80</v>
      </c>
      <c r="D2323">
        <v>79.881553650000001</v>
      </c>
      <c r="E2323">
        <v>60</v>
      </c>
      <c r="F2323">
        <v>61.184413910000004</v>
      </c>
      <c r="G2323">
        <v>1329.6175536999999</v>
      </c>
      <c r="H2323">
        <v>1328.442749</v>
      </c>
      <c r="I2323">
        <v>1339.5220947</v>
      </c>
      <c r="J2323">
        <v>1336.859375</v>
      </c>
      <c r="K2323">
        <v>0</v>
      </c>
      <c r="L2323">
        <v>2750</v>
      </c>
      <c r="M2323">
        <v>2750</v>
      </c>
      <c r="N2323">
        <v>0</v>
      </c>
    </row>
    <row r="2324" spans="1:14" x14ac:dyDescent="0.25">
      <c r="A2324">
        <v>1280.5673179999999</v>
      </c>
      <c r="B2324" s="1">
        <f>DATE(2013,11,1) + TIME(13,36,56)</f>
        <v>41579.567314814813</v>
      </c>
      <c r="C2324">
        <v>80</v>
      </c>
      <c r="D2324">
        <v>79.875617981000005</v>
      </c>
      <c r="E2324">
        <v>60</v>
      </c>
      <c r="F2324">
        <v>61.087009430000002</v>
      </c>
      <c r="G2324">
        <v>1329.6129149999999</v>
      </c>
      <c r="H2324">
        <v>1328.4355469</v>
      </c>
      <c r="I2324">
        <v>1339.5200195</v>
      </c>
      <c r="J2324">
        <v>1336.8576660000001</v>
      </c>
      <c r="K2324">
        <v>0</v>
      </c>
      <c r="L2324">
        <v>2750</v>
      </c>
      <c r="M2324">
        <v>2750</v>
      </c>
      <c r="N2324">
        <v>0</v>
      </c>
    </row>
    <row r="2325" spans="1:14" x14ac:dyDescent="0.25">
      <c r="A2325">
        <v>1280.6133150000001</v>
      </c>
      <c r="B2325" s="1">
        <f>DATE(2013,11,1) + TIME(14,43,10)</f>
        <v>41579.613310185188</v>
      </c>
      <c r="C2325">
        <v>80</v>
      </c>
      <c r="D2325">
        <v>79.869689941000004</v>
      </c>
      <c r="E2325">
        <v>60</v>
      </c>
      <c r="F2325">
        <v>60.994400024000001</v>
      </c>
      <c r="G2325">
        <v>1329.6081543</v>
      </c>
      <c r="H2325">
        <v>1328.4282227000001</v>
      </c>
      <c r="I2325">
        <v>1339.5187988</v>
      </c>
      <c r="J2325">
        <v>1336.8565673999999</v>
      </c>
      <c r="K2325">
        <v>0</v>
      </c>
      <c r="L2325">
        <v>2750</v>
      </c>
      <c r="M2325">
        <v>2750</v>
      </c>
      <c r="N2325">
        <v>0</v>
      </c>
    </row>
    <row r="2326" spans="1:14" x14ac:dyDescent="0.25">
      <c r="A2326">
        <v>1280.6612050000001</v>
      </c>
      <c r="B2326" s="1">
        <f>DATE(2013,11,1) + TIME(15,52,8)</f>
        <v>41579.661203703705</v>
      </c>
      <c r="C2326">
        <v>80</v>
      </c>
      <c r="D2326">
        <v>79.863769531000003</v>
      </c>
      <c r="E2326">
        <v>60</v>
      </c>
      <c r="F2326">
        <v>60.906482697000001</v>
      </c>
      <c r="G2326">
        <v>1329.6032714999999</v>
      </c>
      <c r="H2326">
        <v>1328.4207764</v>
      </c>
      <c r="I2326">
        <v>1339.5183105000001</v>
      </c>
      <c r="J2326">
        <v>1336.8560791</v>
      </c>
      <c r="K2326">
        <v>0</v>
      </c>
      <c r="L2326">
        <v>2750</v>
      </c>
      <c r="M2326">
        <v>2750</v>
      </c>
      <c r="N2326">
        <v>0</v>
      </c>
    </row>
    <row r="2327" spans="1:14" x14ac:dyDescent="0.25">
      <c r="A2327">
        <v>1280.7111540000001</v>
      </c>
      <c r="B2327" s="1">
        <f>DATE(2013,11,1) + TIME(17,4,3)</f>
        <v>41579.711145833331</v>
      </c>
      <c r="C2327">
        <v>80</v>
      </c>
      <c r="D2327">
        <v>79.857841492000006</v>
      </c>
      <c r="E2327">
        <v>60</v>
      </c>
      <c r="F2327">
        <v>60.823158264</v>
      </c>
      <c r="G2327">
        <v>1329.5982666</v>
      </c>
      <c r="H2327">
        <v>1328.4130858999999</v>
      </c>
      <c r="I2327">
        <v>1339.5185547000001</v>
      </c>
      <c r="J2327">
        <v>1336.855957</v>
      </c>
      <c r="K2327">
        <v>0</v>
      </c>
      <c r="L2327">
        <v>2750</v>
      </c>
      <c r="M2327">
        <v>2750</v>
      </c>
      <c r="N2327">
        <v>0</v>
      </c>
    </row>
    <row r="2328" spans="1:14" x14ac:dyDescent="0.25">
      <c r="A2328">
        <v>1280.7633530000001</v>
      </c>
      <c r="B2328" s="1">
        <f>DATE(2013,11,1) + TIME(18,19,13)</f>
        <v>41579.763344907406</v>
      </c>
      <c r="C2328">
        <v>80</v>
      </c>
      <c r="D2328">
        <v>79.851898192999997</v>
      </c>
      <c r="E2328">
        <v>60</v>
      </c>
      <c r="F2328">
        <v>60.744335175000003</v>
      </c>
      <c r="G2328">
        <v>1329.5930175999999</v>
      </c>
      <c r="H2328">
        <v>1328.4051514</v>
      </c>
      <c r="I2328">
        <v>1339.5194091999999</v>
      </c>
      <c r="J2328">
        <v>1336.8562012</v>
      </c>
      <c r="K2328">
        <v>0</v>
      </c>
      <c r="L2328">
        <v>2750</v>
      </c>
      <c r="M2328">
        <v>2750</v>
      </c>
      <c r="N2328">
        <v>0</v>
      </c>
    </row>
    <row r="2329" spans="1:14" x14ac:dyDescent="0.25">
      <c r="A2329">
        <v>1280.817965</v>
      </c>
      <c r="B2329" s="1">
        <f>DATE(2013,11,1) + TIME(19,37,52)</f>
        <v>41579.817962962959</v>
      </c>
      <c r="C2329">
        <v>80</v>
      </c>
      <c r="D2329">
        <v>79.845939635999997</v>
      </c>
      <c r="E2329">
        <v>60</v>
      </c>
      <c r="F2329">
        <v>60.669990540000001</v>
      </c>
      <c r="G2329">
        <v>1329.5877685999999</v>
      </c>
      <c r="H2329">
        <v>1328.3970947</v>
      </c>
      <c r="I2329">
        <v>1339.5207519999999</v>
      </c>
      <c r="J2329">
        <v>1336.8570557</v>
      </c>
      <c r="K2329">
        <v>0</v>
      </c>
      <c r="L2329">
        <v>2750</v>
      </c>
      <c r="M2329">
        <v>2750</v>
      </c>
      <c r="N2329">
        <v>0</v>
      </c>
    </row>
    <row r="2330" spans="1:14" x14ac:dyDescent="0.25">
      <c r="A2330">
        <v>1280.875217</v>
      </c>
      <c r="B2330" s="1">
        <f>DATE(2013,11,1) + TIME(21,0,18)</f>
        <v>41579.875208333331</v>
      </c>
      <c r="C2330">
        <v>80</v>
      </c>
      <c r="D2330">
        <v>79.839950561999999</v>
      </c>
      <c r="E2330">
        <v>60</v>
      </c>
      <c r="F2330">
        <v>60.600048065000003</v>
      </c>
      <c r="G2330">
        <v>1329.5822754000001</v>
      </c>
      <c r="H2330">
        <v>1328.3887939000001</v>
      </c>
      <c r="I2330">
        <v>1339.5228271000001</v>
      </c>
      <c r="J2330">
        <v>1336.8581543</v>
      </c>
      <c r="K2330">
        <v>0</v>
      </c>
      <c r="L2330">
        <v>2750</v>
      </c>
      <c r="M2330">
        <v>2750</v>
      </c>
      <c r="N2330">
        <v>0</v>
      </c>
    </row>
    <row r="2331" spans="1:14" x14ac:dyDescent="0.25">
      <c r="A2331">
        <v>1280.9353590000001</v>
      </c>
      <c r="B2331" s="1">
        <f>DATE(2013,11,1) + TIME(22,26,54)</f>
        <v>41579.935347222221</v>
      </c>
      <c r="C2331">
        <v>80</v>
      </c>
      <c r="D2331">
        <v>79.833923339999998</v>
      </c>
      <c r="E2331">
        <v>60</v>
      </c>
      <c r="F2331">
        <v>60.534431458</v>
      </c>
      <c r="G2331">
        <v>1329.5766602000001</v>
      </c>
      <c r="H2331">
        <v>1328.380249</v>
      </c>
      <c r="I2331">
        <v>1339.5252685999999</v>
      </c>
      <c r="J2331">
        <v>1336.8596190999999</v>
      </c>
      <c r="K2331">
        <v>0</v>
      </c>
      <c r="L2331">
        <v>2750</v>
      </c>
      <c r="M2331">
        <v>2750</v>
      </c>
      <c r="N2331">
        <v>0</v>
      </c>
    </row>
    <row r="2332" spans="1:14" x14ac:dyDescent="0.25">
      <c r="A2332">
        <v>1280.9986779999999</v>
      </c>
      <c r="B2332" s="1">
        <f>DATE(2013,11,1) + TIME(23,58,5)</f>
        <v>41579.998668981483</v>
      </c>
      <c r="C2332">
        <v>80</v>
      </c>
      <c r="D2332">
        <v>79.827842712000006</v>
      </c>
      <c r="E2332">
        <v>60</v>
      </c>
      <c r="F2332">
        <v>60.473072051999999</v>
      </c>
      <c r="G2332">
        <v>1329.5709228999999</v>
      </c>
      <c r="H2332">
        <v>1328.3714600000001</v>
      </c>
      <c r="I2332">
        <v>1339.5280762</v>
      </c>
      <c r="J2332">
        <v>1336.8613281</v>
      </c>
      <c r="K2332">
        <v>0</v>
      </c>
      <c r="L2332">
        <v>2750</v>
      </c>
      <c r="M2332">
        <v>2750</v>
      </c>
      <c r="N2332">
        <v>0</v>
      </c>
    </row>
    <row r="2333" spans="1:14" x14ac:dyDescent="0.25">
      <c r="A2333">
        <v>1281.0654919999999</v>
      </c>
      <c r="B2333" s="1">
        <f>DATE(2013,11,2) + TIME(1,34,18)</f>
        <v>41580.065486111111</v>
      </c>
      <c r="C2333">
        <v>80</v>
      </c>
      <c r="D2333">
        <v>79.821693420000003</v>
      </c>
      <c r="E2333">
        <v>60</v>
      </c>
      <c r="F2333">
        <v>60.415904998999999</v>
      </c>
      <c r="G2333">
        <v>1329.5648193</v>
      </c>
      <c r="H2333">
        <v>1328.3623047000001</v>
      </c>
      <c r="I2333">
        <v>1339.53125</v>
      </c>
      <c r="J2333">
        <v>1336.8634033000001</v>
      </c>
      <c r="K2333">
        <v>0</v>
      </c>
      <c r="L2333">
        <v>2750</v>
      </c>
      <c r="M2333">
        <v>2750</v>
      </c>
      <c r="N2333">
        <v>0</v>
      </c>
    </row>
    <row r="2334" spans="1:14" x14ac:dyDescent="0.25">
      <c r="A2334">
        <v>1281.1361750000001</v>
      </c>
      <c r="B2334" s="1">
        <f>DATE(2013,11,2) + TIME(3,16,5)</f>
        <v>41580.13616898148</v>
      </c>
      <c r="C2334">
        <v>80</v>
      </c>
      <c r="D2334">
        <v>79.815452575999998</v>
      </c>
      <c r="E2334">
        <v>60</v>
      </c>
      <c r="F2334">
        <v>60.362861633000001</v>
      </c>
      <c r="G2334">
        <v>1329.5585937999999</v>
      </c>
      <c r="H2334">
        <v>1328.3529053</v>
      </c>
      <c r="I2334">
        <v>1339.5347899999999</v>
      </c>
      <c r="J2334">
        <v>1336.8656006000001</v>
      </c>
      <c r="K2334">
        <v>0</v>
      </c>
      <c r="L2334">
        <v>2750</v>
      </c>
      <c r="M2334">
        <v>2750</v>
      </c>
      <c r="N2334">
        <v>0</v>
      </c>
    </row>
    <row r="2335" spans="1:14" x14ac:dyDescent="0.25">
      <c r="A2335">
        <v>1281.2111629999999</v>
      </c>
      <c r="B2335" s="1">
        <f>DATE(2013,11,2) + TIME(5,4,4)</f>
        <v>41580.211157407408</v>
      </c>
      <c r="C2335">
        <v>80</v>
      </c>
      <c r="D2335">
        <v>79.809097289999997</v>
      </c>
      <c r="E2335">
        <v>60</v>
      </c>
      <c r="F2335">
        <v>60.313858031999999</v>
      </c>
      <c r="G2335">
        <v>1329.552124</v>
      </c>
      <c r="H2335">
        <v>1328.3430175999999</v>
      </c>
      <c r="I2335">
        <v>1339.5384521000001</v>
      </c>
      <c r="J2335">
        <v>1336.8680420000001</v>
      </c>
      <c r="K2335">
        <v>0</v>
      </c>
      <c r="L2335">
        <v>2750</v>
      </c>
      <c r="M2335">
        <v>2750</v>
      </c>
      <c r="N2335">
        <v>0</v>
      </c>
    </row>
    <row r="2336" spans="1:14" x14ac:dyDescent="0.25">
      <c r="A2336">
        <v>1281.2909549999999</v>
      </c>
      <c r="B2336" s="1">
        <f>DATE(2013,11,2) + TIME(6,58,58)</f>
        <v>41580.290949074071</v>
      </c>
      <c r="C2336">
        <v>80</v>
      </c>
      <c r="D2336">
        <v>79.802604674999998</v>
      </c>
      <c r="E2336">
        <v>60</v>
      </c>
      <c r="F2336">
        <v>60.268825530999997</v>
      </c>
      <c r="G2336">
        <v>1329.5452881000001</v>
      </c>
      <c r="H2336">
        <v>1328.3327637</v>
      </c>
      <c r="I2336">
        <v>1339.5423584</v>
      </c>
      <c r="J2336">
        <v>1336.8706055</v>
      </c>
      <c r="K2336">
        <v>0</v>
      </c>
      <c r="L2336">
        <v>2750</v>
      </c>
      <c r="M2336">
        <v>2750</v>
      </c>
      <c r="N2336">
        <v>0</v>
      </c>
    </row>
    <row r="2337" spans="1:14" x14ac:dyDescent="0.25">
      <c r="A2337">
        <v>1281.376135</v>
      </c>
      <c r="B2337" s="1">
        <f>DATE(2013,11,2) + TIME(9,1,38)</f>
        <v>41580.376134259262</v>
      </c>
      <c r="C2337">
        <v>80</v>
      </c>
      <c r="D2337">
        <v>79.795936584000003</v>
      </c>
      <c r="E2337">
        <v>60</v>
      </c>
      <c r="F2337">
        <v>60.227672577</v>
      </c>
      <c r="G2337">
        <v>1329.5382079999999</v>
      </c>
      <c r="H2337">
        <v>1328.3221435999999</v>
      </c>
      <c r="I2337">
        <v>1339.5462646000001</v>
      </c>
      <c r="J2337">
        <v>1336.8732910000001</v>
      </c>
      <c r="K2337">
        <v>0</v>
      </c>
      <c r="L2337">
        <v>2750</v>
      </c>
      <c r="M2337">
        <v>2750</v>
      </c>
      <c r="N2337">
        <v>0</v>
      </c>
    </row>
    <row r="2338" spans="1:14" x14ac:dyDescent="0.25">
      <c r="A2338">
        <v>1281.46739</v>
      </c>
      <c r="B2338" s="1">
        <f>DATE(2013,11,2) + TIME(11,13,2)</f>
        <v>41580.46738425926</v>
      </c>
      <c r="C2338">
        <v>80</v>
      </c>
      <c r="D2338">
        <v>79.789054871000005</v>
      </c>
      <c r="E2338">
        <v>60</v>
      </c>
      <c r="F2338">
        <v>60.190319060999997</v>
      </c>
      <c r="G2338">
        <v>1329.5307617000001</v>
      </c>
      <c r="H2338">
        <v>1328.3109131000001</v>
      </c>
      <c r="I2338">
        <v>1339.5501709</v>
      </c>
      <c r="J2338">
        <v>1336.8759766000001</v>
      </c>
      <c r="K2338">
        <v>0</v>
      </c>
      <c r="L2338">
        <v>2750</v>
      </c>
      <c r="M2338">
        <v>2750</v>
      </c>
      <c r="N2338">
        <v>0</v>
      </c>
    </row>
    <row r="2339" spans="1:14" x14ac:dyDescent="0.25">
      <c r="A2339">
        <v>1281.5655389999999</v>
      </c>
      <c r="B2339" s="1">
        <f>DATE(2013,11,2) + TIME(13,34,22)</f>
        <v>41580.565532407411</v>
      </c>
      <c r="C2339">
        <v>80</v>
      </c>
      <c r="D2339">
        <v>79.781898498999993</v>
      </c>
      <c r="E2339">
        <v>60</v>
      </c>
      <c r="F2339">
        <v>60.156658172999997</v>
      </c>
      <c r="G2339">
        <v>1329.5229492000001</v>
      </c>
      <c r="H2339">
        <v>1328.2991943</v>
      </c>
      <c r="I2339">
        <v>1339.5539550999999</v>
      </c>
      <c r="J2339">
        <v>1336.8787841999999</v>
      </c>
      <c r="K2339">
        <v>0</v>
      </c>
      <c r="L2339">
        <v>2750</v>
      </c>
      <c r="M2339">
        <v>2750</v>
      </c>
      <c r="N2339">
        <v>0</v>
      </c>
    </row>
    <row r="2340" spans="1:14" x14ac:dyDescent="0.25">
      <c r="A2340">
        <v>1281.671564</v>
      </c>
      <c r="B2340" s="1">
        <f>DATE(2013,11,2) + TIME(16,7,3)</f>
        <v>41580.6715625</v>
      </c>
      <c r="C2340">
        <v>80</v>
      </c>
      <c r="D2340">
        <v>79.774406432999996</v>
      </c>
      <c r="E2340">
        <v>60</v>
      </c>
      <c r="F2340">
        <v>60.126586914000001</v>
      </c>
      <c r="G2340">
        <v>1329.5146483999999</v>
      </c>
      <c r="H2340">
        <v>1328.2868652</v>
      </c>
      <c r="I2340">
        <v>1339.5577393000001</v>
      </c>
      <c r="J2340">
        <v>1336.8813477000001</v>
      </c>
      <c r="K2340">
        <v>0</v>
      </c>
      <c r="L2340">
        <v>2750</v>
      </c>
      <c r="M2340">
        <v>2750</v>
      </c>
      <c r="N2340">
        <v>0</v>
      </c>
    </row>
    <row r="2341" spans="1:14" x14ac:dyDescent="0.25">
      <c r="A2341">
        <v>1281.7866590000001</v>
      </c>
      <c r="B2341" s="1">
        <f>DATE(2013,11,2) + TIME(18,52,47)</f>
        <v>41580.78665509259</v>
      </c>
      <c r="C2341">
        <v>80</v>
      </c>
      <c r="D2341">
        <v>79.766502380000006</v>
      </c>
      <c r="E2341">
        <v>60</v>
      </c>
      <c r="F2341">
        <v>60.099975585999999</v>
      </c>
      <c r="G2341">
        <v>1329.5058594</v>
      </c>
      <c r="H2341">
        <v>1328.2736815999999</v>
      </c>
      <c r="I2341">
        <v>1339.5610352000001</v>
      </c>
      <c r="J2341">
        <v>1336.8839111</v>
      </c>
      <c r="K2341">
        <v>0</v>
      </c>
      <c r="L2341">
        <v>2750</v>
      </c>
      <c r="M2341">
        <v>2750</v>
      </c>
      <c r="N2341">
        <v>0</v>
      </c>
    </row>
    <row r="2342" spans="1:14" x14ac:dyDescent="0.25">
      <c r="A2342">
        <v>1281.91067</v>
      </c>
      <c r="B2342" s="1">
        <f>DATE(2013,11,2) + TIME(21,51,21)</f>
        <v>41580.91065972222</v>
      </c>
      <c r="C2342">
        <v>80</v>
      </c>
      <c r="D2342">
        <v>79.758171082000004</v>
      </c>
      <c r="E2342">
        <v>60</v>
      </c>
      <c r="F2342">
        <v>60.076927185000002</v>
      </c>
      <c r="G2342">
        <v>1329.496582</v>
      </c>
      <c r="H2342">
        <v>1328.2598877</v>
      </c>
      <c r="I2342">
        <v>1339.5642089999999</v>
      </c>
      <c r="J2342">
        <v>1336.8863524999999</v>
      </c>
      <c r="K2342">
        <v>0</v>
      </c>
      <c r="L2342">
        <v>2750</v>
      </c>
      <c r="M2342">
        <v>2750</v>
      </c>
      <c r="N2342">
        <v>0</v>
      </c>
    </row>
    <row r="2343" spans="1:14" x14ac:dyDescent="0.25">
      <c r="A2343">
        <v>1282.0355549999999</v>
      </c>
      <c r="B2343" s="1">
        <f>DATE(2013,11,3) + TIME(0,51,11)</f>
        <v>41581.035543981481</v>
      </c>
      <c r="C2343">
        <v>80</v>
      </c>
      <c r="D2343">
        <v>79.749839782999999</v>
      </c>
      <c r="E2343">
        <v>60</v>
      </c>
      <c r="F2343">
        <v>60.058296204000001</v>
      </c>
      <c r="G2343">
        <v>1329.4868164</v>
      </c>
      <c r="H2343">
        <v>1328.2454834</v>
      </c>
      <c r="I2343">
        <v>1339.5676269999999</v>
      </c>
      <c r="J2343">
        <v>1336.8890381000001</v>
      </c>
      <c r="K2343">
        <v>0</v>
      </c>
      <c r="L2343">
        <v>2750</v>
      </c>
      <c r="M2343">
        <v>2750</v>
      </c>
      <c r="N2343">
        <v>0</v>
      </c>
    </row>
    <row r="2344" spans="1:14" x14ac:dyDescent="0.25">
      <c r="A2344">
        <v>1282.1622400000001</v>
      </c>
      <c r="B2344" s="1">
        <f>DATE(2013,11,3) + TIME(3,53,37)</f>
        <v>41581.162233796298</v>
      </c>
      <c r="C2344">
        <v>80</v>
      </c>
      <c r="D2344">
        <v>79.741416931000003</v>
      </c>
      <c r="E2344">
        <v>60</v>
      </c>
      <c r="F2344">
        <v>60.043163300000003</v>
      </c>
      <c r="G2344">
        <v>1329.4771728999999</v>
      </c>
      <c r="H2344">
        <v>1328.2310791</v>
      </c>
      <c r="I2344">
        <v>1339.5700684000001</v>
      </c>
      <c r="J2344">
        <v>1336.8911132999999</v>
      </c>
      <c r="K2344">
        <v>0</v>
      </c>
      <c r="L2344">
        <v>2750</v>
      </c>
      <c r="M2344">
        <v>2750</v>
      </c>
      <c r="N2344">
        <v>0</v>
      </c>
    </row>
    <row r="2345" spans="1:14" x14ac:dyDescent="0.25">
      <c r="A2345">
        <v>1282.291201</v>
      </c>
      <c r="B2345" s="1">
        <f>DATE(2013,11,3) + TIME(6,59,19)</f>
        <v>41581.291192129633</v>
      </c>
      <c r="C2345">
        <v>80</v>
      </c>
      <c r="D2345">
        <v>79.732841492000006</v>
      </c>
      <c r="E2345">
        <v>60</v>
      </c>
      <c r="F2345">
        <v>60.030868529999999</v>
      </c>
      <c r="G2345">
        <v>1329.4674072</v>
      </c>
      <c r="H2345">
        <v>1328.2166748</v>
      </c>
      <c r="I2345">
        <v>1339.5717772999999</v>
      </c>
      <c r="J2345">
        <v>1336.8927002</v>
      </c>
      <c r="K2345">
        <v>0</v>
      </c>
      <c r="L2345">
        <v>2750</v>
      </c>
      <c r="M2345">
        <v>2750</v>
      </c>
      <c r="N2345">
        <v>0</v>
      </c>
    </row>
    <row r="2346" spans="1:14" x14ac:dyDescent="0.25">
      <c r="A2346">
        <v>1282.422994</v>
      </c>
      <c r="B2346" s="1">
        <f>DATE(2013,11,3) + TIME(10,9,6)</f>
        <v>41581.422986111109</v>
      </c>
      <c r="C2346">
        <v>80</v>
      </c>
      <c r="D2346">
        <v>79.724037170000003</v>
      </c>
      <c r="E2346">
        <v>60</v>
      </c>
      <c r="F2346">
        <v>60.020889281999999</v>
      </c>
      <c r="G2346">
        <v>1329.4576416</v>
      </c>
      <c r="H2346">
        <v>1328.2022704999999</v>
      </c>
      <c r="I2346">
        <v>1339.5727539</v>
      </c>
      <c r="J2346">
        <v>1336.8939209</v>
      </c>
      <c r="K2346">
        <v>0</v>
      </c>
      <c r="L2346">
        <v>2750</v>
      </c>
      <c r="M2346">
        <v>2750</v>
      </c>
      <c r="N2346">
        <v>0</v>
      </c>
    </row>
    <row r="2347" spans="1:14" x14ac:dyDescent="0.25">
      <c r="A2347">
        <v>1282.558147</v>
      </c>
      <c r="B2347" s="1">
        <f>DATE(2013,11,3) + TIME(13,23,43)</f>
        <v>41581.558136574073</v>
      </c>
      <c r="C2347">
        <v>80</v>
      </c>
      <c r="D2347">
        <v>79.714935303000004</v>
      </c>
      <c r="E2347">
        <v>60</v>
      </c>
      <c r="F2347">
        <v>60.012790680000002</v>
      </c>
      <c r="G2347">
        <v>1329.4477539</v>
      </c>
      <c r="H2347">
        <v>1328.1877440999999</v>
      </c>
      <c r="I2347">
        <v>1339.5731201000001</v>
      </c>
      <c r="J2347">
        <v>1336.8946533000001</v>
      </c>
      <c r="K2347">
        <v>0</v>
      </c>
      <c r="L2347">
        <v>2750</v>
      </c>
      <c r="M2347">
        <v>2750</v>
      </c>
      <c r="N2347">
        <v>0</v>
      </c>
    </row>
    <row r="2348" spans="1:14" x14ac:dyDescent="0.25">
      <c r="A2348">
        <v>1282.6972189999999</v>
      </c>
      <c r="B2348" s="1">
        <f>DATE(2013,11,3) + TIME(16,43,59)</f>
        <v>41581.697210648148</v>
      </c>
      <c r="C2348">
        <v>80</v>
      </c>
      <c r="D2348">
        <v>79.705490112000007</v>
      </c>
      <c r="E2348">
        <v>60</v>
      </c>
      <c r="F2348">
        <v>60.006240845000001</v>
      </c>
      <c r="G2348">
        <v>1329.4378661999999</v>
      </c>
      <c r="H2348">
        <v>1328.1729736</v>
      </c>
      <c r="I2348">
        <v>1339.572876</v>
      </c>
      <c r="J2348">
        <v>1336.8950195</v>
      </c>
      <c r="K2348">
        <v>0</v>
      </c>
      <c r="L2348">
        <v>2750</v>
      </c>
      <c r="M2348">
        <v>2750</v>
      </c>
      <c r="N2348">
        <v>0</v>
      </c>
    </row>
    <row r="2349" spans="1:14" x14ac:dyDescent="0.25">
      <c r="A2349">
        <v>1282.8408179999999</v>
      </c>
      <c r="B2349" s="1">
        <f>DATE(2013,11,3) + TIME(20,10,46)</f>
        <v>41581.840810185182</v>
      </c>
      <c r="C2349">
        <v>80</v>
      </c>
      <c r="D2349">
        <v>79.695625304999993</v>
      </c>
      <c r="E2349">
        <v>60</v>
      </c>
      <c r="F2349">
        <v>60.000957489000001</v>
      </c>
      <c r="G2349">
        <v>1329.4276123</v>
      </c>
      <c r="H2349">
        <v>1328.1580810999999</v>
      </c>
      <c r="I2349">
        <v>1339.5718993999999</v>
      </c>
      <c r="J2349">
        <v>1336.8950195</v>
      </c>
      <c r="K2349">
        <v>0</v>
      </c>
      <c r="L2349">
        <v>2750</v>
      </c>
      <c r="M2349">
        <v>2750</v>
      </c>
      <c r="N2349">
        <v>0</v>
      </c>
    </row>
    <row r="2350" spans="1:14" x14ac:dyDescent="0.25">
      <c r="A2350">
        <v>1282.9896160000001</v>
      </c>
      <c r="B2350" s="1">
        <f>DATE(2013,11,3) + TIME(23,45,2)</f>
        <v>41581.989606481482</v>
      </c>
      <c r="C2350">
        <v>80</v>
      </c>
      <c r="D2350">
        <v>79.685287475999999</v>
      </c>
      <c r="E2350">
        <v>60</v>
      </c>
      <c r="F2350">
        <v>59.996704102000002</v>
      </c>
      <c r="G2350">
        <v>1329.4173584</v>
      </c>
      <c r="H2350">
        <v>1328.1428223</v>
      </c>
      <c r="I2350">
        <v>1339.5705565999999</v>
      </c>
      <c r="J2350">
        <v>1336.8946533000001</v>
      </c>
      <c r="K2350">
        <v>0</v>
      </c>
      <c r="L2350">
        <v>2750</v>
      </c>
      <c r="M2350">
        <v>2750</v>
      </c>
      <c r="N2350">
        <v>0</v>
      </c>
    </row>
    <row r="2351" spans="1:14" x14ac:dyDescent="0.25">
      <c r="A2351">
        <v>1283.142098</v>
      </c>
      <c r="B2351" s="1">
        <f>DATE(2013,11,4) + TIME(3,24,37)</f>
        <v>41582.142094907409</v>
      </c>
      <c r="C2351">
        <v>80</v>
      </c>
      <c r="D2351">
        <v>79.674522400000001</v>
      </c>
      <c r="E2351">
        <v>60</v>
      </c>
      <c r="F2351">
        <v>59.993339538999997</v>
      </c>
      <c r="G2351">
        <v>1329.4067382999999</v>
      </c>
      <c r="H2351">
        <v>1328.1273193</v>
      </c>
      <c r="I2351">
        <v>1339.5686035000001</v>
      </c>
      <c r="J2351">
        <v>1336.894043</v>
      </c>
      <c r="K2351">
        <v>0</v>
      </c>
      <c r="L2351">
        <v>2750</v>
      </c>
      <c r="M2351">
        <v>2750</v>
      </c>
      <c r="N2351">
        <v>0</v>
      </c>
    </row>
    <row r="2352" spans="1:14" x14ac:dyDescent="0.25">
      <c r="A2352">
        <v>1283.2988580000001</v>
      </c>
      <c r="B2352" s="1">
        <f>DATE(2013,11,4) + TIME(7,10,21)</f>
        <v>41582.298854166664</v>
      </c>
      <c r="C2352">
        <v>80</v>
      </c>
      <c r="D2352">
        <v>79.663291931000003</v>
      </c>
      <c r="E2352">
        <v>60</v>
      </c>
      <c r="F2352">
        <v>59.990684508999998</v>
      </c>
      <c r="G2352">
        <v>1329.3959961</v>
      </c>
      <c r="H2352">
        <v>1328.1115723</v>
      </c>
      <c r="I2352">
        <v>1339.5662841999999</v>
      </c>
      <c r="J2352">
        <v>1336.8931885</v>
      </c>
      <c r="K2352">
        <v>0</v>
      </c>
      <c r="L2352">
        <v>2750</v>
      </c>
      <c r="M2352">
        <v>2750</v>
      </c>
      <c r="N2352">
        <v>0</v>
      </c>
    </row>
    <row r="2353" spans="1:14" x14ac:dyDescent="0.25">
      <c r="A2353">
        <v>1283.4604750000001</v>
      </c>
      <c r="B2353" s="1">
        <f>DATE(2013,11,4) + TIME(11,3,5)</f>
        <v>41582.460474537038</v>
      </c>
      <c r="C2353">
        <v>80</v>
      </c>
      <c r="D2353">
        <v>79.651542664000004</v>
      </c>
      <c r="E2353">
        <v>60</v>
      </c>
      <c r="F2353">
        <v>59.988590240000001</v>
      </c>
      <c r="G2353">
        <v>1329.3851318</v>
      </c>
      <c r="H2353">
        <v>1328.0955810999999</v>
      </c>
      <c r="I2353">
        <v>1339.5634766000001</v>
      </c>
      <c r="J2353">
        <v>1336.8919678</v>
      </c>
      <c r="K2353">
        <v>0</v>
      </c>
      <c r="L2353">
        <v>2750</v>
      </c>
      <c r="M2353">
        <v>2750</v>
      </c>
      <c r="N2353">
        <v>0</v>
      </c>
    </row>
    <row r="2354" spans="1:14" x14ac:dyDescent="0.25">
      <c r="A2354">
        <v>1283.6276190000001</v>
      </c>
      <c r="B2354" s="1">
        <f>DATE(2013,11,4) + TIME(15,3,46)</f>
        <v>41582.627615740741</v>
      </c>
      <c r="C2354">
        <v>80</v>
      </c>
      <c r="D2354">
        <v>79.639221191000004</v>
      </c>
      <c r="E2354">
        <v>60</v>
      </c>
      <c r="F2354">
        <v>59.986946105999998</v>
      </c>
      <c r="G2354">
        <v>1329.3741454999999</v>
      </c>
      <c r="H2354">
        <v>1328.0793457</v>
      </c>
      <c r="I2354">
        <v>1339.5601807</v>
      </c>
      <c r="J2354">
        <v>1336.8905029</v>
      </c>
      <c r="K2354">
        <v>0</v>
      </c>
      <c r="L2354">
        <v>2750</v>
      </c>
      <c r="M2354">
        <v>2750</v>
      </c>
      <c r="N2354">
        <v>0</v>
      </c>
    </row>
    <row r="2355" spans="1:14" x14ac:dyDescent="0.25">
      <c r="A2355">
        <v>1283.800984</v>
      </c>
      <c r="B2355" s="1">
        <f>DATE(2013,11,4) + TIME(19,13,24)</f>
        <v>41582.80097222222</v>
      </c>
      <c r="C2355">
        <v>80</v>
      </c>
      <c r="D2355">
        <v>79.626266478999995</v>
      </c>
      <c r="E2355">
        <v>60</v>
      </c>
      <c r="F2355">
        <v>59.985660553000002</v>
      </c>
      <c r="G2355">
        <v>1329.362793</v>
      </c>
      <c r="H2355">
        <v>1328.0628661999999</v>
      </c>
      <c r="I2355">
        <v>1339.5566406</v>
      </c>
      <c r="J2355">
        <v>1336.8889160000001</v>
      </c>
      <c r="K2355">
        <v>0</v>
      </c>
      <c r="L2355">
        <v>2750</v>
      </c>
      <c r="M2355">
        <v>2750</v>
      </c>
      <c r="N2355">
        <v>0</v>
      </c>
    </row>
    <row r="2356" spans="1:14" x14ac:dyDescent="0.25">
      <c r="A2356">
        <v>1283.981389</v>
      </c>
      <c r="B2356" s="1">
        <f>DATE(2013,11,4) + TIME(23,33,11)</f>
        <v>41582.981377314813</v>
      </c>
      <c r="C2356">
        <v>80</v>
      </c>
      <c r="D2356">
        <v>79.612625121999997</v>
      </c>
      <c r="E2356">
        <v>60</v>
      </c>
      <c r="F2356">
        <v>59.984661101999997</v>
      </c>
      <c r="G2356">
        <v>1329.3511963000001</v>
      </c>
      <c r="H2356">
        <v>1328.0458983999999</v>
      </c>
      <c r="I2356">
        <v>1339.5527344</v>
      </c>
      <c r="J2356">
        <v>1336.8869629000001</v>
      </c>
      <c r="K2356">
        <v>0</v>
      </c>
      <c r="L2356">
        <v>2750</v>
      </c>
      <c r="M2356">
        <v>2750</v>
      </c>
      <c r="N2356">
        <v>0</v>
      </c>
    </row>
    <row r="2357" spans="1:14" x14ac:dyDescent="0.25">
      <c r="A2357">
        <v>1284.1697509999999</v>
      </c>
      <c r="B2357" s="1">
        <f>DATE(2013,11,5) + TIME(4,4,26)</f>
        <v>41583.169745370367</v>
      </c>
      <c r="C2357">
        <v>80</v>
      </c>
      <c r="D2357">
        <v>79.598228454999997</v>
      </c>
      <c r="E2357">
        <v>60</v>
      </c>
      <c r="F2357">
        <v>59.983882903999998</v>
      </c>
      <c r="G2357">
        <v>1329.3392334</v>
      </c>
      <c r="H2357">
        <v>1328.0284423999999</v>
      </c>
      <c r="I2357">
        <v>1339.5484618999999</v>
      </c>
      <c r="J2357">
        <v>1336.8848877</v>
      </c>
      <c r="K2357">
        <v>0</v>
      </c>
      <c r="L2357">
        <v>2750</v>
      </c>
      <c r="M2357">
        <v>2750</v>
      </c>
      <c r="N2357">
        <v>0</v>
      </c>
    </row>
    <row r="2358" spans="1:14" x14ac:dyDescent="0.25">
      <c r="A2358">
        <v>1284.367135</v>
      </c>
      <c r="B2358" s="1">
        <f>DATE(2013,11,5) + TIME(8,48,40)</f>
        <v>41583.367129629631</v>
      </c>
      <c r="C2358">
        <v>80</v>
      </c>
      <c r="D2358">
        <v>79.583000182999996</v>
      </c>
      <c r="E2358">
        <v>60</v>
      </c>
      <c r="F2358">
        <v>59.983283997000001</v>
      </c>
      <c r="G2358">
        <v>1329.3270264</v>
      </c>
      <c r="H2358">
        <v>1328.0104980000001</v>
      </c>
      <c r="I2358">
        <v>1339.5438231999999</v>
      </c>
      <c r="J2358">
        <v>1336.8826904</v>
      </c>
      <c r="K2358">
        <v>0</v>
      </c>
      <c r="L2358">
        <v>2750</v>
      </c>
      <c r="M2358">
        <v>2750</v>
      </c>
      <c r="N2358">
        <v>0</v>
      </c>
    </row>
    <row r="2359" spans="1:14" x14ac:dyDescent="0.25">
      <c r="A2359">
        <v>1284.5747839999999</v>
      </c>
      <c r="B2359" s="1">
        <f>DATE(2013,11,5) + TIME(13,47,41)</f>
        <v>41583.574780092589</v>
      </c>
      <c r="C2359">
        <v>80</v>
      </c>
      <c r="D2359">
        <v>79.566848754999995</v>
      </c>
      <c r="E2359">
        <v>60</v>
      </c>
      <c r="F2359">
        <v>59.982818604000002</v>
      </c>
      <c r="G2359">
        <v>1329.3142089999999</v>
      </c>
      <c r="H2359">
        <v>1327.9920654</v>
      </c>
      <c r="I2359">
        <v>1339.5388184000001</v>
      </c>
      <c r="J2359">
        <v>1336.8801269999999</v>
      </c>
      <c r="K2359">
        <v>0</v>
      </c>
      <c r="L2359">
        <v>2750</v>
      </c>
      <c r="M2359">
        <v>2750</v>
      </c>
      <c r="N2359">
        <v>0</v>
      </c>
    </row>
    <row r="2360" spans="1:14" x14ac:dyDescent="0.25">
      <c r="A2360">
        <v>1284.7939329999999</v>
      </c>
      <c r="B2360" s="1">
        <f>DATE(2013,11,5) + TIME(19,3,15)</f>
        <v>41583.793923611112</v>
      </c>
      <c r="C2360">
        <v>80</v>
      </c>
      <c r="D2360">
        <v>79.549705505000006</v>
      </c>
      <c r="E2360">
        <v>60</v>
      </c>
      <c r="F2360">
        <v>59.982463836999997</v>
      </c>
      <c r="G2360">
        <v>1329.3010254000001</v>
      </c>
      <c r="H2360">
        <v>1327.9727783000001</v>
      </c>
      <c r="I2360">
        <v>1339.5335693</v>
      </c>
      <c r="J2360">
        <v>1336.8775635</v>
      </c>
      <c r="K2360">
        <v>0</v>
      </c>
      <c r="L2360">
        <v>2750</v>
      </c>
      <c r="M2360">
        <v>2750</v>
      </c>
      <c r="N2360">
        <v>0</v>
      </c>
    </row>
    <row r="2361" spans="1:14" x14ac:dyDescent="0.25">
      <c r="A2361">
        <v>1285.0217950000001</v>
      </c>
      <c r="B2361" s="1">
        <f>DATE(2013,11,6) + TIME(0,31,23)</f>
        <v>41584.021793981483</v>
      </c>
      <c r="C2361">
        <v>80</v>
      </c>
      <c r="D2361">
        <v>79.531730651999993</v>
      </c>
      <c r="E2361">
        <v>60</v>
      </c>
      <c r="F2361">
        <v>59.982192992999998</v>
      </c>
      <c r="G2361">
        <v>1329.2873535000001</v>
      </c>
      <c r="H2361">
        <v>1327.9528809000001</v>
      </c>
      <c r="I2361">
        <v>1339.5279541</v>
      </c>
      <c r="J2361">
        <v>1336.8746338000001</v>
      </c>
      <c r="K2361">
        <v>0</v>
      </c>
      <c r="L2361">
        <v>2750</v>
      </c>
      <c r="M2361">
        <v>2750</v>
      </c>
      <c r="N2361">
        <v>0</v>
      </c>
    </row>
    <row r="2362" spans="1:14" x14ac:dyDescent="0.25">
      <c r="A2362">
        <v>1285.2597579999999</v>
      </c>
      <c r="B2362" s="1">
        <f>DATE(2013,11,6) + TIME(6,14,3)</f>
        <v>41584.259756944448</v>
      </c>
      <c r="C2362">
        <v>80</v>
      </c>
      <c r="D2362">
        <v>79.512847899999997</v>
      </c>
      <c r="E2362">
        <v>60</v>
      </c>
      <c r="F2362">
        <v>59.981990814</v>
      </c>
      <c r="G2362">
        <v>1329.2733154</v>
      </c>
      <c r="H2362">
        <v>1327.9323730000001</v>
      </c>
      <c r="I2362">
        <v>1339.5220947</v>
      </c>
      <c r="J2362">
        <v>1336.8717041</v>
      </c>
      <c r="K2362">
        <v>0</v>
      </c>
      <c r="L2362">
        <v>2750</v>
      </c>
      <c r="M2362">
        <v>2750</v>
      </c>
      <c r="N2362">
        <v>0</v>
      </c>
    </row>
    <row r="2363" spans="1:14" x14ac:dyDescent="0.25">
      <c r="A2363">
        <v>1285.5091070000001</v>
      </c>
      <c r="B2363" s="1">
        <f>DATE(2013,11,6) + TIME(12,13,6)</f>
        <v>41584.509097222224</v>
      </c>
      <c r="C2363">
        <v>80</v>
      </c>
      <c r="D2363">
        <v>79.493003845000004</v>
      </c>
      <c r="E2363">
        <v>60</v>
      </c>
      <c r="F2363">
        <v>59.981830596999998</v>
      </c>
      <c r="G2363">
        <v>1329.2587891000001</v>
      </c>
      <c r="H2363">
        <v>1327.9112548999999</v>
      </c>
      <c r="I2363">
        <v>1339.5161132999999</v>
      </c>
      <c r="J2363">
        <v>1336.8686522999999</v>
      </c>
      <c r="K2363">
        <v>0</v>
      </c>
      <c r="L2363">
        <v>2750</v>
      </c>
      <c r="M2363">
        <v>2750</v>
      </c>
      <c r="N2363">
        <v>0</v>
      </c>
    </row>
    <row r="2364" spans="1:14" x14ac:dyDescent="0.25">
      <c r="A2364">
        <v>1285.767738</v>
      </c>
      <c r="B2364" s="1">
        <f>DATE(2013,11,6) + TIME(18,25,32)</f>
        <v>41584.767731481479</v>
      </c>
      <c r="C2364">
        <v>80</v>
      </c>
      <c r="D2364">
        <v>79.472335814999994</v>
      </c>
      <c r="E2364">
        <v>60</v>
      </c>
      <c r="F2364">
        <v>59.981712340999998</v>
      </c>
      <c r="G2364">
        <v>1329.2437743999999</v>
      </c>
      <c r="H2364">
        <v>1327.8895264</v>
      </c>
      <c r="I2364">
        <v>1339.5097656</v>
      </c>
      <c r="J2364">
        <v>1336.8653564000001</v>
      </c>
      <c r="K2364">
        <v>0</v>
      </c>
      <c r="L2364">
        <v>2750</v>
      </c>
      <c r="M2364">
        <v>2750</v>
      </c>
      <c r="N2364">
        <v>0</v>
      </c>
    </row>
    <row r="2365" spans="1:14" x14ac:dyDescent="0.25">
      <c r="A2365">
        <v>1286.0321670000001</v>
      </c>
      <c r="B2365" s="1">
        <f>DATE(2013,11,7) + TIME(0,46,19)</f>
        <v>41585.032164351855</v>
      </c>
      <c r="C2365">
        <v>80</v>
      </c>
      <c r="D2365">
        <v>79.451095581000004</v>
      </c>
      <c r="E2365">
        <v>60</v>
      </c>
      <c r="F2365">
        <v>59.981616973999998</v>
      </c>
      <c r="G2365">
        <v>1329.2283935999999</v>
      </c>
      <c r="H2365">
        <v>1327.8673096</v>
      </c>
      <c r="I2365">
        <v>1339.503418</v>
      </c>
      <c r="J2365">
        <v>1336.8620605000001</v>
      </c>
      <c r="K2365">
        <v>0</v>
      </c>
      <c r="L2365">
        <v>2750</v>
      </c>
      <c r="M2365">
        <v>2750</v>
      </c>
      <c r="N2365">
        <v>0</v>
      </c>
    </row>
    <row r="2366" spans="1:14" x14ac:dyDescent="0.25">
      <c r="A2366">
        <v>1286.302469</v>
      </c>
      <c r="B2366" s="1">
        <f>DATE(2013,11,7) + TIME(7,15,33)</f>
        <v>41585.302465277775</v>
      </c>
      <c r="C2366">
        <v>80</v>
      </c>
      <c r="D2366">
        <v>79.429321289000001</v>
      </c>
      <c r="E2366">
        <v>60</v>
      </c>
      <c r="F2366">
        <v>59.981544495000001</v>
      </c>
      <c r="G2366">
        <v>1329.2127685999999</v>
      </c>
      <c r="H2366">
        <v>1327.8448486</v>
      </c>
      <c r="I2366">
        <v>1339.4969481999999</v>
      </c>
      <c r="J2366">
        <v>1336.8587646000001</v>
      </c>
      <c r="K2366">
        <v>0</v>
      </c>
      <c r="L2366">
        <v>2750</v>
      </c>
      <c r="M2366">
        <v>2750</v>
      </c>
      <c r="N2366">
        <v>0</v>
      </c>
    </row>
    <row r="2367" spans="1:14" x14ac:dyDescent="0.25">
      <c r="A2367">
        <v>1286.5748450000001</v>
      </c>
      <c r="B2367" s="1">
        <f>DATE(2013,11,7) + TIME(13,47,46)</f>
        <v>41585.574837962966</v>
      </c>
      <c r="C2367">
        <v>80</v>
      </c>
      <c r="D2367">
        <v>79.407310486</v>
      </c>
      <c r="E2367">
        <v>60</v>
      </c>
      <c r="F2367">
        <v>59.981487274000003</v>
      </c>
      <c r="G2367">
        <v>1329.1971435999999</v>
      </c>
      <c r="H2367">
        <v>1327.8221435999999</v>
      </c>
      <c r="I2367">
        <v>1339.4904785000001</v>
      </c>
      <c r="J2367">
        <v>1336.8554687999999</v>
      </c>
      <c r="K2367">
        <v>0</v>
      </c>
      <c r="L2367">
        <v>2750</v>
      </c>
      <c r="M2367">
        <v>2750</v>
      </c>
      <c r="N2367">
        <v>0</v>
      </c>
    </row>
    <row r="2368" spans="1:14" x14ac:dyDescent="0.25">
      <c r="A2368">
        <v>1286.8504089999999</v>
      </c>
      <c r="B2368" s="1">
        <f>DATE(2013,11,7) + TIME(20,24,35)</f>
        <v>41585.850405092591</v>
      </c>
      <c r="C2368">
        <v>80</v>
      </c>
      <c r="D2368">
        <v>79.385047912999994</v>
      </c>
      <c r="E2368">
        <v>60</v>
      </c>
      <c r="F2368">
        <v>59.981437683000003</v>
      </c>
      <c r="G2368">
        <v>1329.1813964999999</v>
      </c>
      <c r="H2368">
        <v>1327.7994385</v>
      </c>
      <c r="I2368">
        <v>1339.4841309000001</v>
      </c>
      <c r="J2368">
        <v>1336.8521728999999</v>
      </c>
      <c r="K2368">
        <v>0</v>
      </c>
      <c r="L2368">
        <v>2750</v>
      </c>
      <c r="M2368">
        <v>2750</v>
      </c>
      <c r="N2368">
        <v>0</v>
      </c>
    </row>
    <row r="2369" spans="1:14" x14ac:dyDescent="0.25">
      <c r="A2369">
        <v>1287.1304070000001</v>
      </c>
      <c r="B2369" s="1">
        <f>DATE(2013,11,8) + TIME(3,7,47)</f>
        <v>41586.13040509259</v>
      </c>
      <c r="C2369">
        <v>80</v>
      </c>
      <c r="D2369">
        <v>79.362518311000002</v>
      </c>
      <c r="E2369">
        <v>60</v>
      </c>
      <c r="F2369">
        <v>59.981395720999998</v>
      </c>
      <c r="G2369">
        <v>1329.1656493999999</v>
      </c>
      <c r="H2369">
        <v>1327.7766113</v>
      </c>
      <c r="I2369">
        <v>1339.4779053</v>
      </c>
      <c r="J2369">
        <v>1336.848999</v>
      </c>
      <c r="K2369">
        <v>0</v>
      </c>
      <c r="L2369">
        <v>2750</v>
      </c>
      <c r="M2369">
        <v>2750</v>
      </c>
      <c r="N2369">
        <v>0</v>
      </c>
    </row>
    <row r="2370" spans="1:14" x14ac:dyDescent="0.25">
      <c r="A2370">
        <v>1287.4162650000001</v>
      </c>
      <c r="B2370" s="1">
        <f>DATE(2013,11,8) + TIME(9,59,25)</f>
        <v>41586.416261574072</v>
      </c>
      <c r="C2370">
        <v>80</v>
      </c>
      <c r="D2370">
        <v>79.339683532999999</v>
      </c>
      <c r="E2370">
        <v>60</v>
      </c>
      <c r="F2370">
        <v>59.981357574</v>
      </c>
      <c r="G2370">
        <v>1329.1497803</v>
      </c>
      <c r="H2370">
        <v>1327.7537841999999</v>
      </c>
      <c r="I2370">
        <v>1339.4716797000001</v>
      </c>
      <c r="J2370">
        <v>1336.8458252</v>
      </c>
      <c r="K2370">
        <v>0</v>
      </c>
      <c r="L2370">
        <v>2750</v>
      </c>
      <c r="M2370">
        <v>2750</v>
      </c>
      <c r="N2370">
        <v>0</v>
      </c>
    </row>
    <row r="2371" spans="1:14" x14ac:dyDescent="0.25">
      <c r="A2371">
        <v>1287.7091579999999</v>
      </c>
      <c r="B2371" s="1">
        <f>DATE(2013,11,8) + TIME(17,1,11)</f>
        <v>41586.709155092591</v>
      </c>
      <c r="C2371">
        <v>80</v>
      </c>
      <c r="D2371">
        <v>79.316490173000005</v>
      </c>
      <c r="E2371">
        <v>60</v>
      </c>
      <c r="F2371">
        <v>59.981327057000001</v>
      </c>
      <c r="G2371">
        <v>1329.1337891000001</v>
      </c>
      <c r="H2371">
        <v>1327.7307129000001</v>
      </c>
      <c r="I2371">
        <v>1339.4654541</v>
      </c>
      <c r="J2371">
        <v>1336.8426514</v>
      </c>
      <c r="K2371">
        <v>0</v>
      </c>
      <c r="L2371">
        <v>2750</v>
      </c>
      <c r="M2371">
        <v>2750</v>
      </c>
      <c r="N2371">
        <v>0</v>
      </c>
    </row>
    <row r="2372" spans="1:14" x14ac:dyDescent="0.25">
      <c r="A2372">
        <v>1288.010395</v>
      </c>
      <c r="B2372" s="1">
        <f>DATE(2013,11,9) + TIME(0,14,58)</f>
        <v>41587.010393518518</v>
      </c>
      <c r="C2372">
        <v>80</v>
      </c>
      <c r="D2372">
        <v>79.292892456000004</v>
      </c>
      <c r="E2372">
        <v>60</v>
      </c>
      <c r="F2372">
        <v>59.981296538999999</v>
      </c>
      <c r="G2372">
        <v>1329.1175536999999</v>
      </c>
      <c r="H2372">
        <v>1327.7073975000001</v>
      </c>
      <c r="I2372">
        <v>1339.4592285000001</v>
      </c>
      <c r="J2372">
        <v>1336.8394774999999</v>
      </c>
      <c r="K2372">
        <v>0</v>
      </c>
      <c r="L2372">
        <v>2750</v>
      </c>
      <c r="M2372">
        <v>2750</v>
      </c>
      <c r="N2372">
        <v>0</v>
      </c>
    </row>
    <row r="2373" spans="1:14" x14ac:dyDescent="0.25">
      <c r="A2373">
        <v>1288.3214439999999</v>
      </c>
      <c r="B2373" s="1">
        <f>DATE(2013,11,9) + TIME(7,42,52)</f>
        <v>41587.321435185186</v>
      </c>
      <c r="C2373">
        <v>80</v>
      </c>
      <c r="D2373">
        <v>79.268829346000004</v>
      </c>
      <c r="E2373">
        <v>60</v>
      </c>
      <c r="F2373">
        <v>59.981269836000003</v>
      </c>
      <c r="G2373">
        <v>1329.1010742000001</v>
      </c>
      <c r="H2373">
        <v>1327.6837158000001</v>
      </c>
      <c r="I2373">
        <v>1339.4530029</v>
      </c>
      <c r="J2373">
        <v>1336.8363036999999</v>
      </c>
      <c r="K2373">
        <v>0</v>
      </c>
      <c r="L2373">
        <v>2750</v>
      </c>
      <c r="M2373">
        <v>2750</v>
      </c>
      <c r="N2373">
        <v>0</v>
      </c>
    </row>
    <row r="2374" spans="1:14" x14ac:dyDescent="0.25">
      <c r="A2374">
        <v>1288.643926</v>
      </c>
      <c r="B2374" s="1">
        <f>DATE(2013,11,9) + TIME(15,27,15)</f>
        <v>41587.643923611111</v>
      </c>
      <c r="C2374">
        <v>80</v>
      </c>
      <c r="D2374">
        <v>79.244209290000001</v>
      </c>
      <c r="E2374">
        <v>60</v>
      </c>
      <c r="F2374">
        <v>59.981243134000003</v>
      </c>
      <c r="G2374">
        <v>1329.0842285000001</v>
      </c>
      <c r="H2374">
        <v>1327.6595459</v>
      </c>
      <c r="I2374">
        <v>1339.4467772999999</v>
      </c>
      <c r="J2374">
        <v>1336.8331298999999</v>
      </c>
      <c r="K2374">
        <v>0</v>
      </c>
      <c r="L2374">
        <v>2750</v>
      </c>
      <c r="M2374">
        <v>2750</v>
      </c>
      <c r="N2374">
        <v>0</v>
      </c>
    </row>
    <row r="2375" spans="1:14" x14ac:dyDescent="0.25">
      <c r="A2375">
        <v>1288.979693</v>
      </c>
      <c r="B2375" s="1">
        <f>DATE(2013,11,9) + TIME(23,30,45)</f>
        <v>41587.979687500003</v>
      </c>
      <c r="C2375">
        <v>80</v>
      </c>
      <c r="D2375">
        <v>79.218955993999998</v>
      </c>
      <c r="E2375">
        <v>60</v>
      </c>
      <c r="F2375">
        <v>59.981220245000003</v>
      </c>
      <c r="G2375">
        <v>1329.0670166</v>
      </c>
      <c r="H2375">
        <v>1327.6348877</v>
      </c>
      <c r="I2375">
        <v>1339.4405518000001</v>
      </c>
      <c r="J2375">
        <v>1336.8299560999999</v>
      </c>
      <c r="K2375">
        <v>0</v>
      </c>
      <c r="L2375">
        <v>2750</v>
      </c>
      <c r="M2375">
        <v>2750</v>
      </c>
      <c r="N2375">
        <v>0</v>
      </c>
    </row>
    <row r="2376" spans="1:14" x14ac:dyDescent="0.25">
      <c r="A2376">
        <v>1289.3234669999999</v>
      </c>
      <c r="B2376" s="1">
        <f>DATE(2013,11,10) + TIME(7,45,47)</f>
        <v>41588.323460648149</v>
      </c>
      <c r="C2376">
        <v>80</v>
      </c>
      <c r="D2376">
        <v>79.193321228000002</v>
      </c>
      <c r="E2376">
        <v>60</v>
      </c>
      <c r="F2376">
        <v>59.981197356999999</v>
      </c>
      <c r="G2376">
        <v>1329.0494385</v>
      </c>
      <c r="H2376">
        <v>1327.6096190999999</v>
      </c>
      <c r="I2376">
        <v>1339.4342041</v>
      </c>
      <c r="J2376">
        <v>1336.8267822</v>
      </c>
      <c r="K2376">
        <v>0</v>
      </c>
      <c r="L2376">
        <v>2750</v>
      </c>
      <c r="M2376">
        <v>2750</v>
      </c>
      <c r="N2376">
        <v>0</v>
      </c>
    </row>
    <row r="2377" spans="1:14" x14ac:dyDescent="0.25">
      <c r="A2377">
        <v>1289.67445</v>
      </c>
      <c r="B2377" s="1">
        <f>DATE(2013,11,10) + TIME(16,11,12)</f>
        <v>41588.674444444441</v>
      </c>
      <c r="C2377">
        <v>80</v>
      </c>
      <c r="D2377">
        <v>79.167381286999998</v>
      </c>
      <c r="E2377">
        <v>60</v>
      </c>
      <c r="F2377">
        <v>59.981174469000003</v>
      </c>
      <c r="G2377">
        <v>1329.0314940999999</v>
      </c>
      <c r="H2377">
        <v>1327.5839844</v>
      </c>
      <c r="I2377">
        <v>1339.4278564000001</v>
      </c>
      <c r="J2377">
        <v>1336.8237305</v>
      </c>
      <c r="K2377">
        <v>0</v>
      </c>
      <c r="L2377">
        <v>2750</v>
      </c>
      <c r="M2377">
        <v>2750</v>
      </c>
      <c r="N2377">
        <v>0</v>
      </c>
    </row>
    <row r="2378" spans="1:14" x14ac:dyDescent="0.25">
      <c r="A2378">
        <v>1290.0344170000001</v>
      </c>
      <c r="B2378" s="1">
        <f>DATE(2013,11,11) + TIME(0,49,33)</f>
        <v>41589.034409722219</v>
      </c>
      <c r="C2378">
        <v>80</v>
      </c>
      <c r="D2378">
        <v>79.141082764000004</v>
      </c>
      <c r="E2378">
        <v>60</v>
      </c>
      <c r="F2378">
        <v>59.981151580999999</v>
      </c>
      <c r="G2378">
        <v>1329.0134277</v>
      </c>
      <c r="H2378">
        <v>1327.5581055</v>
      </c>
      <c r="I2378">
        <v>1339.4216309000001</v>
      </c>
      <c r="J2378">
        <v>1336.8205565999999</v>
      </c>
      <c r="K2378">
        <v>0</v>
      </c>
      <c r="L2378">
        <v>2750</v>
      </c>
      <c r="M2378">
        <v>2750</v>
      </c>
      <c r="N2378">
        <v>0</v>
      </c>
    </row>
    <row r="2379" spans="1:14" x14ac:dyDescent="0.25">
      <c r="A2379">
        <v>1290.4047599999999</v>
      </c>
      <c r="B2379" s="1">
        <f>DATE(2013,11,11) + TIME(9,42,51)</f>
        <v>41589.404756944445</v>
      </c>
      <c r="C2379">
        <v>80</v>
      </c>
      <c r="D2379">
        <v>79.114372252999999</v>
      </c>
      <c r="E2379">
        <v>60</v>
      </c>
      <c r="F2379">
        <v>59.981128693000002</v>
      </c>
      <c r="G2379">
        <v>1328.9951172000001</v>
      </c>
      <c r="H2379">
        <v>1327.5319824000001</v>
      </c>
      <c r="I2379">
        <v>1339.4152832</v>
      </c>
      <c r="J2379">
        <v>1336.8175048999999</v>
      </c>
      <c r="K2379">
        <v>0</v>
      </c>
      <c r="L2379">
        <v>2750</v>
      </c>
      <c r="M2379">
        <v>2750</v>
      </c>
      <c r="N2379">
        <v>0</v>
      </c>
    </row>
    <row r="2380" spans="1:14" x14ac:dyDescent="0.25">
      <c r="A2380">
        <v>1290.787202</v>
      </c>
      <c r="B2380" s="1">
        <f>DATE(2013,11,11) + TIME(18,53,34)</f>
        <v>41589.787199074075</v>
      </c>
      <c r="C2380">
        <v>80</v>
      </c>
      <c r="D2380">
        <v>79.087173461999996</v>
      </c>
      <c r="E2380">
        <v>60</v>
      </c>
      <c r="F2380">
        <v>59.981109619000001</v>
      </c>
      <c r="G2380">
        <v>1328.9764404</v>
      </c>
      <c r="H2380">
        <v>1327.505249</v>
      </c>
      <c r="I2380">
        <v>1339.4090576000001</v>
      </c>
      <c r="J2380">
        <v>1336.8144531</v>
      </c>
      <c r="K2380">
        <v>0</v>
      </c>
      <c r="L2380">
        <v>2750</v>
      </c>
      <c r="M2380">
        <v>2750</v>
      </c>
      <c r="N2380">
        <v>0</v>
      </c>
    </row>
    <row r="2381" spans="1:14" x14ac:dyDescent="0.25">
      <c r="A2381">
        <v>1291.1836410000001</v>
      </c>
      <c r="B2381" s="1">
        <f>DATE(2013,11,12) + TIME(4,24,26)</f>
        <v>41590.183634259258</v>
      </c>
      <c r="C2381">
        <v>80</v>
      </c>
      <c r="D2381">
        <v>79.059394835999996</v>
      </c>
      <c r="E2381">
        <v>60</v>
      </c>
      <c r="F2381">
        <v>59.981086730999998</v>
      </c>
      <c r="G2381">
        <v>1328.9573975000001</v>
      </c>
      <c r="H2381">
        <v>1327.4781493999999</v>
      </c>
      <c r="I2381">
        <v>1339.402832</v>
      </c>
      <c r="J2381">
        <v>1336.8114014</v>
      </c>
      <c r="K2381">
        <v>0</v>
      </c>
      <c r="L2381">
        <v>2750</v>
      </c>
      <c r="M2381">
        <v>2750</v>
      </c>
      <c r="N2381">
        <v>0</v>
      </c>
    </row>
    <row r="2382" spans="1:14" x14ac:dyDescent="0.25">
      <c r="A2382">
        <v>1291.596252</v>
      </c>
      <c r="B2382" s="1">
        <f>DATE(2013,11,12) + TIME(14,18,36)</f>
        <v>41590.596250000002</v>
      </c>
      <c r="C2382">
        <v>80</v>
      </c>
      <c r="D2382">
        <v>79.030914307000003</v>
      </c>
      <c r="E2382">
        <v>60</v>
      </c>
      <c r="F2382">
        <v>59.981063843000001</v>
      </c>
      <c r="G2382">
        <v>1328.9378661999999</v>
      </c>
      <c r="H2382">
        <v>1327.4503173999999</v>
      </c>
      <c r="I2382">
        <v>1339.3966064000001</v>
      </c>
      <c r="J2382">
        <v>1336.8083495999999</v>
      </c>
      <c r="K2382">
        <v>0</v>
      </c>
      <c r="L2382">
        <v>2750</v>
      </c>
      <c r="M2382">
        <v>2750</v>
      </c>
      <c r="N2382">
        <v>0</v>
      </c>
    </row>
    <row r="2383" spans="1:14" x14ac:dyDescent="0.25">
      <c r="A2383">
        <v>1292.0174790000001</v>
      </c>
      <c r="B2383" s="1">
        <f>DATE(2013,11,13) + TIME(0,25,10)</f>
        <v>41591.017476851855</v>
      </c>
      <c r="C2383">
        <v>80</v>
      </c>
      <c r="D2383">
        <v>79.002029418999996</v>
      </c>
      <c r="E2383">
        <v>60</v>
      </c>
      <c r="F2383">
        <v>59.981044769</v>
      </c>
      <c r="G2383">
        <v>1328.9178466999999</v>
      </c>
      <c r="H2383">
        <v>1327.421875</v>
      </c>
      <c r="I2383">
        <v>1339.3902588000001</v>
      </c>
      <c r="J2383">
        <v>1336.8052978999999</v>
      </c>
      <c r="K2383">
        <v>0</v>
      </c>
      <c r="L2383">
        <v>2750</v>
      </c>
      <c r="M2383">
        <v>2750</v>
      </c>
      <c r="N2383">
        <v>0</v>
      </c>
    </row>
    <row r="2384" spans="1:14" x14ac:dyDescent="0.25">
      <c r="A2384">
        <v>1292.4449279999999</v>
      </c>
      <c r="B2384" s="1">
        <f>DATE(2013,11,13) + TIME(10,40,41)</f>
        <v>41591.444918981484</v>
      </c>
      <c r="C2384">
        <v>80</v>
      </c>
      <c r="D2384">
        <v>78.972900390999996</v>
      </c>
      <c r="E2384">
        <v>60</v>
      </c>
      <c r="F2384">
        <v>59.981025696000003</v>
      </c>
      <c r="G2384">
        <v>1328.8975829999999</v>
      </c>
      <c r="H2384">
        <v>1327.3931885</v>
      </c>
      <c r="I2384">
        <v>1339.3839111</v>
      </c>
      <c r="J2384">
        <v>1336.8022461</v>
      </c>
      <c r="K2384">
        <v>0</v>
      </c>
      <c r="L2384">
        <v>2750</v>
      </c>
      <c r="M2384">
        <v>2750</v>
      </c>
      <c r="N2384">
        <v>0</v>
      </c>
    </row>
    <row r="2385" spans="1:14" x14ac:dyDescent="0.25">
      <c r="A2385">
        <v>1292.880647</v>
      </c>
      <c r="B2385" s="1">
        <f>DATE(2013,11,13) + TIME(21,8,7)</f>
        <v>41591.880636574075</v>
      </c>
      <c r="C2385">
        <v>80</v>
      </c>
      <c r="D2385">
        <v>78.943473815999994</v>
      </c>
      <c r="E2385">
        <v>60</v>
      </c>
      <c r="F2385">
        <v>59.981002808</v>
      </c>
      <c r="G2385">
        <v>1328.8771973</v>
      </c>
      <c r="H2385">
        <v>1327.3642577999999</v>
      </c>
      <c r="I2385">
        <v>1339.3776855000001</v>
      </c>
      <c r="J2385">
        <v>1336.7993164</v>
      </c>
      <c r="K2385">
        <v>0</v>
      </c>
      <c r="L2385">
        <v>2750</v>
      </c>
      <c r="M2385">
        <v>2750</v>
      </c>
      <c r="N2385">
        <v>0</v>
      </c>
    </row>
    <row r="2386" spans="1:14" x14ac:dyDescent="0.25">
      <c r="A2386">
        <v>1293.3266329999999</v>
      </c>
      <c r="B2386" s="1">
        <f>DATE(2013,11,14) + TIME(7,50,21)</f>
        <v>41592.326631944445</v>
      </c>
      <c r="C2386">
        <v>80</v>
      </c>
      <c r="D2386">
        <v>78.913696289000001</v>
      </c>
      <c r="E2386">
        <v>60</v>
      </c>
      <c r="F2386">
        <v>59.980983733999999</v>
      </c>
      <c r="G2386">
        <v>1328.8566894999999</v>
      </c>
      <c r="H2386">
        <v>1327.3350829999999</v>
      </c>
      <c r="I2386">
        <v>1339.371582</v>
      </c>
      <c r="J2386">
        <v>1336.7963867000001</v>
      </c>
      <c r="K2386">
        <v>0</v>
      </c>
      <c r="L2386">
        <v>2750</v>
      </c>
      <c r="M2386">
        <v>2750</v>
      </c>
      <c r="N2386">
        <v>0</v>
      </c>
    </row>
    <row r="2387" spans="1:14" x14ac:dyDescent="0.25">
      <c r="A2387">
        <v>1293.783698</v>
      </c>
      <c r="B2387" s="1">
        <f>DATE(2013,11,14) + TIME(18,48,31)</f>
        <v>41592.783692129633</v>
      </c>
      <c r="C2387">
        <v>80</v>
      </c>
      <c r="D2387">
        <v>78.883514403999996</v>
      </c>
      <c r="E2387">
        <v>60</v>
      </c>
      <c r="F2387">
        <v>59.980964661000002</v>
      </c>
      <c r="G2387">
        <v>1328.8359375</v>
      </c>
      <c r="H2387">
        <v>1327.3056641000001</v>
      </c>
      <c r="I2387">
        <v>1339.3654785000001</v>
      </c>
      <c r="J2387">
        <v>1336.7935791</v>
      </c>
      <c r="K2387">
        <v>0</v>
      </c>
      <c r="L2387">
        <v>2750</v>
      </c>
      <c r="M2387">
        <v>2750</v>
      </c>
      <c r="N2387">
        <v>0</v>
      </c>
    </row>
    <row r="2388" spans="1:14" x14ac:dyDescent="0.25">
      <c r="A2388">
        <v>1294.2524969999999</v>
      </c>
      <c r="B2388" s="1">
        <f>DATE(2013,11,15) + TIME(6,3,35)</f>
        <v>41593.252488425926</v>
      </c>
      <c r="C2388">
        <v>80</v>
      </c>
      <c r="D2388">
        <v>78.852882385000001</v>
      </c>
      <c r="E2388">
        <v>60</v>
      </c>
      <c r="F2388">
        <v>59.980945587000001</v>
      </c>
      <c r="G2388">
        <v>1328.8148193</v>
      </c>
      <c r="H2388">
        <v>1327.2758789</v>
      </c>
      <c r="I2388">
        <v>1339.3594971</v>
      </c>
      <c r="J2388">
        <v>1336.7906493999999</v>
      </c>
      <c r="K2388">
        <v>0</v>
      </c>
      <c r="L2388">
        <v>2750</v>
      </c>
      <c r="M2388">
        <v>2750</v>
      </c>
      <c r="N2388">
        <v>0</v>
      </c>
    </row>
    <row r="2389" spans="1:14" x14ac:dyDescent="0.25">
      <c r="A2389">
        <v>1294.735373</v>
      </c>
      <c r="B2389" s="1">
        <f>DATE(2013,11,15) + TIME(17,38,56)</f>
        <v>41593.73537037037</v>
      </c>
      <c r="C2389">
        <v>80</v>
      </c>
      <c r="D2389">
        <v>78.821708678999997</v>
      </c>
      <c r="E2389">
        <v>60</v>
      </c>
      <c r="F2389">
        <v>59.980922698999997</v>
      </c>
      <c r="G2389">
        <v>1328.793457</v>
      </c>
      <c r="H2389">
        <v>1327.2457274999999</v>
      </c>
      <c r="I2389">
        <v>1339.3533935999999</v>
      </c>
      <c r="J2389">
        <v>1336.7879639</v>
      </c>
      <c r="K2389">
        <v>0</v>
      </c>
      <c r="L2389">
        <v>2750</v>
      </c>
      <c r="M2389">
        <v>2750</v>
      </c>
      <c r="N2389">
        <v>0</v>
      </c>
    </row>
    <row r="2390" spans="1:14" x14ac:dyDescent="0.25">
      <c r="A2390">
        <v>1295.232035</v>
      </c>
      <c r="B2390" s="1">
        <f>DATE(2013,11,16) + TIME(5,34,7)</f>
        <v>41594.232025462959</v>
      </c>
      <c r="C2390">
        <v>80</v>
      </c>
      <c r="D2390">
        <v>78.789955139</v>
      </c>
      <c r="E2390">
        <v>60</v>
      </c>
      <c r="F2390">
        <v>59.980903625000003</v>
      </c>
      <c r="G2390">
        <v>1328.7717285000001</v>
      </c>
      <c r="H2390">
        <v>1327.2150879000001</v>
      </c>
      <c r="I2390">
        <v>1339.3474120999999</v>
      </c>
      <c r="J2390">
        <v>1336.7851562000001</v>
      </c>
      <c r="K2390">
        <v>0</v>
      </c>
      <c r="L2390">
        <v>2750</v>
      </c>
      <c r="M2390">
        <v>2750</v>
      </c>
      <c r="N2390">
        <v>0</v>
      </c>
    </row>
    <row r="2391" spans="1:14" x14ac:dyDescent="0.25">
      <c r="A2391">
        <v>1295.734539</v>
      </c>
      <c r="B2391" s="1">
        <f>DATE(2013,11,16) + TIME(17,37,44)</f>
        <v>41594.734537037039</v>
      </c>
      <c r="C2391">
        <v>80</v>
      </c>
      <c r="D2391">
        <v>78.757896423000005</v>
      </c>
      <c r="E2391">
        <v>60</v>
      </c>
      <c r="F2391">
        <v>59.980884551999999</v>
      </c>
      <c r="G2391">
        <v>1328.7497559000001</v>
      </c>
      <c r="H2391">
        <v>1327.1839600000001</v>
      </c>
      <c r="I2391">
        <v>1339.3414307</v>
      </c>
      <c r="J2391">
        <v>1336.7823486</v>
      </c>
      <c r="K2391">
        <v>0</v>
      </c>
      <c r="L2391">
        <v>2750</v>
      </c>
      <c r="M2391">
        <v>2750</v>
      </c>
      <c r="N2391">
        <v>0</v>
      </c>
    </row>
    <row r="2392" spans="1:14" x14ac:dyDescent="0.25">
      <c r="A2392">
        <v>1296.2455789999999</v>
      </c>
      <c r="B2392" s="1">
        <f>DATE(2013,11,17) + TIME(5,53,38)</f>
        <v>41595.245578703703</v>
      </c>
      <c r="C2392">
        <v>80</v>
      </c>
      <c r="D2392">
        <v>78.725524902000004</v>
      </c>
      <c r="E2392">
        <v>60</v>
      </c>
      <c r="F2392">
        <v>59.980865479000002</v>
      </c>
      <c r="G2392">
        <v>1328.7276611</v>
      </c>
      <c r="H2392">
        <v>1327.152832</v>
      </c>
      <c r="I2392">
        <v>1339.3354492000001</v>
      </c>
      <c r="J2392">
        <v>1336.7797852000001</v>
      </c>
      <c r="K2392">
        <v>0</v>
      </c>
      <c r="L2392">
        <v>2750</v>
      </c>
      <c r="M2392">
        <v>2750</v>
      </c>
      <c r="N2392">
        <v>0</v>
      </c>
    </row>
    <row r="2393" spans="1:14" x14ac:dyDescent="0.25">
      <c r="A2393">
        <v>1296.767288</v>
      </c>
      <c r="B2393" s="1">
        <f>DATE(2013,11,17) + TIME(18,24,53)</f>
        <v>41595.767280092594</v>
      </c>
      <c r="C2393">
        <v>80</v>
      </c>
      <c r="D2393">
        <v>78.692756653000004</v>
      </c>
      <c r="E2393">
        <v>60</v>
      </c>
      <c r="F2393">
        <v>59.980846405000001</v>
      </c>
      <c r="G2393">
        <v>1328.7053223</v>
      </c>
      <c r="H2393">
        <v>1327.121582</v>
      </c>
      <c r="I2393">
        <v>1339.3295897999999</v>
      </c>
      <c r="J2393">
        <v>1336.7770995999999</v>
      </c>
      <c r="K2393">
        <v>0</v>
      </c>
      <c r="L2393">
        <v>2750</v>
      </c>
      <c r="M2393">
        <v>2750</v>
      </c>
      <c r="N2393">
        <v>0</v>
      </c>
    </row>
    <row r="2394" spans="1:14" x14ac:dyDescent="0.25">
      <c r="A2394">
        <v>1297.3019429999999</v>
      </c>
      <c r="B2394" s="1">
        <f>DATE(2013,11,18) + TIME(7,14,47)</f>
        <v>41596.301932870374</v>
      </c>
      <c r="C2394">
        <v>80</v>
      </c>
      <c r="D2394">
        <v>78.659507751000007</v>
      </c>
      <c r="E2394">
        <v>60</v>
      </c>
      <c r="F2394">
        <v>59.980827331999997</v>
      </c>
      <c r="G2394">
        <v>1328.6828613</v>
      </c>
      <c r="H2394">
        <v>1327.0899658000001</v>
      </c>
      <c r="I2394">
        <v>1339.3238524999999</v>
      </c>
      <c r="J2394">
        <v>1336.7745361</v>
      </c>
      <c r="K2394">
        <v>0</v>
      </c>
      <c r="L2394">
        <v>2750</v>
      </c>
      <c r="M2394">
        <v>2750</v>
      </c>
      <c r="N2394">
        <v>0</v>
      </c>
    </row>
    <row r="2395" spans="1:14" x14ac:dyDescent="0.25">
      <c r="A2395">
        <v>1297.8520209999999</v>
      </c>
      <c r="B2395" s="1">
        <f>DATE(2013,11,18) + TIME(20,26,54)</f>
        <v>41596.852013888885</v>
      </c>
      <c r="C2395">
        <v>80</v>
      </c>
      <c r="D2395">
        <v>78.625663756999998</v>
      </c>
      <c r="E2395">
        <v>60</v>
      </c>
      <c r="F2395">
        <v>59.980808258000003</v>
      </c>
      <c r="G2395">
        <v>1328.6601562000001</v>
      </c>
      <c r="H2395">
        <v>1327.0579834</v>
      </c>
      <c r="I2395">
        <v>1339.3179932</v>
      </c>
      <c r="J2395">
        <v>1336.7719727000001</v>
      </c>
      <c r="K2395">
        <v>0</v>
      </c>
      <c r="L2395">
        <v>2750</v>
      </c>
      <c r="M2395">
        <v>2750</v>
      </c>
      <c r="N2395">
        <v>0</v>
      </c>
    </row>
    <row r="2396" spans="1:14" x14ac:dyDescent="0.25">
      <c r="A2396">
        <v>1298.4204110000001</v>
      </c>
      <c r="B2396" s="1">
        <f>DATE(2013,11,19) + TIME(10,5,23)</f>
        <v>41597.420405092591</v>
      </c>
      <c r="C2396">
        <v>80</v>
      </c>
      <c r="D2396">
        <v>78.591064453000001</v>
      </c>
      <c r="E2396">
        <v>60</v>
      </c>
      <c r="F2396">
        <v>59.980789184999999</v>
      </c>
      <c r="G2396">
        <v>1328.6370850000001</v>
      </c>
      <c r="H2396">
        <v>1327.0256348</v>
      </c>
      <c r="I2396">
        <v>1339.3122559000001</v>
      </c>
      <c r="J2396">
        <v>1336.7694091999999</v>
      </c>
      <c r="K2396">
        <v>0</v>
      </c>
      <c r="L2396">
        <v>2750</v>
      </c>
      <c r="M2396">
        <v>2750</v>
      </c>
      <c r="N2396">
        <v>0</v>
      </c>
    </row>
    <row r="2397" spans="1:14" x14ac:dyDescent="0.25">
      <c r="A2397">
        <v>1299.0045729999999</v>
      </c>
      <c r="B2397" s="1">
        <f>DATE(2013,11,20) + TIME(0,6,35)</f>
        <v>41598.004571759258</v>
      </c>
      <c r="C2397">
        <v>80</v>
      </c>
      <c r="D2397">
        <v>78.555747986</v>
      </c>
      <c r="E2397">
        <v>60</v>
      </c>
      <c r="F2397">
        <v>59.980770110999998</v>
      </c>
      <c r="G2397">
        <v>1328.6135254000001</v>
      </c>
      <c r="H2397">
        <v>1326.9926757999999</v>
      </c>
      <c r="I2397">
        <v>1339.3063964999999</v>
      </c>
      <c r="J2397">
        <v>1336.7669678</v>
      </c>
      <c r="K2397">
        <v>0</v>
      </c>
      <c r="L2397">
        <v>2750</v>
      </c>
      <c r="M2397">
        <v>2750</v>
      </c>
      <c r="N2397">
        <v>0</v>
      </c>
    </row>
    <row r="2398" spans="1:14" x14ac:dyDescent="0.25">
      <c r="A2398">
        <v>1299.597282</v>
      </c>
      <c r="B2398" s="1">
        <f>DATE(2013,11,20) + TIME(14,20,5)</f>
        <v>41598.597280092596</v>
      </c>
      <c r="C2398">
        <v>80</v>
      </c>
      <c r="D2398">
        <v>78.519920349000003</v>
      </c>
      <c r="E2398">
        <v>60</v>
      </c>
      <c r="F2398">
        <v>59.980751038000001</v>
      </c>
      <c r="G2398">
        <v>1328.5897216999999</v>
      </c>
      <c r="H2398">
        <v>1326.9593506000001</v>
      </c>
      <c r="I2398">
        <v>1339.3006591999999</v>
      </c>
      <c r="J2398">
        <v>1336.7644043</v>
      </c>
      <c r="K2398">
        <v>0</v>
      </c>
      <c r="L2398">
        <v>2750</v>
      </c>
      <c r="M2398">
        <v>2750</v>
      </c>
      <c r="N2398">
        <v>0</v>
      </c>
    </row>
    <row r="2399" spans="1:14" x14ac:dyDescent="0.25">
      <c r="A2399">
        <v>1300.2015409999999</v>
      </c>
      <c r="B2399" s="1">
        <f>DATE(2013,11,21) + TIME(4,50,13)</f>
        <v>41599.201539351852</v>
      </c>
      <c r="C2399">
        <v>80</v>
      </c>
      <c r="D2399">
        <v>78.483604431000003</v>
      </c>
      <c r="E2399">
        <v>60</v>
      </c>
      <c r="F2399">
        <v>59.980731964</v>
      </c>
      <c r="G2399">
        <v>1328.5656738</v>
      </c>
      <c r="H2399">
        <v>1326.9256591999999</v>
      </c>
      <c r="I2399">
        <v>1339.2949219</v>
      </c>
      <c r="J2399">
        <v>1336.7619629000001</v>
      </c>
      <c r="K2399">
        <v>0</v>
      </c>
      <c r="L2399">
        <v>2750</v>
      </c>
      <c r="M2399">
        <v>2750</v>
      </c>
      <c r="N2399">
        <v>0</v>
      </c>
    </row>
    <row r="2400" spans="1:14" x14ac:dyDescent="0.25">
      <c r="A2400">
        <v>1300.8203149999999</v>
      </c>
      <c r="B2400" s="1">
        <f>DATE(2013,11,21) + TIME(19,41,15)</f>
        <v>41599.8203125</v>
      </c>
      <c r="C2400">
        <v>80</v>
      </c>
      <c r="D2400">
        <v>78.446708678999997</v>
      </c>
      <c r="E2400">
        <v>60</v>
      </c>
      <c r="F2400">
        <v>59.980712891000003</v>
      </c>
      <c r="G2400">
        <v>1328.5415039</v>
      </c>
      <c r="H2400">
        <v>1326.8918457</v>
      </c>
      <c r="I2400">
        <v>1339.2893065999999</v>
      </c>
      <c r="J2400">
        <v>1336.7596435999999</v>
      </c>
      <c r="K2400">
        <v>0</v>
      </c>
      <c r="L2400">
        <v>2750</v>
      </c>
      <c r="M2400">
        <v>2750</v>
      </c>
      <c r="N2400">
        <v>0</v>
      </c>
    </row>
    <row r="2401" spans="1:14" x14ac:dyDescent="0.25">
      <c r="A2401">
        <v>1301.4569320000001</v>
      </c>
      <c r="B2401" s="1">
        <f>DATE(2013,11,22) + TIME(10,57,58)</f>
        <v>41600.456921296296</v>
      </c>
      <c r="C2401">
        <v>80</v>
      </c>
      <c r="D2401">
        <v>78.409095764</v>
      </c>
      <c r="E2401">
        <v>60</v>
      </c>
      <c r="F2401">
        <v>59.980693817000002</v>
      </c>
      <c r="G2401">
        <v>1328.5169678</v>
      </c>
      <c r="H2401">
        <v>1326.8576660000001</v>
      </c>
      <c r="I2401">
        <v>1339.2835693</v>
      </c>
      <c r="J2401">
        <v>1336.7572021000001</v>
      </c>
      <c r="K2401">
        <v>0</v>
      </c>
      <c r="L2401">
        <v>2750</v>
      </c>
      <c r="M2401">
        <v>2750</v>
      </c>
      <c r="N2401">
        <v>0</v>
      </c>
    </row>
    <row r="2402" spans="1:14" x14ac:dyDescent="0.25">
      <c r="A2402">
        <v>1302.1150950000001</v>
      </c>
      <c r="B2402" s="1">
        <f>DATE(2013,11,23) + TIME(2,45,44)</f>
        <v>41601.11509259259</v>
      </c>
      <c r="C2402">
        <v>80</v>
      </c>
      <c r="D2402">
        <v>78.370613098000007</v>
      </c>
      <c r="E2402">
        <v>60</v>
      </c>
      <c r="F2402">
        <v>59.980674743999998</v>
      </c>
      <c r="G2402">
        <v>1328.4921875</v>
      </c>
      <c r="H2402">
        <v>1326.8231201000001</v>
      </c>
      <c r="I2402">
        <v>1339.2779541</v>
      </c>
      <c r="J2402">
        <v>1336.7548827999999</v>
      </c>
      <c r="K2402">
        <v>0</v>
      </c>
      <c r="L2402">
        <v>2750</v>
      </c>
      <c r="M2402">
        <v>2750</v>
      </c>
      <c r="N2402">
        <v>0</v>
      </c>
    </row>
    <row r="2403" spans="1:14" x14ac:dyDescent="0.25">
      <c r="A2403">
        <v>1302.798945</v>
      </c>
      <c r="B2403" s="1">
        <f>DATE(2013,11,23) + TIME(19,10,28)</f>
        <v>41601.798935185187</v>
      </c>
      <c r="C2403">
        <v>80</v>
      </c>
      <c r="D2403">
        <v>78.331039429</v>
      </c>
      <c r="E2403">
        <v>60</v>
      </c>
      <c r="F2403">
        <v>59.980655669999997</v>
      </c>
      <c r="G2403">
        <v>1328.4667969</v>
      </c>
      <c r="H2403">
        <v>1326.7877197</v>
      </c>
      <c r="I2403">
        <v>1339.2722168</v>
      </c>
      <c r="J2403">
        <v>1336.7525635</v>
      </c>
      <c r="K2403">
        <v>0</v>
      </c>
      <c r="L2403">
        <v>2750</v>
      </c>
      <c r="M2403">
        <v>2750</v>
      </c>
      <c r="N2403">
        <v>0</v>
      </c>
    </row>
    <row r="2404" spans="1:14" x14ac:dyDescent="0.25">
      <c r="A2404">
        <v>1303.498505</v>
      </c>
      <c r="B2404" s="1">
        <f>DATE(2013,11,24) + TIME(11,57,50)</f>
        <v>41602.498495370368</v>
      </c>
      <c r="C2404">
        <v>80</v>
      </c>
      <c r="D2404">
        <v>78.290550232000001</v>
      </c>
      <c r="E2404">
        <v>60</v>
      </c>
      <c r="F2404">
        <v>59.980636597</v>
      </c>
      <c r="G2404">
        <v>1328.440918</v>
      </c>
      <c r="H2404">
        <v>1326.7518310999999</v>
      </c>
      <c r="I2404">
        <v>1339.2664795000001</v>
      </c>
      <c r="J2404">
        <v>1336.7502440999999</v>
      </c>
      <c r="K2404">
        <v>0</v>
      </c>
      <c r="L2404">
        <v>2750</v>
      </c>
      <c r="M2404">
        <v>2750</v>
      </c>
      <c r="N2404">
        <v>0</v>
      </c>
    </row>
    <row r="2405" spans="1:14" x14ac:dyDescent="0.25">
      <c r="A2405">
        <v>1304.2028769999999</v>
      </c>
      <c r="B2405" s="1">
        <f>DATE(2013,11,25) + TIME(4,52,8)</f>
        <v>41603.202870370369</v>
      </c>
      <c r="C2405">
        <v>80</v>
      </c>
      <c r="D2405">
        <v>78.249534607000001</v>
      </c>
      <c r="E2405">
        <v>60</v>
      </c>
      <c r="F2405">
        <v>59.980613708</v>
      </c>
      <c r="G2405">
        <v>1328.4146728999999</v>
      </c>
      <c r="H2405">
        <v>1326.715332</v>
      </c>
      <c r="I2405">
        <v>1339.2607422000001</v>
      </c>
      <c r="J2405">
        <v>1336.7479248</v>
      </c>
      <c r="K2405">
        <v>0</v>
      </c>
      <c r="L2405">
        <v>2750</v>
      </c>
      <c r="M2405">
        <v>2750</v>
      </c>
      <c r="N2405">
        <v>0</v>
      </c>
    </row>
    <row r="2406" spans="1:14" x14ac:dyDescent="0.25">
      <c r="A2406">
        <v>1304.913634</v>
      </c>
      <c r="B2406" s="1">
        <f>DATE(2013,11,25) + TIME(21,55,38)</f>
        <v>41603.913634259261</v>
      </c>
      <c r="C2406">
        <v>80</v>
      </c>
      <c r="D2406">
        <v>78.208190918</v>
      </c>
      <c r="E2406">
        <v>60</v>
      </c>
      <c r="F2406">
        <v>59.980594635000003</v>
      </c>
      <c r="G2406">
        <v>1328.3884277</v>
      </c>
      <c r="H2406">
        <v>1326.6789550999999</v>
      </c>
      <c r="I2406">
        <v>1339.2551269999999</v>
      </c>
      <c r="J2406">
        <v>1336.7456055</v>
      </c>
      <c r="K2406">
        <v>0</v>
      </c>
      <c r="L2406">
        <v>2750</v>
      </c>
      <c r="M2406">
        <v>2750</v>
      </c>
      <c r="N2406">
        <v>0</v>
      </c>
    </row>
    <row r="2407" spans="1:14" x14ac:dyDescent="0.25">
      <c r="A2407">
        <v>1305.6363739999999</v>
      </c>
      <c r="B2407" s="1">
        <f>DATE(2013,11,26) + TIME(15,16,22)</f>
        <v>41604.636365740742</v>
      </c>
      <c r="C2407">
        <v>80</v>
      </c>
      <c r="D2407">
        <v>78.166442871000001</v>
      </c>
      <c r="E2407">
        <v>60</v>
      </c>
      <c r="F2407">
        <v>59.980579376000001</v>
      </c>
      <c r="G2407">
        <v>1328.3623047000001</v>
      </c>
      <c r="H2407">
        <v>1326.6427002</v>
      </c>
      <c r="I2407">
        <v>1339.2496338000001</v>
      </c>
      <c r="J2407">
        <v>1336.7434082</v>
      </c>
      <c r="K2407">
        <v>0</v>
      </c>
      <c r="L2407">
        <v>2750</v>
      </c>
      <c r="M2407">
        <v>2750</v>
      </c>
      <c r="N2407">
        <v>0</v>
      </c>
    </row>
    <row r="2408" spans="1:14" x14ac:dyDescent="0.25">
      <c r="A2408">
        <v>1306.374352</v>
      </c>
      <c r="B2408" s="1">
        <f>DATE(2013,11,27) + TIME(8,59,4)</f>
        <v>41605.374351851853</v>
      </c>
      <c r="C2408">
        <v>80</v>
      </c>
      <c r="D2408">
        <v>78.124137877999999</v>
      </c>
      <c r="E2408">
        <v>60</v>
      </c>
      <c r="F2408">
        <v>59.980560302999997</v>
      </c>
      <c r="G2408">
        <v>1328.3359375</v>
      </c>
      <c r="H2408">
        <v>1326.6063231999999</v>
      </c>
      <c r="I2408">
        <v>1339.2442627</v>
      </c>
      <c r="J2408">
        <v>1336.7413329999999</v>
      </c>
      <c r="K2408">
        <v>0</v>
      </c>
      <c r="L2408">
        <v>2750</v>
      </c>
      <c r="M2408">
        <v>2750</v>
      </c>
      <c r="N2408">
        <v>0</v>
      </c>
    </row>
    <row r="2409" spans="1:14" x14ac:dyDescent="0.25">
      <c r="A2409">
        <v>1307.1312029999999</v>
      </c>
      <c r="B2409" s="1">
        <f>DATE(2013,11,28) + TIME(3,8,55)</f>
        <v>41606.131192129629</v>
      </c>
      <c r="C2409">
        <v>80</v>
      </c>
      <c r="D2409">
        <v>78.081092834000003</v>
      </c>
      <c r="E2409">
        <v>60</v>
      </c>
      <c r="F2409">
        <v>59.980541229000004</v>
      </c>
      <c r="G2409">
        <v>1328.3095702999999</v>
      </c>
      <c r="H2409">
        <v>1326.5697021000001</v>
      </c>
      <c r="I2409">
        <v>1339.2387695</v>
      </c>
      <c r="J2409">
        <v>1336.7391356999999</v>
      </c>
      <c r="K2409">
        <v>0</v>
      </c>
      <c r="L2409">
        <v>2750</v>
      </c>
      <c r="M2409">
        <v>2750</v>
      </c>
      <c r="N2409">
        <v>0</v>
      </c>
    </row>
    <row r="2410" spans="1:14" x14ac:dyDescent="0.25">
      <c r="A2410">
        <v>1307.910793</v>
      </c>
      <c r="B2410" s="1">
        <f>DATE(2013,11,28) + TIME(21,51,32)</f>
        <v>41606.910787037035</v>
      </c>
      <c r="C2410">
        <v>80</v>
      </c>
      <c r="D2410">
        <v>78.037117003999995</v>
      </c>
      <c r="E2410">
        <v>60</v>
      </c>
      <c r="F2410">
        <v>59.980522155999999</v>
      </c>
      <c r="G2410">
        <v>1328.2828368999999</v>
      </c>
      <c r="H2410">
        <v>1326.5327147999999</v>
      </c>
      <c r="I2410">
        <v>1339.2333983999999</v>
      </c>
      <c r="J2410">
        <v>1336.7370605000001</v>
      </c>
      <c r="K2410">
        <v>0</v>
      </c>
      <c r="L2410">
        <v>2750</v>
      </c>
      <c r="M2410">
        <v>2750</v>
      </c>
      <c r="N2410">
        <v>0</v>
      </c>
    </row>
    <row r="2411" spans="1:14" x14ac:dyDescent="0.25">
      <c r="A2411">
        <v>1308.7121259999999</v>
      </c>
      <c r="B2411" s="1">
        <f>DATE(2013,11,29) + TIME(17,5,27)</f>
        <v>41607.712118055555</v>
      </c>
      <c r="C2411">
        <v>80</v>
      </c>
      <c r="D2411">
        <v>77.992095946999996</v>
      </c>
      <c r="E2411">
        <v>60</v>
      </c>
      <c r="F2411">
        <v>59.980503081999998</v>
      </c>
      <c r="G2411">
        <v>1328.2556152</v>
      </c>
      <c r="H2411">
        <v>1326.4952393000001</v>
      </c>
      <c r="I2411">
        <v>1339.2279053</v>
      </c>
      <c r="J2411">
        <v>1336.7349853999999</v>
      </c>
      <c r="K2411">
        <v>0</v>
      </c>
      <c r="L2411">
        <v>2750</v>
      </c>
      <c r="M2411">
        <v>2750</v>
      </c>
      <c r="N2411">
        <v>0</v>
      </c>
    </row>
    <row r="2412" spans="1:14" x14ac:dyDescent="0.25">
      <c r="A2412">
        <v>1309.5360969999999</v>
      </c>
      <c r="B2412" s="1">
        <f>DATE(2013,11,30) + TIME(12,51,58)</f>
        <v>41608.536087962966</v>
      </c>
      <c r="C2412">
        <v>80</v>
      </c>
      <c r="D2412">
        <v>77.945960998999993</v>
      </c>
      <c r="E2412">
        <v>60</v>
      </c>
      <c r="F2412">
        <v>59.980484009000001</v>
      </c>
      <c r="G2412">
        <v>1328.2281493999999</v>
      </c>
      <c r="H2412">
        <v>1326.4572754000001</v>
      </c>
      <c r="I2412">
        <v>1339.2225341999999</v>
      </c>
      <c r="J2412">
        <v>1336.7329102000001</v>
      </c>
      <c r="K2412">
        <v>0</v>
      </c>
      <c r="L2412">
        <v>2750</v>
      </c>
      <c r="M2412">
        <v>2750</v>
      </c>
      <c r="N2412">
        <v>0</v>
      </c>
    </row>
    <row r="2413" spans="1:14" x14ac:dyDescent="0.25">
      <c r="A2413">
        <v>1310</v>
      </c>
      <c r="B2413" s="1">
        <f>DATE(2013,12,1) + TIME(0,0,0)</f>
        <v>41609</v>
      </c>
      <c r="C2413">
        <v>80</v>
      </c>
      <c r="D2413">
        <v>77.910697936999995</v>
      </c>
      <c r="E2413">
        <v>60</v>
      </c>
      <c r="F2413">
        <v>59.98046875</v>
      </c>
      <c r="G2413">
        <v>1328.2012939000001</v>
      </c>
      <c r="H2413">
        <v>1326.4210204999999</v>
      </c>
      <c r="I2413">
        <v>1339.2169189000001</v>
      </c>
      <c r="J2413">
        <v>1336.7308350000001</v>
      </c>
      <c r="K2413">
        <v>0</v>
      </c>
      <c r="L2413">
        <v>2750</v>
      </c>
      <c r="M2413">
        <v>2750</v>
      </c>
      <c r="N2413">
        <v>0</v>
      </c>
    </row>
    <row r="2414" spans="1:14" x14ac:dyDescent="0.25">
      <c r="A2414">
        <v>1310.8518979999999</v>
      </c>
      <c r="B2414" s="1">
        <f>DATE(2013,12,1) + TIME(20,26,43)</f>
        <v>41609.851886574077</v>
      </c>
      <c r="C2414">
        <v>80</v>
      </c>
      <c r="D2414">
        <v>77.868446349999999</v>
      </c>
      <c r="E2414">
        <v>60</v>
      </c>
      <c r="F2414">
        <v>59.980453490999999</v>
      </c>
      <c r="G2414">
        <v>1328.182251</v>
      </c>
      <c r="H2414">
        <v>1326.3933105000001</v>
      </c>
      <c r="I2414">
        <v>1339.2139893000001</v>
      </c>
      <c r="J2414">
        <v>1336.7298584</v>
      </c>
      <c r="K2414">
        <v>0</v>
      </c>
      <c r="L2414">
        <v>2750</v>
      </c>
      <c r="M2414">
        <v>2750</v>
      </c>
      <c r="N2414">
        <v>0</v>
      </c>
    </row>
    <row r="2415" spans="1:14" x14ac:dyDescent="0.25">
      <c r="A2415">
        <v>1311.738431</v>
      </c>
      <c r="B2415" s="1">
        <f>DATE(2013,12,2) + TIME(17,43,20)</f>
        <v>41610.738425925927</v>
      </c>
      <c r="C2415">
        <v>80</v>
      </c>
      <c r="D2415">
        <v>77.821662903000004</v>
      </c>
      <c r="E2415">
        <v>60</v>
      </c>
      <c r="F2415">
        <v>59.980434418000002</v>
      </c>
      <c r="G2415">
        <v>1328.1552733999999</v>
      </c>
      <c r="H2415">
        <v>1326.3566894999999</v>
      </c>
      <c r="I2415">
        <v>1339.2086182</v>
      </c>
      <c r="J2415">
        <v>1336.7277832</v>
      </c>
      <c r="K2415">
        <v>0</v>
      </c>
      <c r="L2415">
        <v>2750</v>
      </c>
      <c r="M2415">
        <v>2750</v>
      </c>
      <c r="N2415">
        <v>0</v>
      </c>
    </row>
    <row r="2416" spans="1:14" x14ac:dyDescent="0.25">
      <c r="A2416">
        <v>1312.648891</v>
      </c>
      <c r="B2416" s="1">
        <f>DATE(2013,12,3) + TIME(15,34,24)</f>
        <v>41611.648888888885</v>
      </c>
      <c r="C2416">
        <v>80</v>
      </c>
      <c r="D2416">
        <v>77.772087096999996</v>
      </c>
      <c r="E2416">
        <v>60</v>
      </c>
      <c r="F2416">
        <v>59.980419159</v>
      </c>
      <c r="G2416">
        <v>1328.1269531</v>
      </c>
      <c r="H2416">
        <v>1326.3181152</v>
      </c>
      <c r="I2416">
        <v>1339.203125</v>
      </c>
      <c r="J2416">
        <v>1336.7258300999999</v>
      </c>
      <c r="K2416">
        <v>0</v>
      </c>
      <c r="L2416">
        <v>2750</v>
      </c>
      <c r="M2416">
        <v>2750</v>
      </c>
      <c r="N2416">
        <v>0</v>
      </c>
    </row>
    <row r="2417" spans="1:14" x14ac:dyDescent="0.25">
      <c r="A2417">
        <v>1313.5672669999999</v>
      </c>
      <c r="B2417" s="1">
        <f>DATE(2013,12,4) + TIME(13,36,51)</f>
        <v>41612.567256944443</v>
      </c>
      <c r="C2417">
        <v>80</v>
      </c>
      <c r="D2417">
        <v>77.720924377000003</v>
      </c>
      <c r="E2417">
        <v>60</v>
      </c>
      <c r="F2417">
        <v>59.980400084999999</v>
      </c>
      <c r="G2417">
        <v>1328.0979004000001</v>
      </c>
      <c r="H2417">
        <v>1326.2783202999999</v>
      </c>
      <c r="I2417">
        <v>1339.1976318</v>
      </c>
      <c r="J2417">
        <v>1336.7237548999999</v>
      </c>
      <c r="K2417">
        <v>0</v>
      </c>
      <c r="L2417">
        <v>2750</v>
      </c>
      <c r="M2417">
        <v>2750</v>
      </c>
      <c r="N2417">
        <v>0</v>
      </c>
    </row>
    <row r="2418" spans="1:14" x14ac:dyDescent="0.25">
      <c r="A2418">
        <v>1314.4901500000001</v>
      </c>
      <c r="B2418" s="1">
        <f>DATE(2013,12,5) + TIME(11,45,48)</f>
        <v>41613.49013888889</v>
      </c>
      <c r="C2418">
        <v>80</v>
      </c>
      <c r="D2418">
        <v>77.668952942000004</v>
      </c>
      <c r="E2418">
        <v>60</v>
      </c>
      <c r="F2418">
        <v>59.980381012000002</v>
      </c>
      <c r="G2418">
        <v>1328.0687256000001</v>
      </c>
      <c r="H2418">
        <v>1326.2384033000001</v>
      </c>
      <c r="I2418">
        <v>1339.1921387</v>
      </c>
      <c r="J2418">
        <v>1336.7218018000001</v>
      </c>
      <c r="K2418">
        <v>0</v>
      </c>
      <c r="L2418">
        <v>2750</v>
      </c>
      <c r="M2418">
        <v>2750</v>
      </c>
      <c r="N2418">
        <v>0</v>
      </c>
    </row>
    <row r="2419" spans="1:14" x14ac:dyDescent="0.25">
      <c r="A2419">
        <v>1315.4242630000001</v>
      </c>
      <c r="B2419" s="1">
        <f>DATE(2013,12,6) + TIME(10,10,56)</f>
        <v>41614.424259259256</v>
      </c>
      <c r="C2419">
        <v>80</v>
      </c>
      <c r="D2419">
        <v>77.616363524999997</v>
      </c>
      <c r="E2419">
        <v>60</v>
      </c>
      <c r="F2419">
        <v>59.980361938000001</v>
      </c>
      <c r="G2419">
        <v>1328.0396728999999</v>
      </c>
      <c r="H2419">
        <v>1326.1984863</v>
      </c>
      <c r="I2419">
        <v>1339.1868896000001</v>
      </c>
      <c r="J2419">
        <v>1336.7199707</v>
      </c>
      <c r="K2419">
        <v>0</v>
      </c>
      <c r="L2419">
        <v>2750</v>
      </c>
      <c r="M2419">
        <v>2750</v>
      </c>
      <c r="N2419">
        <v>0</v>
      </c>
    </row>
    <row r="2420" spans="1:14" x14ac:dyDescent="0.25">
      <c r="A2420">
        <v>1316.376201</v>
      </c>
      <c r="B2420" s="1">
        <f>DATE(2013,12,7) + TIME(9,1,43)</f>
        <v>41615.376192129632</v>
      </c>
      <c r="C2420">
        <v>80</v>
      </c>
      <c r="D2420">
        <v>77.562988281000003</v>
      </c>
      <c r="E2420">
        <v>60</v>
      </c>
      <c r="F2420">
        <v>59.980346679999997</v>
      </c>
      <c r="G2420">
        <v>1328.0106201000001</v>
      </c>
      <c r="H2420">
        <v>1326.1588135</v>
      </c>
      <c r="I2420">
        <v>1339.1816406</v>
      </c>
      <c r="J2420">
        <v>1336.7181396000001</v>
      </c>
      <c r="K2420">
        <v>0</v>
      </c>
      <c r="L2420">
        <v>2750</v>
      </c>
      <c r="M2420">
        <v>2750</v>
      </c>
      <c r="N2420">
        <v>0</v>
      </c>
    </row>
    <row r="2421" spans="1:14" x14ac:dyDescent="0.25">
      <c r="A2421">
        <v>1317.350854</v>
      </c>
      <c r="B2421" s="1">
        <f>DATE(2013,12,8) + TIME(8,25,13)</f>
        <v>41616.350844907407</v>
      </c>
      <c r="C2421">
        <v>80</v>
      </c>
      <c r="D2421">
        <v>77.508560181000007</v>
      </c>
      <c r="E2421">
        <v>60</v>
      </c>
      <c r="F2421">
        <v>59.980327606000003</v>
      </c>
      <c r="G2421">
        <v>1327.9814452999999</v>
      </c>
      <c r="H2421">
        <v>1326.1188964999999</v>
      </c>
      <c r="I2421">
        <v>1339.1765137</v>
      </c>
      <c r="J2421">
        <v>1336.7163086</v>
      </c>
      <c r="K2421">
        <v>0</v>
      </c>
      <c r="L2421">
        <v>2750</v>
      </c>
      <c r="M2421">
        <v>2750</v>
      </c>
      <c r="N2421">
        <v>0</v>
      </c>
    </row>
    <row r="2422" spans="1:14" x14ac:dyDescent="0.25">
      <c r="A2422">
        <v>1318.3535979999999</v>
      </c>
      <c r="B2422" s="1">
        <f>DATE(2013,12,9) + TIME(8,29,10)</f>
        <v>41617.353587962964</v>
      </c>
      <c r="C2422">
        <v>80</v>
      </c>
      <c r="D2422">
        <v>77.452774047999995</v>
      </c>
      <c r="E2422">
        <v>60</v>
      </c>
      <c r="F2422">
        <v>59.980308532999999</v>
      </c>
      <c r="G2422">
        <v>1327.9520264</v>
      </c>
      <c r="H2422">
        <v>1326.0788574000001</v>
      </c>
      <c r="I2422">
        <v>1339.1712646000001</v>
      </c>
      <c r="J2422">
        <v>1336.7144774999999</v>
      </c>
      <c r="K2422">
        <v>0</v>
      </c>
      <c r="L2422">
        <v>2750</v>
      </c>
      <c r="M2422">
        <v>2750</v>
      </c>
      <c r="N2422">
        <v>0</v>
      </c>
    </row>
    <row r="2423" spans="1:14" x14ac:dyDescent="0.25">
      <c r="A2423">
        <v>1319.390255</v>
      </c>
      <c r="B2423" s="1">
        <f>DATE(2013,12,10) + TIME(9,21,58)</f>
        <v>41618.39025462963</v>
      </c>
      <c r="C2423">
        <v>80</v>
      </c>
      <c r="D2423">
        <v>77.395317078000005</v>
      </c>
      <c r="E2423">
        <v>60</v>
      </c>
      <c r="F2423">
        <v>59.980293273999997</v>
      </c>
      <c r="G2423">
        <v>1327.9223632999999</v>
      </c>
      <c r="H2423">
        <v>1326.0383300999999</v>
      </c>
      <c r="I2423">
        <v>1339.1660156</v>
      </c>
      <c r="J2423">
        <v>1336.7127685999999</v>
      </c>
      <c r="K2423">
        <v>0</v>
      </c>
      <c r="L2423">
        <v>2750</v>
      </c>
      <c r="M2423">
        <v>2750</v>
      </c>
      <c r="N2423">
        <v>0</v>
      </c>
    </row>
    <row r="2424" spans="1:14" x14ac:dyDescent="0.25">
      <c r="A2424">
        <v>1320.45796</v>
      </c>
      <c r="B2424" s="1">
        <f>DATE(2013,12,11) + TIME(10,59,27)</f>
        <v>41619.457951388889</v>
      </c>
      <c r="C2424">
        <v>80</v>
      </c>
      <c r="D2424">
        <v>77.335990906000006</v>
      </c>
      <c r="E2424">
        <v>60</v>
      </c>
      <c r="F2424">
        <v>59.980274199999997</v>
      </c>
      <c r="G2424">
        <v>1327.8920897999999</v>
      </c>
      <c r="H2424">
        <v>1325.9971923999999</v>
      </c>
      <c r="I2424">
        <v>1339.1607666</v>
      </c>
      <c r="J2424">
        <v>1336.7109375</v>
      </c>
      <c r="K2424">
        <v>0</v>
      </c>
      <c r="L2424">
        <v>2750</v>
      </c>
      <c r="M2424">
        <v>2750</v>
      </c>
      <c r="N2424">
        <v>0</v>
      </c>
    </row>
    <row r="2425" spans="1:14" x14ac:dyDescent="0.25">
      <c r="A2425">
        <v>1321.5608569999999</v>
      </c>
      <c r="B2425" s="1">
        <f>DATE(2013,12,12) + TIME(13,27,38)</f>
        <v>41620.560856481483</v>
      </c>
      <c r="C2425">
        <v>80</v>
      </c>
      <c r="D2425">
        <v>77.274688721000004</v>
      </c>
      <c r="E2425">
        <v>60</v>
      </c>
      <c r="F2425">
        <v>59.980255127</v>
      </c>
      <c r="G2425">
        <v>1327.8614502</v>
      </c>
      <c r="H2425">
        <v>1325.9555664</v>
      </c>
      <c r="I2425">
        <v>1339.1555175999999</v>
      </c>
      <c r="J2425">
        <v>1336.7091064000001</v>
      </c>
      <c r="K2425">
        <v>0</v>
      </c>
      <c r="L2425">
        <v>2750</v>
      </c>
      <c r="M2425">
        <v>2750</v>
      </c>
      <c r="N2425">
        <v>0</v>
      </c>
    </row>
    <row r="2426" spans="1:14" x14ac:dyDescent="0.25">
      <c r="A2426">
        <v>1322.7070570000001</v>
      </c>
      <c r="B2426" s="1">
        <f>DATE(2013,12,13) + TIME(16,58,9)</f>
        <v>41621.707048611112</v>
      </c>
      <c r="C2426">
        <v>80</v>
      </c>
      <c r="D2426">
        <v>77.211120605000005</v>
      </c>
      <c r="E2426">
        <v>60</v>
      </c>
      <c r="F2426">
        <v>59.980239867999998</v>
      </c>
      <c r="G2426">
        <v>1327.8303223</v>
      </c>
      <c r="H2426">
        <v>1325.9132079999999</v>
      </c>
      <c r="I2426">
        <v>1339.1501464999999</v>
      </c>
      <c r="J2426">
        <v>1336.7073975000001</v>
      </c>
      <c r="K2426">
        <v>0</v>
      </c>
      <c r="L2426">
        <v>2750</v>
      </c>
      <c r="M2426">
        <v>2750</v>
      </c>
      <c r="N2426">
        <v>0</v>
      </c>
    </row>
    <row r="2427" spans="1:14" x14ac:dyDescent="0.25">
      <c r="A2427">
        <v>1323.9035389999999</v>
      </c>
      <c r="B2427" s="1">
        <f>DATE(2013,12,14) + TIME(21,41,5)</f>
        <v>41622.90353009259</v>
      </c>
      <c r="C2427">
        <v>80</v>
      </c>
      <c r="D2427">
        <v>77.144874572999996</v>
      </c>
      <c r="E2427">
        <v>60</v>
      </c>
      <c r="F2427">
        <v>59.980220795000001</v>
      </c>
      <c r="G2427">
        <v>1327.7984618999999</v>
      </c>
      <c r="H2427">
        <v>1325.8699951000001</v>
      </c>
      <c r="I2427">
        <v>1339.1447754000001</v>
      </c>
      <c r="J2427">
        <v>1336.7055664</v>
      </c>
      <c r="K2427">
        <v>0</v>
      </c>
      <c r="L2427">
        <v>2750</v>
      </c>
      <c r="M2427">
        <v>2750</v>
      </c>
      <c r="N2427">
        <v>0</v>
      </c>
    </row>
    <row r="2428" spans="1:14" x14ac:dyDescent="0.25">
      <c r="A2428">
        <v>1325.1029209999999</v>
      </c>
      <c r="B2428" s="1">
        <f>DATE(2013,12,16) + TIME(2,28,12)</f>
        <v>41624.102916666663</v>
      </c>
      <c r="C2428">
        <v>80</v>
      </c>
      <c r="D2428">
        <v>77.076484679999993</v>
      </c>
      <c r="E2428">
        <v>60</v>
      </c>
      <c r="F2428">
        <v>59.980201721</v>
      </c>
      <c r="G2428">
        <v>1327.7658690999999</v>
      </c>
      <c r="H2428">
        <v>1325.8259277</v>
      </c>
      <c r="I2428">
        <v>1339.1392822</v>
      </c>
      <c r="J2428">
        <v>1336.7037353999999</v>
      </c>
      <c r="K2428">
        <v>0</v>
      </c>
      <c r="L2428">
        <v>2750</v>
      </c>
      <c r="M2428">
        <v>2750</v>
      </c>
      <c r="N2428">
        <v>0</v>
      </c>
    </row>
    <row r="2429" spans="1:14" x14ac:dyDescent="0.25">
      <c r="A2429">
        <v>1326.3053159999999</v>
      </c>
      <c r="B2429" s="1">
        <f>DATE(2013,12,17) + TIME(7,19,39)</f>
        <v>41625.305312500001</v>
      </c>
      <c r="C2429">
        <v>80</v>
      </c>
      <c r="D2429">
        <v>77.007110596000004</v>
      </c>
      <c r="E2429">
        <v>60</v>
      </c>
      <c r="F2429">
        <v>59.980186461999999</v>
      </c>
      <c r="G2429">
        <v>1327.7332764</v>
      </c>
      <c r="H2429">
        <v>1325.7819824000001</v>
      </c>
      <c r="I2429">
        <v>1339.1339111</v>
      </c>
      <c r="J2429">
        <v>1336.7020264</v>
      </c>
      <c r="K2429">
        <v>0</v>
      </c>
      <c r="L2429">
        <v>2750</v>
      </c>
      <c r="M2429">
        <v>2750</v>
      </c>
      <c r="N2429">
        <v>0</v>
      </c>
    </row>
    <row r="2430" spans="1:14" x14ac:dyDescent="0.25">
      <c r="A2430">
        <v>1327.5189700000001</v>
      </c>
      <c r="B2430" s="1">
        <f>DATE(2013,12,18) + TIME(12,27,19)</f>
        <v>41626.518969907411</v>
      </c>
      <c r="C2430">
        <v>80</v>
      </c>
      <c r="D2430">
        <v>76.936965942</v>
      </c>
      <c r="E2430">
        <v>60</v>
      </c>
      <c r="F2430">
        <v>59.980167389000002</v>
      </c>
      <c r="G2430">
        <v>1327.7011719</v>
      </c>
      <c r="H2430">
        <v>1325.7382812000001</v>
      </c>
      <c r="I2430">
        <v>1339.1286620999999</v>
      </c>
      <c r="J2430">
        <v>1336.7003173999999</v>
      </c>
      <c r="K2430">
        <v>0</v>
      </c>
      <c r="L2430">
        <v>2750</v>
      </c>
      <c r="M2430">
        <v>2750</v>
      </c>
      <c r="N2430">
        <v>0</v>
      </c>
    </row>
    <row r="2431" spans="1:14" x14ac:dyDescent="0.25">
      <c r="A2431">
        <v>1328.7554700000001</v>
      </c>
      <c r="B2431" s="1">
        <f>DATE(2013,12,19) + TIME(18,7,52)</f>
        <v>41627.755462962959</v>
      </c>
      <c r="C2431">
        <v>80</v>
      </c>
      <c r="D2431">
        <v>76.865730286000002</v>
      </c>
      <c r="E2431">
        <v>60</v>
      </c>
      <c r="F2431">
        <v>59.98015213</v>
      </c>
      <c r="G2431">
        <v>1327.6691894999999</v>
      </c>
      <c r="H2431">
        <v>1325.6950684000001</v>
      </c>
      <c r="I2431">
        <v>1339.1234131000001</v>
      </c>
      <c r="J2431">
        <v>1336.6986084</v>
      </c>
      <c r="K2431">
        <v>0</v>
      </c>
      <c r="L2431">
        <v>2750</v>
      </c>
      <c r="M2431">
        <v>2750</v>
      </c>
      <c r="N2431">
        <v>0</v>
      </c>
    </row>
    <row r="2432" spans="1:14" x14ac:dyDescent="0.25">
      <c r="A2432">
        <v>1330.021812</v>
      </c>
      <c r="B2432" s="1">
        <f>DATE(2013,12,21) + TIME(0,31,24)</f>
        <v>41629.021805555552</v>
      </c>
      <c r="C2432">
        <v>80</v>
      </c>
      <c r="D2432">
        <v>76.792900084999999</v>
      </c>
      <c r="E2432">
        <v>60</v>
      </c>
      <c r="F2432">
        <v>59.980133057000003</v>
      </c>
      <c r="G2432">
        <v>1327.637207</v>
      </c>
      <c r="H2432">
        <v>1325.6518555</v>
      </c>
      <c r="I2432">
        <v>1339.1182861</v>
      </c>
      <c r="J2432">
        <v>1336.6968993999999</v>
      </c>
      <c r="K2432">
        <v>0</v>
      </c>
      <c r="L2432">
        <v>2750</v>
      </c>
      <c r="M2432">
        <v>2750</v>
      </c>
      <c r="N2432">
        <v>0</v>
      </c>
    </row>
    <row r="2433" spans="1:14" x14ac:dyDescent="0.25">
      <c r="A2433">
        <v>1331.32564</v>
      </c>
      <c r="B2433" s="1">
        <f>DATE(2013,12,22) + TIME(7,48,55)</f>
        <v>41630.325636574074</v>
      </c>
      <c r="C2433">
        <v>80</v>
      </c>
      <c r="D2433">
        <v>76.718002318999993</v>
      </c>
      <c r="E2433">
        <v>60</v>
      </c>
      <c r="F2433">
        <v>59.980117798000002</v>
      </c>
      <c r="G2433">
        <v>1327.6049805</v>
      </c>
      <c r="H2433">
        <v>1325.6083983999999</v>
      </c>
      <c r="I2433">
        <v>1339.1131591999999</v>
      </c>
      <c r="J2433">
        <v>1336.6953125</v>
      </c>
      <c r="K2433">
        <v>0</v>
      </c>
      <c r="L2433">
        <v>2750</v>
      </c>
      <c r="M2433">
        <v>2750</v>
      </c>
      <c r="N2433">
        <v>0</v>
      </c>
    </row>
    <row r="2434" spans="1:14" x14ac:dyDescent="0.25">
      <c r="A2434">
        <v>1332.6741489999999</v>
      </c>
      <c r="B2434" s="1">
        <f>DATE(2013,12,23) + TIME(16,10,46)</f>
        <v>41631.674143518518</v>
      </c>
      <c r="C2434">
        <v>80</v>
      </c>
      <c r="D2434">
        <v>76.640563964999998</v>
      </c>
      <c r="E2434">
        <v>60</v>
      </c>
      <c r="F2434">
        <v>59.980102539000001</v>
      </c>
      <c r="G2434">
        <v>1327.5725098</v>
      </c>
      <c r="H2434">
        <v>1325.5646973</v>
      </c>
      <c r="I2434">
        <v>1339.1079102000001</v>
      </c>
      <c r="J2434">
        <v>1336.6936035000001</v>
      </c>
      <c r="K2434">
        <v>0</v>
      </c>
      <c r="L2434">
        <v>2750</v>
      </c>
      <c r="M2434">
        <v>2750</v>
      </c>
      <c r="N2434">
        <v>0</v>
      </c>
    </row>
    <row r="2435" spans="1:14" x14ac:dyDescent="0.25">
      <c r="A2435">
        <v>1334.0610790000001</v>
      </c>
      <c r="B2435" s="1">
        <f>DATE(2013,12,25) + TIME(1,27,57)</f>
        <v>41633.061076388891</v>
      </c>
      <c r="C2435">
        <v>80</v>
      </c>
      <c r="D2435">
        <v>76.560333252000007</v>
      </c>
      <c r="E2435">
        <v>60</v>
      </c>
      <c r="F2435">
        <v>59.980083466000004</v>
      </c>
      <c r="G2435">
        <v>1327.5395507999999</v>
      </c>
      <c r="H2435">
        <v>1325.5203856999999</v>
      </c>
      <c r="I2435">
        <v>1339.1026611</v>
      </c>
      <c r="J2435">
        <v>1336.6920166</v>
      </c>
      <c r="K2435">
        <v>0</v>
      </c>
      <c r="L2435">
        <v>2750</v>
      </c>
      <c r="M2435">
        <v>2750</v>
      </c>
      <c r="N2435">
        <v>0</v>
      </c>
    </row>
    <row r="2436" spans="1:14" x14ac:dyDescent="0.25">
      <c r="A2436">
        <v>1335.495932</v>
      </c>
      <c r="B2436" s="1">
        <f>DATE(2013,12,26) + TIME(11,54,8)</f>
        <v>41634.495925925927</v>
      </c>
      <c r="C2436">
        <v>80</v>
      </c>
      <c r="D2436">
        <v>76.477218628000003</v>
      </c>
      <c r="E2436">
        <v>60</v>
      </c>
      <c r="F2436">
        <v>59.980068207000002</v>
      </c>
      <c r="G2436">
        <v>1327.5061035000001</v>
      </c>
      <c r="H2436">
        <v>1325.4754639</v>
      </c>
      <c r="I2436">
        <v>1339.0974120999999</v>
      </c>
      <c r="J2436">
        <v>1336.6903076000001</v>
      </c>
      <c r="K2436">
        <v>0</v>
      </c>
      <c r="L2436">
        <v>2750</v>
      </c>
      <c r="M2436">
        <v>2750</v>
      </c>
      <c r="N2436">
        <v>0</v>
      </c>
    </row>
    <row r="2437" spans="1:14" x14ac:dyDescent="0.25">
      <c r="A2437">
        <v>1336.9721950000001</v>
      </c>
      <c r="B2437" s="1">
        <f>DATE(2013,12,27) + TIME(23,19,57)</f>
        <v>41635.972187500003</v>
      </c>
      <c r="C2437">
        <v>80</v>
      </c>
      <c r="D2437">
        <v>76.391006469999994</v>
      </c>
      <c r="E2437">
        <v>60</v>
      </c>
      <c r="F2437">
        <v>59.980052948000001</v>
      </c>
      <c r="G2437">
        <v>1327.4722899999999</v>
      </c>
      <c r="H2437">
        <v>1325.4300536999999</v>
      </c>
      <c r="I2437">
        <v>1339.0921631000001</v>
      </c>
      <c r="J2437">
        <v>1336.6885986</v>
      </c>
      <c r="K2437">
        <v>0</v>
      </c>
      <c r="L2437">
        <v>2750</v>
      </c>
      <c r="M2437">
        <v>2750</v>
      </c>
      <c r="N2437">
        <v>0</v>
      </c>
    </row>
    <row r="2438" spans="1:14" x14ac:dyDescent="0.25">
      <c r="A2438">
        <v>1338.450507</v>
      </c>
      <c r="B2438" s="1">
        <f>DATE(2013,12,29) + TIME(10,48,43)</f>
        <v>41637.450497685182</v>
      </c>
      <c r="C2438">
        <v>80</v>
      </c>
      <c r="D2438">
        <v>76.302398682000003</v>
      </c>
      <c r="E2438">
        <v>60</v>
      </c>
      <c r="F2438">
        <v>59.980033874999997</v>
      </c>
      <c r="G2438">
        <v>1327.4379882999999</v>
      </c>
      <c r="H2438">
        <v>1325.3841553</v>
      </c>
      <c r="I2438">
        <v>1339.0867920000001</v>
      </c>
      <c r="J2438">
        <v>1336.6870117000001</v>
      </c>
      <c r="K2438">
        <v>0</v>
      </c>
      <c r="L2438">
        <v>2750</v>
      </c>
      <c r="M2438">
        <v>2750</v>
      </c>
      <c r="N2438">
        <v>0</v>
      </c>
    </row>
    <row r="2439" spans="1:14" x14ac:dyDescent="0.25">
      <c r="A2439">
        <v>1339.947989</v>
      </c>
      <c r="B2439" s="1">
        <f>DATE(2013,12,30) + TIME(22,45,6)</f>
        <v>41638.94798611111</v>
      </c>
      <c r="C2439">
        <v>80</v>
      </c>
      <c r="D2439">
        <v>76.212448120000005</v>
      </c>
      <c r="E2439">
        <v>60</v>
      </c>
      <c r="F2439">
        <v>59.980018616000002</v>
      </c>
      <c r="G2439">
        <v>1327.4039307</v>
      </c>
      <c r="H2439">
        <v>1325.338501</v>
      </c>
      <c r="I2439">
        <v>1339.081543</v>
      </c>
      <c r="J2439">
        <v>1336.6853027</v>
      </c>
      <c r="K2439">
        <v>0</v>
      </c>
      <c r="L2439">
        <v>2750</v>
      </c>
      <c r="M2439">
        <v>2750</v>
      </c>
      <c r="N2439">
        <v>0</v>
      </c>
    </row>
    <row r="2440" spans="1:14" x14ac:dyDescent="0.25">
      <c r="A2440">
        <v>1341</v>
      </c>
      <c r="B2440" s="1">
        <f>DATE(2014,1,1) + TIME(0,0,0)</f>
        <v>41640</v>
      </c>
      <c r="C2440">
        <v>80</v>
      </c>
      <c r="D2440">
        <v>76.130241393999995</v>
      </c>
      <c r="E2440">
        <v>60</v>
      </c>
      <c r="F2440">
        <v>59.980003357000001</v>
      </c>
      <c r="G2440">
        <v>1327.3706055</v>
      </c>
      <c r="H2440">
        <v>1325.2940673999999</v>
      </c>
      <c r="I2440">
        <v>1339.0764160000001</v>
      </c>
      <c r="J2440">
        <v>1336.6837158000001</v>
      </c>
      <c r="K2440">
        <v>0</v>
      </c>
      <c r="L2440">
        <v>2750</v>
      </c>
      <c r="M2440">
        <v>2750</v>
      </c>
      <c r="N2440">
        <v>0</v>
      </c>
    </row>
    <row r="2441" spans="1:14" x14ac:dyDescent="0.25">
      <c r="A2441">
        <v>1342.5269510000001</v>
      </c>
      <c r="B2441" s="1">
        <f>DATE(2014,1,2) + TIME(12,38,48)</f>
        <v>41641.526944444442</v>
      </c>
      <c r="C2441">
        <v>80</v>
      </c>
      <c r="D2441">
        <v>76.051574707</v>
      </c>
      <c r="E2441">
        <v>60</v>
      </c>
      <c r="F2441">
        <v>59.979991912999999</v>
      </c>
      <c r="G2441">
        <v>1327.3439940999999</v>
      </c>
      <c r="H2441">
        <v>1325.2568358999999</v>
      </c>
      <c r="I2441">
        <v>1339.072876</v>
      </c>
      <c r="J2441">
        <v>1336.6826172000001</v>
      </c>
      <c r="K2441">
        <v>0</v>
      </c>
      <c r="L2441">
        <v>2750</v>
      </c>
      <c r="M2441">
        <v>2750</v>
      </c>
      <c r="N2441">
        <v>0</v>
      </c>
    </row>
    <row r="2442" spans="1:14" x14ac:dyDescent="0.25">
      <c r="A2442">
        <v>1344.1203760000001</v>
      </c>
      <c r="B2442" s="1">
        <f>DATE(2014,1,4) + TIME(2,53,20)</f>
        <v>41643.120370370372</v>
      </c>
      <c r="C2442">
        <v>80</v>
      </c>
      <c r="D2442">
        <v>75.960296631000006</v>
      </c>
      <c r="E2442">
        <v>60</v>
      </c>
      <c r="F2442">
        <v>59.979980468999997</v>
      </c>
      <c r="G2442">
        <v>1327.3123779</v>
      </c>
      <c r="H2442">
        <v>1325.2154541</v>
      </c>
      <c r="I2442">
        <v>1339.067749</v>
      </c>
      <c r="J2442">
        <v>1336.6810303</v>
      </c>
      <c r="K2442">
        <v>0</v>
      </c>
      <c r="L2442">
        <v>2750</v>
      </c>
      <c r="M2442">
        <v>2750</v>
      </c>
      <c r="N2442">
        <v>0</v>
      </c>
    </row>
    <row r="2443" spans="1:14" x14ac:dyDescent="0.25">
      <c r="A2443">
        <v>1345.748666</v>
      </c>
      <c r="B2443" s="1">
        <f>DATE(2014,1,5) + TIME(17,58,4)</f>
        <v>41644.748657407406</v>
      </c>
      <c r="C2443">
        <v>80</v>
      </c>
      <c r="D2443">
        <v>75.862739563000005</v>
      </c>
      <c r="E2443">
        <v>60</v>
      </c>
      <c r="F2443">
        <v>59.979965210000003</v>
      </c>
      <c r="G2443">
        <v>1327.2789307</v>
      </c>
      <c r="H2443">
        <v>1325.1710204999999</v>
      </c>
      <c r="I2443">
        <v>1339.0626221</v>
      </c>
      <c r="J2443">
        <v>1336.6794434000001</v>
      </c>
      <c r="K2443">
        <v>0</v>
      </c>
      <c r="L2443">
        <v>2750</v>
      </c>
      <c r="M2443">
        <v>2750</v>
      </c>
      <c r="N2443">
        <v>0</v>
      </c>
    </row>
    <row r="2444" spans="1:14" x14ac:dyDescent="0.25">
      <c r="A2444">
        <v>1347.4242489999999</v>
      </c>
      <c r="B2444" s="1">
        <f>DATE(2014,1,7) + TIME(10,10,55)</f>
        <v>41646.424247685187</v>
      </c>
      <c r="C2444">
        <v>80</v>
      </c>
      <c r="D2444">
        <v>75.761413574000002</v>
      </c>
      <c r="E2444">
        <v>60</v>
      </c>
      <c r="F2444">
        <v>59.979949951000002</v>
      </c>
      <c r="G2444">
        <v>1327.244751</v>
      </c>
      <c r="H2444">
        <v>1325.1256103999999</v>
      </c>
      <c r="I2444">
        <v>1339.0573730000001</v>
      </c>
      <c r="J2444">
        <v>1336.6778564000001</v>
      </c>
      <c r="K2444">
        <v>0</v>
      </c>
      <c r="L2444">
        <v>2750</v>
      </c>
      <c r="M2444">
        <v>2750</v>
      </c>
      <c r="N2444">
        <v>0</v>
      </c>
    </row>
    <row r="2445" spans="1:14" x14ac:dyDescent="0.25">
      <c r="A2445">
        <v>1349.1303009999999</v>
      </c>
      <c r="B2445" s="1">
        <f>DATE(2014,1,9) + TIME(3,7,38)</f>
        <v>41648.130300925928</v>
      </c>
      <c r="C2445">
        <v>80</v>
      </c>
      <c r="D2445">
        <v>75.656753539999997</v>
      </c>
      <c r="E2445">
        <v>60</v>
      </c>
      <c r="F2445">
        <v>59.979934692</v>
      </c>
      <c r="G2445">
        <v>1327.2103271000001</v>
      </c>
      <c r="H2445">
        <v>1325.0795897999999</v>
      </c>
      <c r="I2445">
        <v>1339.0522461</v>
      </c>
      <c r="J2445">
        <v>1336.6762695</v>
      </c>
      <c r="K2445">
        <v>0</v>
      </c>
      <c r="L2445">
        <v>2750</v>
      </c>
      <c r="M2445">
        <v>2750</v>
      </c>
      <c r="N2445">
        <v>0</v>
      </c>
    </row>
    <row r="2446" spans="1:14" x14ac:dyDescent="0.25">
      <c r="A2446">
        <v>1350.867211</v>
      </c>
      <c r="B2446" s="1">
        <f>DATE(2014,1,10) + TIME(20,48,46)</f>
        <v>41649.867199074077</v>
      </c>
      <c r="C2446">
        <v>80</v>
      </c>
      <c r="D2446">
        <v>75.549415588000002</v>
      </c>
      <c r="E2446">
        <v>60</v>
      </c>
      <c r="F2446">
        <v>59.979923247999999</v>
      </c>
      <c r="G2446">
        <v>1327.1756591999999</v>
      </c>
      <c r="H2446">
        <v>1325.0334473</v>
      </c>
      <c r="I2446">
        <v>1339.0469971</v>
      </c>
      <c r="J2446">
        <v>1336.6746826000001</v>
      </c>
      <c r="K2446">
        <v>0</v>
      </c>
      <c r="L2446">
        <v>2750</v>
      </c>
      <c r="M2446">
        <v>2750</v>
      </c>
      <c r="N2446">
        <v>0</v>
      </c>
    </row>
    <row r="2447" spans="1:14" x14ac:dyDescent="0.25">
      <c r="A2447">
        <v>1352.659165</v>
      </c>
      <c r="B2447" s="1">
        <f>DATE(2014,1,12) + TIME(15,49,11)</f>
        <v>41651.659155092595</v>
      </c>
      <c r="C2447">
        <v>80</v>
      </c>
      <c r="D2447">
        <v>75.439186096</v>
      </c>
      <c r="E2447">
        <v>60</v>
      </c>
      <c r="F2447">
        <v>59.979907990000001</v>
      </c>
      <c r="G2447">
        <v>1327.1409911999999</v>
      </c>
      <c r="H2447">
        <v>1324.9873047000001</v>
      </c>
      <c r="I2447">
        <v>1339.0418701000001</v>
      </c>
      <c r="J2447">
        <v>1336.6730957</v>
      </c>
      <c r="K2447">
        <v>0</v>
      </c>
      <c r="L2447">
        <v>2750</v>
      </c>
      <c r="M2447">
        <v>2750</v>
      </c>
      <c r="N2447">
        <v>0</v>
      </c>
    </row>
    <row r="2448" spans="1:14" x14ac:dyDescent="0.25">
      <c r="A2448">
        <v>1354.5062869999999</v>
      </c>
      <c r="B2448" s="1">
        <f>DATE(2014,1,14) + TIME(12,9,3)</f>
        <v>41653.506284722222</v>
      </c>
      <c r="C2448">
        <v>80</v>
      </c>
      <c r="D2448">
        <v>75.325157165999997</v>
      </c>
      <c r="E2448">
        <v>60</v>
      </c>
      <c r="F2448">
        <v>59.979896545000003</v>
      </c>
      <c r="G2448">
        <v>1327.105957</v>
      </c>
      <c r="H2448">
        <v>1324.9407959</v>
      </c>
      <c r="I2448">
        <v>1339.0366211</v>
      </c>
      <c r="J2448">
        <v>1336.6713867000001</v>
      </c>
      <c r="K2448">
        <v>0</v>
      </c>
      <c r="L2448">
        <v>2750</v>
      </c>
      <c r="M2448">
        <v>2750</v>
      </c>
      <c r="N2448">
        <v>0</v>
      </c>
    </row>
    <row r="2449" spans="1:14" x14ac:dyDescent="0.25">
      <c r="A2449">
        <v>1356.3848129999999</v>
      </c>
      <c r="B2449" s="1">
        <f>DATE(2014,1,16) + TIME(9,14,7)</f>
        <v>41655.38480324074</v>
      </c>
      <c r="C2449">
        <v>80</v>
      </c>
      <c r="D2449">
        <v>75.207450867000006</v>
      </c>
      <c r="E2449">
        <v>60</v>
      </c>
      <c r="F2449">
        <v>59.979881286999998</v>
      </c>
      <c r="G2449">
        <v>1327.0706786999999</v>
      </c>
      <c r="H2449">
        <v>1324.8939209</v>
      </c>
      <c r="I2449">
        <v>1339.0313721</v>
      </c>
      <c r="J2449">
        <v>1336.6697998</v>
      </c>
      <c r="K2449">
        <v>0</v>
      </c>
      <c r="L2449">
        <v>2750</v>
      </c>
      <c r="M2449">
        <v>2750</v>
      </c>
      <c r="N2449">
        <v>0</v>
      </c>
    </row>
    <row r="2450" spans="1:14" x14ac:dyDescent="0.25">
      <c r="A2450">
        <v>1358.2775590000001</v>
      </c>
      <c r="B2450" s="1">
        <f>DATE(2014,1,18) + TIME(6,39,41)</f>
        <v>41657.277557870373</v>
      </c>
      <c r="C2450">
        <v>80</v>
      </c>
      <c r="D2450">
        <v>75.087112426999994</v>
      </c>
      <c r="E2450">
        <v>60</v>
      </c>
      <c r="F2450">
        <v>59.979869843000003</v>
      </c>
      <c r="G2450">
        <v>1327.0352783000001</v>
      </c>
      <c r="H2450">
        <v>1324.8469238</v>
      </c>
      <c r="I2450">
        <v>1339.0262451000001</v>
      </c>
      <c r="J2450">
        <v>1336.6680908000001</v>
      </c>
      <c r="K2450">
        <v>0</v>
      </c>
      <c r="L2450">
        <v>2750</v>
      </c>
      <c r="M2450">
        <v>2750</v>
      </c>
      <c r="N2450">
        <v>0</v>
      </c>
    </row>
    <row r="2451" spans="1:14" x14ac:dyDescent="0.25">
      <c r="A2451">
        <v>1360.213706</v>
      </c>
      <c r="B2451" s="1">
        <f>DATE(2014,1,20) + TIME(5,7,44)</f>
        <v>41659.213703703703</v>
      </c>
      <c r="C2451">
        <v>80</v>
      </c>
      <c r="D2451">
        <v>74.964599609000004</v>
      </c>
      <c r="E2451">
        <v>60</v>
      </c>
      <c r="F2451">
        <v>59.979858397999998</v>
      </c>
      <c r="G2451">
        <v>1327.0001221</v>
      </c>
      <c r="H2451">
        <v>1324.800293</v>
      </c>
      <c r="I2451">
        <v>1339.0211182</v>
      </c>
      <c r="J2451">
        <v>1336.6665039</v>
      </c>
      <c r="K2451">
        <v>0</v>
      </c>
      <c r="L2451">
        <v>2750</v>
      </c>
      <c r="M2451">
        <v>2750</v>
      </c>
      <c r="N2451">
        <v>0</v>
      </c>
    </row>
    <row r="2452" spans="1:14" x14ac:dyDescent="0.25">
      <c r="A2452">
        <v>1362.2138689999999</v>
      </c>
      <c r="B2452" s="1">
        <f>DATE(2014,1,22) + TIME(5,7,58)</f>
        <v>41661.213865740741</v>
      </c>
      <c r="C2452">
        <v>80</v>
      </c>
      <c r="D2452">
        <v>74.838577271000005</v>
      </c>
      <c r="E2452">
        <v>60</v>
      </c>
      <c r="F2452">
        <v>59.979846954000003</v>
      </c>
      <c r="G2452">
        <v>1326.9650879000001</v>
      </c>
      <c r="H2452">
        <v>1324.7536620999999</v>
      </c>
      <c r="I2452">
        <v>1339.0159911999999</v>
      </c>
      <c r="J2452">
        <v>1336.6649170000001</v>
      </c>
      <c r="K2452">
        <v>0</v>
      </c>
      <c r="L2452">
        <v>2750</v>
      </c>
      <c r="M2452">
        <v>2750</v>
      </c>
      <c r="N2452">
        <v>0</v>
      </c>
    </row>
    <row r="2453" spans="1:14" x14ac:dyDescent="0.25">
      <c r="A2453">
        <v>1364.2960089999999</v>
      </c>
      <c r="B2453" s="1">
        <f>DATE(2014,1,24) + TIME(7,6,15)</f>
        <v>41663.296006944445</v>
      </c>
      <c r="C2453">
        <v>80</v>
      </c>
      <c r="D2453">
        <v>74.707817078000005</v>
      </c>
      <c r="E2453">
        <v>60</v>
      </c>
      <c r="F2453">
        <v>59.979835510000001</v>
      </c>
      <c r="G2453">
        <v>1326.9296875</v>
      </c>
      <c r="H2453">
        <v>1324.7067870999999</v>
      </c>
      <c r="I2453">
        <v>1339.0107422000001</v>
      </c>
      <c r="J2453">
        <v>1336.6632079999999</v>
      </c>
      <c r="K2453">
        <v>0</v>
      </c>
      <c r="L2453">
        <v>2750</v>
      </c>
      <c r="M2453">
        <v>2750</v>
      </c>
      <c r="N2453">
        <v>0</v>
      </c>
    </row>
    <row r="2454" spans="1:14" x14ac:dyDescent="0.25">
      <c r="A2454">
        <v>1366.435739</v>
      </c>
      <c r="B2454" s="1">
        <f>DATE(2014,1,26) + TIME(10,27,27)</f>
        <v>41665.435729166667</v>
      </c>
      <c r="C2454">
        <v>80</v>
      </c>
      <c r="D2454">
        <v>74.571594238000003</v>
      </c>
      <c r="E2454">
        <v>60</v>
      </c>
      <c r="F2454">
        <v>59.979824065999999</v>
      </c>
      <c r="G2454">
        <v>1326.8935547000001</v>
      </c>
      <c r="H2454">
        <v>1324.6591797000001</v>
      </c>
      <c r="I2454">
        <v>1339.0053711</v>
      </c>
      <c r="J2454">
        <v>1336.661499</v>
      </c>
      <c r="K2454">
        <v>0</v>
      </c>
      <c r="L2454">
        <v>2750</v>
      </c>
      <c r="M2454">
        <v>2750</v>
      </c>
      <c r="N2454">
        <v>0</v>
      </c>
    </row>
    <row r="2455" spans="1:14" x14ac:dyDescent="0.25">
      <c r="A2455">
        <v>1368.5871850000001</v>
      </c>
      <c r="B2455" s="1">
        <f>DATE(2014,1,28) + TIME(14,5,32)</f>
        <v>41667.587175925924</v>
      </c>
      <c r="C2455">
        <v>80</v>
      </c>
      <c r="D2455">
        <v>74.431312560999999</v>
      </c>
      <c r="E2455">
        <v>60</v>
      </c>
      <c r="F2455">
        <v>59.979812621999997</v>
      </c>
      <c r="G2455">
        <v>1326.8571777</v>
      </c>
      <c r="H2455">
        <v>1324.6112060999999</v>
      </c>
      <c r="I2455">
        <v>1339.0001221</v>
      </c>
      <c r="J2455">
        <v>1336.6597899999999</v>
      </c>
      <c r="K2455">
        <v>0</v>
      </c>
      <c r="L2455">
        <v>2750</v>
      </c>
      <c r="M2455">
        <v>2750</v>
      </c>
      <c r="N2455">
        <v>0</v>
      </c>
    </row>
    <row r="2456" spans="1:14" x14ac:dyDescent="0.25">
      <c r="A2456">
        <v>1370.766668</v>
      </c>
      <c r="B2456" s="1">
        <f>DATE(2014,1,30) + TIME(18,24,0)</f>
        <v>41669.76666666667</v>
      </c>
      <c r="C2456">
        <v>80</v>
      </c>
      <c r="D2456">
        <v>74.288902282999999</v>
      </c>
      <c r="E2456">
        <v>60</v>
      </c>
      <c r="F2456">
        <v>59.979801178000002</v>
      </c>
      <c r="G2456">
        <v>1326.8211670000001</v>
      </c>
      <c r="H2456">
        <v>1324.5633545000001</v>
      </c>
      <c r="I2456">
        <v>1338.9948730000001</v>
      </c>
      <c r="J2456">
        <v>1336.6580810999999</v>
      </c>
      <c r="K2456">
        <v>0</v>
      </c>
      <c r="L2456">
        <v>2750</v>
      </c>
      <c r="M2456">
        <v>2750</v>
      </c>
      <c r="N2456">
        <v>0</v>
      </c>
    </row>
    <row r="2457" spans="1:14" x14ac:dyDescent="0.25">
      <c r="A2457">
        <v>1372</v>
      </c>
      <c r="B2457" s="1">
        <f>DATE(2014,2,1) + TIME(0,0,0)</f>
        <v>41671</v>
      </c>
      <c r="C2457">
        <v>80</v>
      </c>
      <c r="D2457">
        <v>74.162261963000006</v>
      </c>
      <c r="E2457">
        <v>60</v>
      </c>
      <c r="F2457">
        <v>59.979785919000001</v>
      </c>
      <c r="G2457">
        <v>1326.7857666</v>
      </c>
      <c r="H2457">
        <v>1324.5173339999999</v>
      </c>
      <c r="I2457">
        <v>1338.989624</v>
      </c>
      <c r="J2457">
        <v>1336.6563721</v>
      </c>
      <c r="K2457">
        <v>0</v>
      </c>
      <c r="L2457">
        <v>2750</v>
      </c>
      <c r="M2457">
        <v>2750</v>
      </c>
      <c r="N2457">
        <v>0</v>
      </c>
    </row>
    <row r="2458" spans="1:14" x14ac:dyDescent="0.25">
      <c r="A2458">
        <v>1374.2224430000001</v>
      </c>
      <c r="B2458" s="1">
        <f>DATE(2014,2,3) + TIME(5,20,19)</f>
        <v>41673.222442129627</v>
      </c>
      <c r="C2458">
        <v>80</v>
      </c>
      <c r="D2458">
        <v>74.053390503000003</v>
      </c>
      <c r="E2458">
        <v>60</v>
      </c>
      <c r="F2458">
        <v>59.979785919000001</v>
      </c>
      <c r="G2458">
        <v>1326.7612305</v>
      </c>
      <c r="H2458">
        <v>1324.4821777</v>
      </c>
      <c r="I2458">
        <v>1338.9868164</v>
      </c>
      <c r="J2458">
        <v>1336.6553954999999</v>
      </c>
      <c r="K2458">
        <v>0</v>
      </c>
      <c r="L2458">
        <v>2750</v>
      </c>
      <c r="M2458">
        <v>2750</v>
      </c>
      <c r="N2458">
        <v>0</v>
      </c>
    </row>
    <row r="2459" spans="1:14" x14ac:dyDescent="0.25">
      <c r="A2459">
        <v>1376.541138</v>
      </c>
      <c r="B2459" s="1">
        <f>DATE(2014,2,5) + TIME(12,59,14)</f>
        <v>41675.541134259256</v>
      </c>
      <c r="C2459">
        <v>80</v>
      </c>
      <c r="D2459">
        <v>73.910644531000003</v>
      </c>
      <c r="E2459">
        <v>60</v>
      </c>
      <c r="F2459">
        <v>59.979778289999999</v>
      </c>
      <c r="G2459">
        <v>1326.729126</v>
      </c>
      <c r="H2459">
        <v>1324.4412841999999</v>
      </c>
      <c r="I2459">
        <v>1338.9816894999999</v>
      </c>
      <c r="J2459">
        <v>1336.6536865</v>
      </c>
      <c r="K2459">
        <v>0</v>
      </c>
      <c r="L2459">
        <v>2750</v>
      </c>
      <c r="M2459">
        <v>2750</v>
      </c>
      <c r="N2459">
        <v>0</v>
      </c>
    </row>
    <row r="2460" spans="1:14" x14ac:dyDescent="0.25">
      <c r="A2460">
        <v>1378.940795</v>
      </c>
      <c r="B2460" s="1">
        <f>DATE(2014,2,7) + TIME(22,34,44)</f>
        <v>41677.940787037034</v>
      </c>
      <c r="C2460">
        <v>80</v>
      </c>
      <c r="D2460">
        <v>73.755996703999998</v>
      </c>
      <c r="E2460">
        <v>60</v>
      </c>
      <c r="F2460">
        <v>59.97977066</v>
      </c>
      <c r="G2460">
        <v>1326.6939697</v>
      </c>
      <c r="H2460">
        <v>1324.3953856999999</v>
      </c>
      <c r="I2460">
        <v>1338.9764404</v>
      </c>
      <c r="J2460">
        <v>1336.6519774999999</v>
      </c>
      <c r="K2460">
        <v>0</v>
      </c>
      <c r="L2460">
        <v>2750</v>
      </c>
      <c r="M2460">
        <v>2750</v>
      </c>
      <c r="N2460">
        <v>0</v>
      </c>
    </row>
    <row r="2461" spans="1:14" x14ac:dyDescent="0.25">
      <c r="A2461">
        <v>1381.439758</v>
      </c>
      <c r="B2461" s="1">
        <f>DATE(2014,2,10) + TIME(10,33,15)</f>
        <v>41680.439756944441</v>
      </c>
      <c r="C2461">
        <v>80</v>
      </c>
      <c r="D2461">
        <v>73.594039917000003</v>
      </c>
      <c r="E2461">
        <v>60</v>
      </c>
      <c r="F2461">
        <v>59.979763030999997</v>
      </c>
      <c r="G2461">
        <v>1326.6578368999999</v>
      </c>
      <c r="H2461">
        <v>1324.3477783000001</v>
      </c>
      <c r="I2461">
        <v>1338.9710693</v>
      </c>
      <c r="J2461">
        <v>1336.6501464999999</v>
      </c>
      <c r="K2461">
        <v>0</v>
      </c>
      <c r="L2461">
        <v>2750</v>
      </c>
      <c r="M2461">
        <v>2750</v>
      </c>
      <c r="N2461">
        <v>0</v>
      </c>
    </row>
    <row r="2462" spans="1:14" x14ac:dyDescent="0.25">
      <c r="A2462">
        <v>1384.005891</v>
      </c>
      <c r="B2462" s="1">
        <f>DATE(2014,2,13) + TIME(0,8,29)</f>
        <v>41683.005891203706</v>
      </c>
      <c r="C2462">
        <v>80</v>
      </c>
      <c r="D2462">
        <v>73.424949646000002</v>
      </c>
      <c r="E2462">
        <v>60</v>
      </c>
      <c r="F2462">
        <v>59.979755402000002</v>
      </c>
      <c r="G2462">
        <v>1326.6209716999999</v>
      </c>
      <c r="H2462">
        <v>1324.2993164</v>
      </c>
      <c r="I2462">
        <v>1338.9656981999999</v>
      </c>
      <c r="J2462">
        <v>1336.6483154</v>
      </c>
      <c r="K2462">
        <v>0</v>
      </c>
      <c r="L2462">
        <v>2750</v>
      </c>
      <c r="M2462">
        <v>2750</v>
      </c>
      <c r="N2462">
        <v>0</v>
      </c>
    </row>
    <row r="2463" spans="1:14" x14ac:dyDescent="0.25">
      <c r="A2463">
        <v>1386.6200349999999</v>
      </c>
      <c r="B2463" s="1">
        <f>DATE(2014,2,15) + TIME(14,52,50)</f>
        <v>41685.620023148149</v>
      </c>
      <c r="C2463">
        <v>80</v>
      </c>
      <c r="D2463">
        <v>73.250450134000005</v>
      </c>
      <c r="E2463">
        <v>60</v>
      </c>
      <c r="F2463">
        <v>59.979747772000003</v>
      </c>
      <c r="G2463">
        <v>1326.5837402</v>
      </c>
      <c r="H2463">
        <v>1324.2503661999999</v>
      </c>
      <c r="I2463">
        <v>1338.9602050999999</v>
      </c>
      <c r="J2463">
        <v>1336.6463623</v>
      </c>
      <c r="K2463">
        <v>0</v>
      </c>
      <c r="L2463">
        <v>2750</v>
      </c>
      <c r="M2463">
        <v>2750</v>
      </c>
      <c r="N2463">
        <v>0</v>
      </c>
    </row>
    <row r="2464" spans="1:14" x14ac:dyDescent="0.25">
      <c r="A2464">
        <v>1389.329508</v>
      </c>
      <c r="B2464" s="1">
        <f>DATE(2014,2,18) + TIME(7,54,29)</f>
        <v>41688.329502314817</v>
      </c>
      <c r="C2464">
        <v>80</v>
      </c>
      <c r="D2464">
        <v>73.071144103999998</v>
      </c>
      <c r="E2464">
        <v>60</v>
      </c>
      <c r="F2464">
        <v>59.979740143000001</v>
      </c>
      <c r="G2464">
        <v>1326.5466309000001</v>
      </c>
      <c r="H2464">
        <v>1324.2014160000001</v>
      </c>
      <c r="I2464">
        <v>1338.9548339999999</v>
      </c>
      <c r="J2464">
        <v>1336.6445312000001</v>
      </c>
      <c r="K2464">
        <v>0</v>
      </c>
      <c r="L2464">
        <v>2750</v>
      </c>
      <c r="M2464">
        <v>2750</v>
      </c>
      <c r="N2464">
        <v>0</v>
      </c>
    </row>
    <row r="2465" spans="1:14" x14ac:dyDescent="0.25">
      <c r="A2465">
        <v>1392.0869</v>
      </c>
      <c r="B2465" s="1">
        <f>DATE(2014,2,21) + TIME(2,5,8)</f>
        <v>41691.086898148147</v>
      </c>
      <c r="C2465">
        <v>80</v>
      </c>
      <c r="D2465">
        <v>72.885345459000007</v>
      </c>
      <c r="E2465">
        <v>60</v>
      </c>
      <c r="F2465">
        <v>59.979736328000001</v>
      </c>
      <c r="G2465">
        <v>1326.5091553</v>
      </c>
      <c r="H2465">
        <v>1324.1520995999999</v>
      </c>
      <c r="I2465">
        <v>1338.9492187999999</v>
      </c>
      <c r="J2465">
        <v>1336.6425781</v>
      </c>
      <c r="K2465">
        <v>0</v>
      </c>
      <c r="L2465">
        <v>2750</v>
      </c>
      <c r="M2465">
        <v>2750</v>
      </c>
      <c r="N2465">
        <v>0</v>
      </c>
    </row>
    <row r="2466" spans="1:14" x14ac:dyDescent="0.25">
      <c r="A2466">
        <v>1394.878741</v>
      </c>
      <c r="B2466" s="1">
        <f>DATE(2014,2,23) + TIME(21,5,23)</f>
        <v>41693.878738425927</v>
      </c>
      <c r="C2466">
        <v>80</v>
      </c>
      <c r="D2466">
        <v>72.695098877000007</v>
      </c>
      <c r="E2466">
        <v>60</v>
      </c>
      <c r="F2466">
        <v>59.979728698999999</v>
      </c>
      <c r="G2466">
        <v>1326.4716797000001</v>
      </c>
      <c r="H2466">
        <v>1324.1029053</v>
      </c>
      <c r="I2466">
        <v>1338.9437256000001</v>
      </c>
      <c r="J2466">
        <v>1336.6405029</v>
      </c>
      <c r="K2466">
        <v>0</v>
      </c>
      <c r="L2466">
        <v>2750</v>
      </c>
      <c r="M2466">
        <v>2750</v>
      </c>
      <c r="N2466">
        <v>0</v>
      </c>
    </row>
    <row r="2467" spans="1:14" x14ac:dyDescent="0.25">
      <c r="A2467">
        <v>1397.714502</v>
      </c>
      <c r="B2467" s="1">
        <f>DATE(2014,2,26) + TIME(17,8,52)</f>
        <v>41696.714490740742</v>
      </c>
      <c r="C2467">
        <v>80</v>
      </c>
      <c r="D2467">
        <v>72.501281738000003</v>
      </c>
      <c r="E2467">
        <v>60</v>
      </c>
      <c r="F2467">
        <v>59.979724883999999</v>
      </c>
      <c r="G2467">
        <v>1326.4345702999999</v>
      </c>
      <c r="H2467">
        <v>1324.0539550999999</v>
      </c>
      <c r="I2467">
        <v>1338.9383545000001</v>
      </c>
      <c r="J2467">
        <v>1336.6385498</v>
      </c>
      <c r="K2467">
        <v>0</v>
      </c>
      <c r="L2467">
        <v>2750</v>
      </c>
      <c r="M2467">
        <v>2750</v>
      </c>
      <c r="N2467">
        <v>0</v>
      </c>
    </row>
    <row r="2468" spans="1:14" x14ac:dyDescent="0.25">
      <c r="A2468">
        <v>1400</v>
      </c>
      <c r="B2468" s="1">
        <f>DATE(2014,3,1) + TIME(0,0,0)</f>
        <v>41699</v>
      </c>
      <c r="C2468">
        <v>80</v>
      </c>
      <c r="D2468">
        <v>72.310516356999997</v>
      </c>
      <c r="E2468">
        <v>60</v>
      </c>
      <c r="F2468">
        <v>59.979717254999997</v>
      </c>
      <c r="G2468">
        <v>1326.3978271000001</v>
      </c>
      <c r="H2468">
        <v>1324.0058594</v>
      </c>
      <c r="I2468">
        <v>1338.9328613</v>
      </c>
      <c r="J2468">
        <v>1336.6364745999999</v>
      </c>
      <c r="K2468">
        <v>0</v>
      </c>
      <c r="L2468">
        <v>2750</v>
      </c>
      <c r="M2468">
        <v>2750</v>
      </c>
      <c r="N2468">
        <v>0</v>
      </c>
    </row>
    <row r="2469" spans="1:14" x14ac:dyDescent="0.25">
      <c r="A2469">
        <v>1402.8788970000001</v>
      </c>
      <c r="B2469" s="1">
        <f>DATE(2014,3,3) + TIME(21,5,36)</f>
        <v>41701.878888888888</v>
      </c>
      <c r="C2469">
        <v>80</v>
      </c>
      <c r="D2469">
        <v>72.138618468999994</v>
      </c>
      <c r="E2469">
        <v>60</v>
      </c>
      <c r="F2469">
        <v>59.979717254999997</v>
      </c>
      <c r="G2469">
        <v>1326.3664550999999</v>
      </c>
      <c r="H2469">
        <v>1323.9631348</v>
      </c>
      <c r="I2469">
        <v>1338.9285889</v>
      </c>
      <c r="J2469">
        <v>1336.6348877</v>
      </c>
      <c r="K2469">
        <v>0</v>
      </c>
      <c r="L2469">
        <v>2750</v>
      </c>
      <c r="M2469">
        <v>2750</v>
      </c>
      <c r="N2469">
        <v>0</v>
      </c>
    </row>
    <row r="2470" spans="1:14" x14ac:dyDescent="0.25">
      <c r="A2470">
        <v>1405.8959669999999</v>
      </c>
      <c r="B2470" s="1">
        <f>DATE(2014,3,6) + TIME(21,30,11)</f>
        <v>41704.895960648151</v>
      </c>
      <c r="C2470">
        <v>80</v>
      </c>
      <c r="D2470">
        <v>71.938743591000005</v>
      </c>
      <c r="E2470">
        <v>60</v>
      </c>
      <c r="F2470">
        <v>59.979713439999998</v>
      </c>
      <c r="G2470">
        <v>1326.3323975000001</v>
      </c>
      <c r="H2470">
        <v>1323.9191894999999</v>
      </c>
      <c r="I2470">
        <v>1338.9232178</v>
      </c>
      <c r="J2470">
        <v>1336.6328125</v>
      </c>
      <c r="K2470">
        <v>0</v>
      </c>
      <c r="L2470">
        <v>2750</v>
      </c>
      <c r="M2470">
        <v>2750</v>
      </c>
      <c r="N2470">
        <v>0</v>
      </c>
    </row>
    <row r="2471" spans="1:14" x14ac:dyDescent="0.25">
      <c r="A2471">
        <v>1409.0233900000001</v>
      </c>
      <c r="B2471" s="1">
        <f>DATE(2014,3,10) + TIME(0,33,40)</f>
        <v>41708.023379629631</v>
      </c>
      <c r="C2471">
        <v>80</v>
      </c>
      <c r="D2471">
        <v>71.725730896000002</v>
      </c>
      <c r="E2471">
        <v>60</v>
      </c>
      <c r="F2471">
        <v>59.979713439999998</v>
      </c>
      <c r="G2471">
        <v>1326.2963867000001</v>
      </c>
      <c r="H2471">
        <v>1323.8720702999999</v>
      </c>
      <c r="I2471">
        <v>1338.9178466999999</v>
      </c>
      <c r="J2471">
        <v>1336.6307373</v>
      </c>
      <c r="K2471">
        <v>0</v>
      </c>
      <c r="L2471">
        <v>2750</v>
      </c>
      <c r="M2471">
        <v>2750</v>
      </c>
      <c r="N2471">
        <v>0</v>
      </c>
    </row>
    <row r="2472" spans="1:14" x14ac:dyDescent="0.25">
      <c r="A2472">
        <v>1412.305462</v>
      </c>
      <c r="B2472" s="1">
        <f>DATE(2014,3,13) + TIME(7,19,51)</f>
        <v>41711.305451388886</v>
      </c>
      <c r="C2472">
        <v>80</v>
      </c>
      <c r="D2472">
        <v>71.502784728999998</v>
      </c>
      <c r="E2472">
        <v>60</v>
      </c>
      <c r="F2472">
        <v>59.979713439999998</v>
      </c>
      <c r="G2472">
        <v>1326.2597656</v>
      </c>
      <c r="H2472">
        <v>1323.8239745999999</v>
      </c>
      <c r="I2472">
        <v>1338.9122314000001</v>
      </c>
      <c r="J2472">
        <v>1336.6285399999999</v>
      </c>
      <c r="K2472">
        <v>0</v>
      </c>
      <c r="L2472">
        <v>2750</v>
      </c>
      <c r="M2472">
        <v>2750</v>
      </c>
      <c r="N2472">
        <v>0</v>
      </c>
    </row>
    <row r="2473" spans="1:14" x14ac:dyDescent="0.25">
      <c r="A2473">
        <v>1415.683708</v>
      </c>
      <c r="B2473" s="1">
        <f>DATE(2014,3,16) + TIME(16,24,32)</f>
        <v>41714.683703703704</v>
      </c>
      <c r="C2473">
        <v>80</v>
      </c>
      <c r="D2473">
        <v>71.267990112000007</v>
      </c>
      <c r="E2473">
        <v>60</v>
      </c>
      <c r="F2473">
        <v>59.979709624999998</v>
      </c>
      <c r="G2473">
        <v>1326.2222899999999</v>
      </c>
      <c r="H2473">
        <v>1323.7749022999999</v>
      </c>
      <c r="I2473">
        <v>1338.9064940999999</v>
      </c>
      <c r="J2473">
        <v>1336.6262207</v>
      </c>
      <c r="K2473">
        <v>0</v>
      </c>
      <c r="L2473">
        <v>2750</v>
      </c>
      <c r="M2473">
        <v>2750</v>
      </c>
      <c r="N2473">
        <v>0</v>
      </c>
    </row>
    <row r="2474" spans="1:14" x14ac:dyDescent="0.25">
      <c r="A2474">
        <v>1419.184751</v>
      </c>
      <c r="B2474" s="1">
        <f>DATE(2014,3,20) + TIME(4,26,2)</f>
        <v>41718.184745370374</v>
      </c>
      <c r="C2474">
        <v>80</v>
      </c>
      <c r="D2474">
        <v>71.024238585999996</v>
      </c>
      <c r="E2474">
        <v>60</v>
      </c>
      <c r="F2474">
        <v>59.979713439999998</v>
      </c>
      <c r="G2474">
        <v>1326.1845702999999</v>
      </c>
      <c r="H2474">
        <v>1323.7253418</v>
      </c>
      <c r="I2474">
        <v>1338.9007568</v>
      </c>
      <c r="J2474">
        <v>1336.6239014</v>
      </c>
      <c r="K2474">
        <v>0</v>
      </c>
      <c r="L2474">
        <v>2750</v>
      </c>
      <c r="M2474">
        <v>2750</v>
      </c>
      <c r="N2474">
        <v>0</v>
      </c>
    </row>
    <row r="2475" spans="1:14" x14ac:dyDescent="0.25">
      <c r="A2475">
        <v>1422.8126669999999</v>
      </c>
      <c r="B2475" s="1">
        <f>DATE(2014,3,23) + TIME(19,30,14)</f>
        <v>41721.812662037039</v>
      </c>
      <c r="C2475">
        <v>80</v>
      </c>
      <c r="D2475">
        <v>70.769844054999993</v>
      </c>
      <c r="E2475">
        <v>60</v>
      </c>
      <c r="F2475">
        <v>59.979713439999998</v>
      </c>
      <c r="G2475">
        <v>1326.1467285000001</v>
      </c>
      <c r="H2475">
        <v>1323.6755370999999</v>
      </c>
      <c r="I2475">
        <v>1338.8948975000001</v>
      </c>
      <c r="J2475">
        <v>1336.6214600000001</v>
      </c>
      <c r="K2475">
        <v>0</v>
      </c>
      <c r="L2475">
        <v>2750</v>
      </c>
      <c r="M2475">
        <v>2750</v>
      </c>
      <c r="N2475">
        <v>0</v>
      </c>
    </row>
    <row r="2476" spans="1:14" x14ac:dyDescent="0.25">
      <c r="A2476">
        <v>1426.452135</v>
      </c>
      <c r="B2476" s="1">
        <f>DATE(2014,3,27) + TIME(10,51,4)</f>
        <v>41725.45212962963</v>
      </c>
      <c r="C2476">
        <v>80</v>
      </c>
      <c r="D2476">
        <v>70.505302428999997</v>
      </c>
      <c r="E2476">
        <v>60</v>
      </c>
      <c r="F2476">
        <v>59.979713439999998</v>
      </c>
      <c r="G2476">
        <v>1326.1085204999999</v>
      </c>
      <c r="H2476">
        <v>1323.6253661999999</v>
      </c>
      <c r="I2476">
        <v>1338.8889160000001</v>
      </c>
      <c r="J2476">
        <v>1336.6188964999999</v>
      </c>
      <c r="K2476">
        <v>0</v>
      </c>
      <c r="L2476">
        <v>2750</v>
      </c>
      <c r="M2476">
        <v>2750</v>
      </c>
      <c r="N2476">
        <v>0</v>
      </c>
    </row>
    <row r="2477" spans="1:14" x14ac:dyDescent="0.25">
      <c r="A2477">
        <v>1430.1126529999999</v>
      </c>
      <c r="B2477" s="1">
        <f>DATE(2014,3,31) + TIME(2,42,13)</f>
        <v>41729.112650462965</v>
      </c>
      <c r="C2477">
        <v>80</v>
      </c>
      <c r="D2477">
        <v>70.236686707000004</v>
      </c>
      <c r="E2477">
        <v>60</v>
      </c>
      <c r="F2477">
        <v>59.979717254999997</v>
      </c>
      <c r="G2477">
        <v>1326.0709228999999</v>
      </c>
      <c r="H2477">
        <v>1323.5759277</v>
      </c>
      <c r="I2477">
        <v>1338.8829346</v>
      </c>
      <c r="J2477">
        <v>1336.6164550999999</v>
      </c>
      <c r="K2477">
        <v>0</v>
      </c>
      <c r="L2477">
        <v>2750</v>
      </c>
      <c r="M2477">
        <v>2750</v>
      </c>
      <c r="N2477">
        <v>0</v>
      </c>
    </row>
    <row r="2478" spans="1:14" x14ac:dyDescent="0.25">
      <c r="A2478">
        <v>1431</v>
      </c>
      <c r="B2478" s="1">
        <f>DATE(2014,4,1) + TIME(0,0,0)</f>
        <v>41730</v>
      </c>
      <c r="C2478">
        <v>80</v>
      </c>
      <c r="D2478">
        <v>70.035522460999999</v>
      </c>
      <c r="E2478">
        <v>60</v>
      </c>
      <c r="F2478">
        <v>59.979701996000003</v>
      </c>
      <c r="G2478">
        <v>1326.0345459</v>
      </c>
      <c r="H2478">
        <v>1323.5301514</v>
      </c>
      <c r="I2478">
        <v>1338.8771973</v>
      </c>
      <c r="J2478">
        <v>1336.6137695</v>
      </c>
      <c r="K2478">
        <v>0</v>
      </c>
      <c r="L2478">
        <v>2750</v>
      </c>
      <c r="M2478">
        <v>2750</v>
      </c>
      <c r="N2478">
        <v>0</v>
      </c>
    </row>
    <row r="2479" spans="1:14" x14ac:dyDescent="0.25">
      <c r="A2479">
        <v>1434.7172889999999</v>
      </c>
      <c r="B2479" s="1">
        <f>DATE(2014,4,4) + TIME(17,12,53)</f>
        <v>41733.717280092591</v>
      </c>
      <c r="C2479">
        <v>80</v>
      </c>
      <c r="D2479">
        <v>69.881401061999995</v>
      </c>
      <c r="E2479">
        <v>60</v>
      </c>
      <c r="F2479">
        <v>59.979717254999997</v>
      </c>
      <c r="G2479">
        <v>1326.0195312000001</v>
      </c>
      <c r="H2479">
        <v>1323.5043945</v>
      </c>
      <c r="I2479">
        <v>1338.8758545000001</v>
      </c>
      <c r="J2479">
        <v>1336.6132812000001</v>
      </c>
      <c r="K2479">
        <v>0</v>
      </c>
      <c r="L2479">
        <v>2750</v>
      </c>
      <c r="M2479">
        <v>2750</v>
      </c>
      <c r="N2479">
        <v>0</v>
      </c>
    </row>
    <row r="2480" spans="1:14" x14ac:dyDescent="0.25">
      <c r="A2480">
        <v>1438.5564010000001</v>
      </c>
      <c r="B2480" s="1">
        <f>DATE(2014,4,8) + TIME(13,21,13)</f>
        <v>41737.556400462963</v>
      </c>
      <c r="C2480">
        <v>80</v>
      </c>
      <c r="D2480">
        <v>69.613777161000002</v>
      </c>
      <c r="E2480">
        <v>60</v>
      </c>
      <c r="F2480">
        <v>59.979724883999999</v>
      </c>
      <c r="G2480">
        <v>1325.9891356999999</v>
      </c>
      <c r="H2480">
        <v>1323.4672852000001</v>
      </c>
      <c r="I2480">
        <v>1338.8701172000001</v>
      </c>
      <c r="J2480">
        <v>1336.6107178</v>
      </c>
      <c r="K2480">
        <v>0</v>
      </c>
      <c r="L2480">
        <v>2750</v>
      </c>
      <c r="M2480">
        <v>2750</v>
      </c>
      <c r="N2480">
        <v>0</v>
      </c>
    </row>
    <row r="2481" spans="1:14" x14ac:dyDescent="0.25">
      <c r="A2481">
        <v>1442.5322960000001</v>
      </c>
      <c r="B2481" s="1">
        <f>DATE(2014,4,12) + TIME(12,46,30)</f>
        <v>41741.53229166667</v>
      </c>
      <c r="C2481">
        <v>80</v>
      </c>
      <c r="D2481">
        <v>69.322708129999995</v>
      </c>
      <c r="E2481">
        <v>60</v>
      </c>
      <c r="F2481">
        <v>59.979728698999999</v>
      </c>
      <c r="G2481">
        <v>1325.9543457</v>
      </c>
      <c r="H2481">
        <v>1323.4217529</v>
      </c>
      <c r="I2481">
        <v>1338.8642577999999</v>
      </c>
      <c r="J2481">
        <v>1336.6080322</v>
      </c>
      <c r="K2481">
        <v>0</v>
      </c>
      <c r="L2481">
        <v>2750</v>
      </c>
      <c r="M2481">
        <v>2750</v>
      </c>
      <c r="N2481">
        <v>0</v>
      </c>
    </row>
    <row r="2482" spans="1:14" x14ac:dyDescent="0.25">
      <c r="A2482">
        <v>1446.6415300000001</v>
      </c>
      <c r="B2482" s="1">
        <f>DATE(2014,4,16) + TIME(15,23,48)</f>
        <v>41745.641527777778</v>
      </c>
      <c r="C2482">
        <v>80</v>
      </c>
      <c r="D2482">
        <v>69.019393921000002</v>
      </c>
      <c r="E2482">
        <v>60</v>
      </c>
      <c r="F2482">
        <v>59.979736328000001</v>
      </c>
      <c r="G2482">
        <v>1325.9190673999999</v>
      </c>
      <c r="H2482">
        <v>1323.3753661999999</v>
      </c>
      <c r="I2482">
        <v>1338.8582764</v>
      </c>
      <c r="J2482">
        <v>1336.6053466999999</v>
      </c>
      <c r="K2482">
        <v>0</v>
      </c>
      <c r="L2482">
        <v>2750</v>
      </c>
      <c r="M2482">
        <v>2750</v>
      </c>
      <c r="N2482">
        <v>0</v>
      </c>
    </row>
    <row r="2483" spans="1:14" x14ac:dyDescent="0.25">
      <c r="A2483">
        <v>1450.9178509999999</v>
      </c>
      <c r="B2483" s="1">
        <f>DATE(2014,4,20) + TIME(22,1,42)</f>
        <v>41749.917847222219</v>
      </c>
      <c r="C2483">
        <v>80</v>
      </c>
      <c r="D2483">
        <v>68.699401855000005</v>
      </c>
      <c r="E2483">
        <v>60</v>
      </c>
      <c r="F2483">
        <v>59.979743958</v>
      </c>
      <c r="G2483">
        <v>1325.8839111</v>
      </c>
      <c r="H2483">
        <v>1323.3289795000001</v>
      </c>
      <c r="I2483">
        <v>1338.8522949000001</v>
      </c>
      <c r="J2483">
        <v>1336.6024170000001</v>
      </c>
      <c r="K2483">
        <v>0</v>
      </c>
      <c r="L2483">
        <v>2750</v>
      </c>
      <c r="M2483">
        <v>2750</v>
      </c>
      <c r="N2483">
        <v>0</v>
      </c>
    </row>
    <row r="2484" spans="1:14" x14ac:dyDescent="0.25">
      <c r="A2484">
        <v>1455.4316249999999</v>
      </c>
      <c r="B2484" s="1">
        <f>DATE(2014,4,25) + TIME(10,21,32)</f>
        <v>41754.431620370371</v>
      </c>
      <c r="C2484">
        <v>80</v>
      </c>
      <c r="D2484">
        <v>68.369186400999993</v>
      </c>
      <c r="E2484">
        <v>60</v>
      </c>
      <c r="F2484">
        <v>59.979751587000003</v>
      </c>
      <c r="G2484">
        <v>1325.8487548999999</v>
      </c>
      <c r="H2484">
        <v>1323.2825928</v>
      </c>
      <c r="I2484">
        <v>1338.8460693</v>
      </c>
      <c r="J2484">
        <v>1336.5994873</v>
      </c>
      <c r="K2484">
        <v>0</v>
      </c>
      <c r="L2484">
        <v>2750</v>
      </c>
      <c r="M2484">
        <v>2750</v>
      </c>
      <c r="N2484">
        <v>0</v>
      </c>
    </row>
    <row r="2485" spans="1:14" x14ac:dyDescent="0.25">
      <c r="A2485">
        <v>1460.112126</v>
      </c>
      <c r="B2485" s="1">
        <f>DATE(2014,4,30) + TIME(2,41,27)</f>
        <v>41759.112118055556</v>
      </c>
      <c r="C2485">
        <v>80</v>
      </c>
      <c r="D2485">
        <v>68.011314392000003</v>
      </c>
      <c r="E2485">
        <v>60</v>
      </c>
      <c r="F2485">
        <v>59.979763030999997</v>
      </c>
      <c r="G2485">
        <v>1325.8134766000001</v>
      </c>
      <c r="H2485">
        <v>1323.2360839999999</v>
      </c>
      <c r="I2485">
        <v>1338.8397216999999</v>
      </c>
      <c r="J2485">
        <v>1336.5964355000001</v>
      </c>
      <c r="K2485">
        <v>0</v>
      </c>
      <c r="L2485">
        <v>2750</v>
      </c>
      <c r="M2485">
        <v>2750</v>
      </c>
      <c r="N2485">
        <v>0</v>
      </c>
    </row>
    <row r="2486" spans="1:14" x14ac:dyDescent="0.25">
      <c r="A2486">
        <v>1461</v>
      </c>
      <c r="B2486" s="1">
        <f>DATE(2014,5,1) + TIME(0,0,0)</f>
        <v>41760</v>
      </c>
      <c r="C2486">
        <v>80</v>
      </c>
      <c r="D2486">
        <v>67.749191284000005</v>
      </c>
      <c r="E2486">
        <v>60</v>
      </c>
      <c r="F2486">
        <v>59.979751587000003</v>
      </c>
      <c r="G2486">
        <v>1325.777832</v>
      </c>
      <c r="H2486">
        <v>1323.1925048999999</v>
      </c>
      <c r="I2486">
        <v>1338.8331298999999</v>
      </c>
      <c r="J2486">
        <v>1336.5931396000001</v>
      </c>
      <c r="K2486">
        <v>0</v>
      </c>
      <c r="L2486">
        <v>2750</v>
      </c>
      <c r="M2486">
        <v>2750</v>
      </c>
      <c r="N2486">
        <v>0</v>
      </c>
    </row>
    <row r="2487" spans="1:14" x14ac:dyDescent="0.25">
      <c r="A2487">
        <v>1461.0000010000001</v>
      </c>
      <c r="B2487" s="1">
        <f>DATE(2014,5,1) + TIME(0,0,0)</f>
        <v>41760</v>
      </c>
      <c r="C2487">
        <v>80</v>
      </c>
      <c r="D2487">
        <v>67.749359131000006</v>
      </c>
      <c r="E2487">
        <v>60</v>
      </c>
      <c r="F2487">
        <v>59.979656218999999</v>
      </c>
      <c r="G2487">
        <v>1329.3156738</v>
      </c>
      <c r="H2487">
        <v>1326.8317870999999</v>
      </c>
      <c r="I2487">
        <v>1335.8703613</v>
      </c>
      <c r="J2487">
        <v>1334.3404541</v>
      </c>
      <c r="K2487">
        <v>2750</v>
      </c>
      <c r="L2487">
        <v>0</v>
      </c>
      <c r="M2487">
        <v>0</v>
      </c>
      <c r="N2487">
        <v>2750</v>
      </c>
    </row>
    <row r="2488" spans="1:14" x14ac:dyDescent="0.25">
      <c r="A2488">
        <v>1461.000004</v>
      </c>
      <c r="B2488" s="1">
        <f>DATE(2014,5,1) + TIME(0,0,0)</f>
        <v>41760</v>
      </c>
      <c r="C2488">
        <v>80</v>
      </c>
      <c r="D2488">
        <v>67.749626160000005</v>
      </c>
      <c r="E2488">
        <v>60</v>
      </c>
      <c r="F2488">
        <v>59.979515075999998</v>
      </c>
      <c r="G2488">
        <v>1330.6444091999999</v>
      </c>
      <c r="H2488">
        <v>1328.2746582</v>
      </c>
      <c r="I2488">
        <v>1334.8050536999999</v>
      </c>
      <c r="J2488">
        <v>1333.2753906</v>
      </c>
      <c r="K2488">
        <v>2750</v>
      </c>
      <c r="L2488">
        <v>0</v>
      </c>
      <c r="M2488">
        <v>0</v>
      </c>
      <c r="N2488">
        <v>2750</v>
      </c>
    </row>
    <row r="2489" spans="1:14" x14ac:dyDescent="0.25">
      <c r="A2489">
        <v>1461.0000130000001</v>
      </c>
      <c r="B2489" s="1">
        <f>DATE(2014,5,1) + TIME(0,0,1)</f>
        <v>41760.000011574077</v>
      </c>
      <c r="C2489">
        <v>80</v>
      </c>
      <c r="D2489">
        <v>67.750053406000006</v>
      </c>
      <c r="E2489">
        <v>60</v>
      </c>
      <c r="F2489">
        <v>59.979362488</v>
      </c>
      <c r="G2489">
        <v>1332.2103271000001</v>
      </c>
      <c r="H2489">
        <v>1329.8127440999999</v>
      </c>
      <c r="I2489">
        <v>1333.6490478999999</v>
      </c>
      <c r="J2489">
        <v>1332.1191406</v>
      </c>
      <c r="K2489">
        <v>2750</v>
      </c>
      <c r="L2489">
        <v>0</v>
      </c>
      <c r="M2489">
        <v>0</v>
      </c>
      <c r="N2489">
        <v>2750</v>
      </c>
    </row>
    <row r="2490" spans="1:14" x14ac:dyDescent="0.25">
      <c r="A2490">
        <v>1461.0000399999999</v>
      </c>
      <c r="B2490" s="1">
        <f>DATE(2014,5,1) + TIME(0,0,3)</f>
        <v>41760.000034722223</v>
      </c>
      <c r="C2490">
        <v>80</v>
      </c>
      <c r="D2490">
        <v>67.750923157000003</v>
      </c>
      <c r="E2490">
        <v>60</v>
      </c>
      <c r="F2490">
        <v>59.979209900000001</v>
      </c>
      <c r="G2490">
        <v>1333.7818603999999</v>
      </c>
      <c r="H2490">
        <v>1331.3242187999999</v>
      </c>
      <c r="I2490">
        <v>1332.5281981999999</v>
      </c>
      <c r="J2490">
        <v>1330.9936522999999</v>
      </c>
      <c r="K2490">
        <v>2750</v>
      </c>
      <c r="L2490">
        <v>0</v>
      </c>
      <c r="M2490">
        <v>0</v>
      </c>
      <c r="N2490">
        <v>2750</v>
      </c>
    </row>
    <row r="2491" spans="1:14" x14ac:dyDescent="0.25">
      <c r="A2491">
        <v>1461.000121</v>
      </c>
      <c r="B2491" s="1">
        <f>DATE(2014,5,1) + TIME(0,0,10)</f>
        <v>41760.000115740739</v>
      </c>
      <c r="C2491">
        <v>80</v>
      </c>
      <c r="D2491">
        <v>67.753189086999996</v>
      </c>
      <c r="E2491">
        <v>60</v>
      </c>
      <c r="F2491">
        <v>59.979057312000002</v>
      </c>
      <c r="G2491">
        <v>1335.3188477000001</v>
      </c>
      <c r="H2491">
        <v>1332.8037108999999</v>
      </c>
      <c r="I2491">
        <v>1331.4111327999999</v>
      </c>
      <c r="J2491">
        <v>1329.8568115</v>
      </c>
      <c r="K2491">
        <v>2750</v>
      </c>
      <c r="L2491">
        <v>0</v>
      </c>
      <c r="M2491">
        <v>0</v>
      </c>
      <c r="N2491">
        <v>2750</v>
      </c>
    </row>
    <row r="2492" spans="1:14" x14ac:dyDescent="0.25">
      <c r="A2492">
        <v>1461.000364</v>
      </c>
      <c r="B2492" s="1">
        <f>DATE(2014,5,1) + TIME(0,0,31)</f>
        <v>41760.000358796293</v>
      </c>
      <c r="C2492">
        <v>80</v>
      </c>
      <c r="D2492">
        <v>67.759704589999998</v>
      </c>
      <c r="E2492">
        <v>60</v>
      </c>
      <c r="F2492">
        <v>59.978878021</v>
      </c>
      <c r="G2492">
        <v>1336.8203125</v>
      </c>
      <c r="H2492">
        <v>1334.2434082</v>
      </c>
      <c r="I2492">
        <v>1330.2528076000001</v>
      </c>
      <c r="J2492">
        <v>1328.6557617000001</v>
      </c>
      <c r="K2492">
        <v>2750</v>
      </c>
      <c r="L2492">
        <v>0</v>
      </c>
      <c r="M2492">
        <v>0</v>
      </c>
      <c r="N2492">
        <v>2750</v>
      </c>
    </row>
    <row r="2493" spans="1:14" x14ac:dyDescent="0.25">
      <c r="A2493">
        <v>1461.0010930000001</v>
      </c>
      <c r="B2493" s="1">
        <f>DATE(2014,5,1) + TIME(0,1,34)</f>
        <v>41760.001087962963</v>
      </c>
      <c r="C2493">
        <v>80</v>
      </c>
      <c r="D2493">
        <v>67.779266356999997</v>
      </c>
      <c r="E2493">
        <v>60</v>
      </c>
      <c r="F2493">
        <v>59.978652953999998</v>
      </c>
      <c r="G2493">
        <v>1338.1658935999999</v>
      </c>
      <c r="H2493">
        <v>1335.5285644999999</v>
      </c>
      <c r="I2493">
        <v>1329.1160889</v>
      </c>
      <c r="J2493">
        <v>1327.4703368999999</v>
      </c>
      <c r="K2493">
        <v>2750</v>
      </c>
      <c r="L2493">
        <v>0</v>
      </c>
      <c r="M2493">
        <v>0</v>
      </c>
      <c r="N2493">
        <v>2750</v>
      </c>
    </row>
    <row r="2494" spans="1:14" x14ac:dyDescent="0.25">
      <c r="A2494">
        <v>1461.0032799999999</v>
      </c>
      <c r="B2494" s="1">
        <f>DATE(2014,5,1) + TIME(0,4,43)</f>
        <v>41760.003275462965</v>
      </c>
      <c r="C2494">
        <v>80</v>
      </c>
      <c r="D2494">
        <v>67.838127135999997</v>
      </c>
      <c r="E2494">
        <v>60</v>
      </c>
      <c r="F2494">
        <v>59.978305816999999</v>
      </c>
      <c r="G2494">
        <v>1339.1234131000001</v>
      </c>
      <c r="H2494">
        <v>1336.4495850000001</v>
      </c>
      <c r="I2494">
        <v>1328.2257079999999</v>
      </c>
      <c r="J2494">
        <v>1326.5511475000001</v>
      </c>
      <c r="K2494">
        <v>2750</v>
      </c>
      <c r="L2494">
        <v>0</v>
      </c>
      <c r="M2494">
        <v>0</v>
      </c>
      <c r="N2494">
        <v>2750</v>
      </c>
    </row>
    <row r="2495" spans="1:14" x14ac:dyDescent="0.25">
      <c r="A2495">
        <v>1461.0098410000001</v>
      </c>
      <c r="B2495" s="1">
        <f>DATE(2014,5,1) + TIME(0,14,10)</f>
        <v>41760.009837962964</v>
      </c>
      <c r="C2495">
        <v>80</v>
      </c>
      <c r="D2495">
        <v>68.012603760000005</v>
      </c>
      <c r="E2495">
        <v>60</v>
      </c>
      <c r="F2495">
        <v>59.977554321</v>
      </c>
      <c r="G2495">
        <v>1339.5895995999999</v>
      </c>
      <c r="H2495">
        <v>1336.9104004000001</v>
      </c>
      <c r="I2495">
        <v>1327.7751464999999</v>
      </c>
      <c r="J2495">
        <v>1326.0914307</v>
      </c>
      <c r="K2495">
        <v>2750</v>
      </c>
      <c r="L2495">
        <v>0</v>
      </c>
      <c r="M2495">
        <v>0</v>
      </c>
      <c r="N2495">
        <v>2750</v>
      </c>
    </row>
    <row r="2496" spans="1:14" x14ac:dyDescent="0.25">
      <c r="A2496">
        <v>1461.0281749999999</v>
      </c>
      <c r="B2496" s="1">
        <f>DATE(2014,5,1) + TIME(0,40,34)</f>
        <v>41760.028171296297</v>
      </c>
      <c r="C2496">
        <v>80</v>
      </c>
      <c r="D2496">
        <v>68.480407714999998</v>
      </c>
      <c r="E2496">
        <v>60</v>
      </c>
      <c r="F2496">
        <v>59.975635529000002</v>
      </c>
      <c r="G2496">
        <v>1339.6887207</v>
      </c>
      <c r="H2496">
        <v>1337.0295410000001</v>
      </c>
      <c r="I2496">
        <v>1327.6724853999999</v>
      </c>
      <c r="J2496">
        <v>1325.9870605000001</v>
      </c>
      <c r="K2496">
        <v>2750</v>
      </c>
      <c r="L2496">
        <v>0</v>
      </c>
      <c r="M2496">
        <v>0</v>
      </c>
      <c r="N2496">
        <v>2750</v>
      </c>
    </row>
    <row r="2497" spans="1:14" x14ac:dyDescent="0.25">
      <c r="A2497">
        <v>1461.046828</v>
      </c>
      <c r="B2497" s="1">
        <f>DATE(2014,5,1) + TIME(1,7,25)</f>
        <v>41760.046817129631</v>
      </c>
      <c r="C2497">
        <v>80</v>
      </c>
      <c r="D2497">
        <v>68.939178467000005</v>
      </c>
      <c r="E2497">
        <v>60</v>
      </c>
      <c r="F2497">
        <v>59.973709106000001</v>
      </c>
      <c r="G2497">
        <v>1339.7055664</v>
      </c>
      <c r="H2497">
        <v>1337.0529785000001</v>
      </c>
      <c r="I2497">
        <v>1327.6655272999999</v>
      </c>
      <c r="J2497">
        <v>1325.9799805</v>
      </c>
      <c r="K2497">
        <v>2750</v>
      </c>
      <c r="L2497">
        <v>0</v>
      </c>
      <c r="M2497">
        <v>0</v>
      </c>
      <c r="N2497">
        <v>2750</v>
      </c>
    </row>
    <row r="2498" spans="1:14" x14ac:dyDescent="0.25">
      <c r="A2498">
        <v>1461.0658550000001</v>
      </c>
      <c r="B2498" s="1">
        <f>DATE(2014,5,1) + TIME(1,34,49)</f>
        <v>41760.065844907411</v>
      </c>
      <c r="C2498">
        <v>80</v>
      </c>
      <c r="D2498">
        <v>69.389816284000005</v>
      </c>
      <c r="E2498">
        <v>60</v>
      </c>
      <c r="F2498">
        <v>59.971759796000001</v>
      </c>
      <c r="G2498">
        <v>1339.7092285000001</v>
      </c>
      <c r="H2498">
        <v>1337.0625</v>
      </c>
      <c r="I2498">
        <v>1327.6656493999999</v>
      </c>
      <c r="J2498">
        <v>1325.9799805</v>
      </c>
      <c r="K2498">
        <v>2750</v>
      </c>
      <c r="L2498">
        <v>0</v>
      </c>
      <c r="M2498">
        <v>0</v>
      </c>
      <c r="N2498">
        <v>2750</v>
      </c>
    </row>
    <row r="2499" spans="1:14" x14ac:dyDescent="0.25">
      <c r="A2499">
        <v>1461.0852709999999</v>
      </c>
      <c r="B2499" s="1">
        <f>DATE(2014,5,1) + TIME(2,2,47)</f>
        <v>41760.085266203707</v>
      </c>
      <c r="C2499">
        <v>80</v>
      </c>
      <c r="D2499">
        <v>69.832344054999993</v>
      </c>
      <c r="E2499">
        <v>60</v>
      </c>
      <c r="F2499">
        <v>59.969783782999997</v>
      </c>
      <c r="G2499">
        <v>1339.7125243999999</v>
      </c>
      <c r="H2499">
        <v>1337.0706786999999</v>
      </c>
      <c r="I2499">
        <v>1327.6658935999999</v>
      </c>
      <c r="J2499">
        <v>1325.9802245999999</v>
      </c>
      <c r="K2499">
        <v>2750</v>
      </c>
      <c r="L2499">
        <v>0</v>
      </c>
      <c r="M2499">
        <v>0</v>
      </c>
      <c r="N2499">
        <v>2750</v>
      </c>
    </row>
    <row r="2500" spans="1:14" x14ac:dyDescent="0.25">
      <c r="A2500">
        <v>1461.1050969999999</v>
      </c>
      <c r="B2500" s="1">
        <f>DATE(2014,5,1) + TIME(2,31,20)</f>
        <v>41760.105092592596</v>
      </c>
      <c r="C2500">
        <v>80</v>
      </c>
      <c r="D2500">
        <v>70.266563415999997</v>
      </c>
      <c r="E2500">
        <v>60</v>
      </c>
      <c r="F2500">
        <v>59.967784881999997</v>
      </c>
      <c r="G2500">
        <v>1339.7172852000001</v>
      </c>
      <c r="H2500">
        <v>1337.0797118999999</v>
      </c>
      <c r="I2500">
        <v>1327.6658935999999</v>
      </c>
      <c r="J2500">
        <v>1325.9802245999999</v>
      </c>
      <c r="K2500">
        <v>2750</v>
      </c>
      <c r="L2500">
        <v>0</v>
      </c>
      <c r="M2500">
        <v>0</v>
      </c>
      <c r="N2500">
        <v>2750</v>
      </c>
    </row>
    <row r="2501" spans="1:14" x14ac:dyDescent="0.25">
      <c r="A2501">
        <v>1461.1253529999999</v>
      </c>
      <c r="B2501" s="1">
        <f>DATE(2014,5,1) + TIME(3,0,30)</f>
        <v>41760.125347222223</v>
      </c>
      <c r="C2501">
        <v>80</v>
      </c>
      <c r="D2501">
        <v>70.692550659000005</v>
      </c>
      <c r="E2501">
        <v>60</v>
      </c>
      <c r="F2501">
        <v>59.965755463000001</v>
      </c>
      <c r="G2501">
        <v>1339.7238769999999</v>
      </c>
      <c r="H2501">
        <v>1337.0894774999999</v>
      </c>
      <c r="I2501">
        <v>1327.6658935999999</v>
      </c>
      <c r="J2501">
        <v>1325.9801024999999</v>
      </c>
      <c r="K2501">
        <v>2750</v>
      </c>
      <c r="L2501">
        <v>0</v>
      </c>
      <c r="M2501">
        <v>0</v>
      </c>
      <c r="N2501">
        <v>2750</v>
      </c>
    </row>
    <row r="2502" spans="1:14" x14ac:dyDescent="0.25">
      <c r="A2502">
        <v>1461.14606</v>
      </c>
      <c r="B2502" s="1">
        <f>DATE(2014,5,1) + TIME(3,30,19)</f>
        <v>41760.146053240744</v>
      </c>
      <c r="C2502">
        <v>80</v>
      </c>
      <c r="D2502">
        <v>71.110389709000003</v>
      </c>
      <c r="E2502">
        <v>60</v>
      </c>
      <c r="F2502">
        <v>59.963695526000002</v>
      </c>
      <c r="G2502">
        <v>1339.7322998</v>
      </c>
      <c r="H2502">
        <v>1337.1003418</v>
      </c>
      <c r="I2502">
        <v>1327.6658935999999</v>
      </c>
      <c r="J2502">
        <v>1325.9799805</v>
      </c>
      <c r="K2502">
        <v>2750</v>
      </c>
      <c r="L2502">
        <v>0</v>
      </c>
      <c r="M2502">
        <v>0</v>
      </c>
      <c r="N2502">
        <v>2750</v>
      </c>
    </row>
    <row r="2503" spans="1:14" x14ac:dyDescent="0.25">
      <c r="A2503">
        <v>1461.1672410000001</v>
      </c>
      <c r="B2503" s="1">
        <f>DATE(2014,5,1) + TIME(4,0,49)</f>
        <v>41760.167233796295</v>
      </c>
      <c r="C2503">
        <v>80</v>
      </c>
      <c r="D2503">
        <v>71.520034789999997</v>
      </c>
      <c r="E2503">
        <v>60</v>
      </c>
      <c r="F2503">
        <v>59.961605071999998</v>
      </c>
      <c r="G2503">
        <v>1339.7423096</v>
      </c>
      <c r="H2503">
        <v>1337.1120605000001</v>
      </c>
      <c r="I2503">
        <v>1327.6658935999999</v>
      </c>
      <c r="J2503">
        <v>1325.9798584</v>
      </c>
      <c r="K2503">
        <v>2750</v>
      </c>
      <c r="L2503">
        <v>0</v>
      </c>
      <c r="M2503">
        <v>0</v>
      </c>
      <c r="N2503">
        <v>2750</v>
      </c>
    </row>
    <row r="2504" spans="1:14" x14ac:dyDescent="0.25">
      <c r="A2504">
        <v>1461.1889200000001</v>
      </c>
      <c r="B2504" s="1">
        <f>DATE(2014,5,1) + TIME(4,32,2)</f>
        <v>41760.18891203704</v>
      </c>
      <c r="C2504">
        <v>80</v>
      </c>
      <c r="D2504">
        <v>71.921424865999995</v>
      </c>
      <c r="E2504">
        <v>60</v>
      </c>
      <c r="F2504">
        <v>59.959484099999997</v>
      </c>
      <c r="G2504">
        <v>1339.7539062000001</v>
      </c>
      <c r="H2504">
        <v>1337.1246338000001</v>
      </c>
      <c r="I2504">
        <v>1327.6657714999999</v>
      </c>
      <c r="J2504">
        <v>1325.9797363</v>
      </c>
      <c r="K2504">
        <v>2750</v>
      </c>
      <c r="L2504">
        <v>0</v>
      </c>
      <c r="M2504">
        <v>0</v>
      </c>
      <c r="N2504">
        <v>2750</v>
      </c>
    </row>
    <row r="2505" spans="1:14" x14ac:dyDescent="0.25">
      <c r="A2505">
        <v>1461.211125</v>
      </c>
      <c r="B2505" s="1">
        <f>DATE(2014,5,1) + TIME(5,4,1)</f>
        <v>41760.211122685185</v>
      </c>
      <c r="C2505">
        <v>80</v>
      </c>
      <c r="D2505">
        <v>72.314483643000003</v>
      </c>
      <c r="E2505">
        <v>60</v>
      </c>
      <c r="F2505">
        <v>59.957324982000003</v>
      </c>
      <c r="G2505">
        <v>1339.7672118999999</v>
      </c>
      <c r="H2505">
        <v>1337.1380615</v>
      </c>
      <c r="I2505">
        <v>1327.6657714999999</v>
      </c>
      <c r="J2505">
        <v>1325.9796143000001</v>
      </c>
      <c r="K2505">
        <v>2750</v>
      </c>
      <c r="L2505">
        <v>0</v>
      </c>
      <c r="M2505">
        <v>0</v>
      </c>
      <c r="N2505">
        <v>2750</v>
      </c>
    </row>
    <row r="2506" spans="1:14" x14ac:dyDescent="0.25">
      <c r="A2506">
        <v>1461.2338810000001</v>
      </c>
      <c r="B2506" s="1">
        <f>DATE(2014,5,1) + TIME(5,36,47)</f>
        <v>41760.233877314815</v>
      </c>
      <c r="C2506">
        <v>80</v>
      </c>
      <c r="D2506">
        <v>72.699119568</v>
      </c>
      <c r="E2506">
        <v>60</v>
      </c>
      <c r="F2506">
        <v>59.955131530999999</v>
      </c>
      <c r="G2506">
        <v>1339.7818603999999</v>
      </c>
      <c r="H2506">
        <v>1337.1523437999999</v>
      </c>
      <c r="I2506">
        <v>1327.6656493999999</v>
      </c>
      <c r="J2506">
        <v>1325.9794922000001</v>
      </c>
      <c r="K2506">
        <v>2750</v>
      </c>
      <c r="L2506">
        <v>0</v>
      </c>
      <c r="M2506">
        <v>0</v>
      </c>
      <c r="N2506">
        <v>2750</v>
      </c>
    </row>
    <row r="2507" spans="1:14" x14ac:dyDescent="0.25">
      <c r="A2507">
        <v>1461.257214</v>
      </c>
      <c r="B2507" s="1">
        <f>DATE(2014,5,1) + TIME(6,10,23)</f>
        <v>41760.257210648146</v>
      </c>
      <c r="C2507">
        <v>80</v>
      </c>
      <c r="D2507">
        <v>73.075141907000003</v>
      </c>
      <c r="E2507">
        <v>60</v>
      </c>
      <c r="F2507">
        <v>59.952899932999998</v>
      </c>
      <c r="G2507">
        <v>1339.7979736</v>
      </c>
      <c r="H2507">
        <v>1337.1672363</v>
      </c>
      <c r="I2507">
        <v>1327.6655272999999</v>
      </c>
      <c r="J2507">
        <v>1325.9793701000001</v>
      </c>
      <c r="K2507">
        <v>2750</v>
      </c>
      <c r="L2507">
        <v>0</v>
      </c>
      <c r="M2507">
        <v>0</v>
      </c>
      <c r="N2507">
        <v>2750</v>
      </c>
    </row>
    <row r="2508" spans="1:14" x14ac:dyDescent="0.25">
      <c r="A2508">
        <v>1461.281158</v>
      </c>
      <c r="B2508" s="1">
        <f>DATE(2014,5,1) + TIME(6,44,52)</f>
        <v>41760.281157407408</v>
      </c>
      <c r="C2508">
        <v>80</v>
      </c>
      <c r="D2508">
        <v>73.442489624000004</v>
      </c>
      <c r="E2508">
        <v>60</v>
      </c>
      <c r="F2508">
        <v>59.950630187999998</v>
      </c>
      <c r="G2508">
        <v>1339.8153076000001</v>
      </c>
      <c r="H2508">
        <v>1337.1829834</v>
      </c>
      <c r="I2508">
        <v>1327.6654053</v>
      </c>
      <c r="J2508">
        <v>1325.979126</v>
      </c>
      <c r="K2508">
        <v>2750</v>
      </c>
      <c r="L2508">
        <v>0</v>
      </c>
      <c r="M2508">
        <v>0</v>
      </c>
      <c r="N2508">
        <v>2750</v>
      </c>
    </row>
    <row r="2509" spans="1:14" x14ac:dyDescent="0.25">
      <c r="A2509">
        <v>1461.3057490000001</v>
      </c>
      <c r="B2509" s="1">
        <f>DATE(2014,5,1) + TIME(7,20,16)</f>
        <v>41760.30574074074</v>
      </c>
      <c r="C2509">
        <v>80</v>
      </c>
      <c r="D2509">
        <v>73.801033020000006</v>
      </c>
      <c r="E2509">
        <v>60</v>
      </c>
      <c r="F2509">
        <v>59.948314666999998</v>
      </c>
      <c r="G2509">
        <v>1339.8341064000001</v>
      </c>
      <c r="H2509">
        <v>1337.1993408000001</v>
      </c>
      <c r="I2509">
        <v>1327.6652832</v>
      </c>
      <c r="J2509">
        <v>1325.9788818</v>
      </c>
      <c r="K2509">
        <v>2750</v>
      </c>
      <c r="L2509">
        <v>0</v>
      </c>
      <c r="M2509">
        <v>0</v>
      </c>
      <c r="N2509">
        <v>2750</v>
      </c>
    </row>
    <row r="2510" spans="1:14" x14ac:dyDescent="0.25">
      <c r="A2510">
        <v>1461.3310220000001</v>
      </c>
      <c r="B2510" s="1">
        <f>DATE(2014,5,1) + TIME(7,56,40)</f>
        <v>41760.331018518518</v>
      </c>
      <c r="C2510">
        <v>80</v>
      </c>
      <c r="D2510">
        <v>74.150642395000006</v>
      </c>
      <c r="E2510">
        <v>60</v>
      </c>
      <c r="F2510">
        <v>59.945957184000001</v>
      </c>
      <c r="G2510">
        <v>1339.8538818</v>
      </c>
      <c r="H2510">
        <v>1337.2164307</v>
      </c>
      <c r="I2510">
        <v>1327.6651611</v>
      </c>
      <c r="J2510">
        <v>1325.9787598</v>
      </c>
      <c r="K2510">
        <v>2750</v>
      </c>
      <c r="L2510">
        <v>0</v>
      </c>
      <c r="M2510">
        <v>0</v>
      </c>
      <c r="N2510">
        <v>2750</v>
      </c>
    </row>
    <row r="2511" spans="1:14" x14ac:dyDescent="0.25">
      <c r="A2511">
        <v>1461.357015</v>
      </c>
      <c r="B2511" s="1">
        <f>DATE(2014,5,1) + TIME(8,34,6)</f>
        <v>41760.35701388889</v>
      </c>
      <c r="C2511">
        <v>80</v>
      </c>
      <c r="D2511">
        <v>74.491142272999994</v>
      </c>
      <c r="E2511">
        <v>60</v>
      </c>
      <c r="F2511">
        <v>59.943550109999997</v>
      </c>
      <c r="G2511">
        <v>1339.875</v>
      </c>
      <c r="H2511">
        <v>1337.2340088000001</v>
      </c>
      <c r="I2511">
        <v>1327.6650391000001</v>
      </c>
      <c r="J2511">
        <v>1325.9785156</v>
      </c>
      <c r="K2511">
        <v>2750</v>
      </c>
      <c r="L2511">
        <v>0</v>
      </c>
      <c r="M2511">
        <v>0</v>
      </c>
      <c r="N2511">
        <v>2750</v>
      </c>
    </row>
    <row r="2512" spans="1:14" x14ac:dyDescent="0.25">
      <c r="A2512">
        <v>1461.3837719999999</v>
      </c>
      <c r="B2512" s="1">
        <f>DATE(2014,5,1) + TIME(9,12,37)</f>
        <v>41760.383761574078</v>
      </c>
      <c r="C2512">
        <v>80</v>
      </c>
      <c r="D2512">
        <v>74.822387695000003</v>
      </c>
      <c r="E2512">
        <v>60</v>
      </c>
      <c r="F2512">
        <v>59.941093445</v>
      </c>
      <c r="G2512">
        <v>1339.8969727000001</v>
      </c>
      <c r="H2512">
        <v>1337.2521973</v>
      </c>
      <c r="I2512">
        <v>1327.6649170000001</v>
      </c>
      <c r="J2512">
        <v>1325.9782714999999</v>
      </c>
      <c r="K2512">
        <v>2750</v>
      </c>
      <c r="L2512">
        <v>0</v>
      </c>
      <c r="M2512">
        <v>0</v>
      </c>
      <c r="N2512">
        <v>2750</v>
      </c>
    </row>
    <row r="2513" spans="1:14" x14ac:dyDescent="0.25">
      <c r="A2513">
        <v>1461.411337</v>
      </c>
      <c r="B2513" s="1">
        <f>DATE(2014,5,1) + TIME(9,52,19)</f>
        <v>41760.41133101852</v>
      </c>
      <c r="C2513">
        <v>80</v>
      </c>
      <c r="D2513">
        <v>75.144081115999995</v>
      </c>
      <c r="E2513">
        <v>60</v>
      </c>
      <c r="F2513">
        <v>59.938583373999997</v>
      </c>
      <c r="G2513">
        <v>1339.9200439000001</v>
      </c>
      <c r="H2513">
        <v>1337.270874</v>
      </c>
      <c r="I2513">
        <v>1327.6647949000001</v>
      </c>
      <c r="J2513">
        <v>1325.9780272999999</v>
      </c>
      <c r="K2513">
        <v>2750</v>
      </c>
      <c r="L2513">
        <v>0</v>
      </c>
      <c r="M2513">
        <v>0</v>
      </c>
      <c r="N2513">
        <v>2750</v>
      </c>
    </row>
    <row r="2514" spans="1:14" x14ac:dyDescent="0.25">
      <c r="A2514">
        <v>1461.439758</v>
      </c>
      <c r="B2514" s="1">
        <f>DATE(2014,5,1) + TIME(10,33,15)</f>
        <v>41760.439756944441</v>
      </c>
      <c r="C2514">
        <v>80</v>
      </c>
      <c r="D2514">
        <v>75.456031799000002</v>
      </c>
      <c r="E2514">
        <v>60</v>
      </c>
      <c r="F2514">
        <v>59.936019897000001</v>
      </c>
      <c r="G2514">
        <v>1339.9440918</v>
      </c>
      <c r="H2514">
        <v>1337.2899170000001</v>
      </c>
      <c r="I2514">
        <v>1327.6645507999999</v>
      </c>
      <c r="J2514">
        <v>1325.9776611</v>
      </c>
      <c r="K2514">
        <v>2750</v>
      </c>
      <c r="L2514">
        <v>0</v>
      </c>
      <c r="M2514">
        <v>0</v>
      </c>
      <c r="N2514">
        <v>2750</v>
      </c>
    </row>
    <row r="2515" spans="1:14" x14ac:dyDescent="0.25">
      <c r="A2515">
        <v>1461.4690889999999</v>
      </c>
      <c r="B2515" s="1">
        <f>DATE(2014,5,1) + TIME(11,15,29)</f>
        <v>41760.469085648147</v>
      </c>
      <c r="C2515">
        <v>80</v>
      </c>
      <c r="D2515">
        <v>75.758178710999999</v>
      </c>
      <c r="E2515">
        <v>60</v>
      </c>
      <c r="F2515">
        <v>59.933395386000001</v>
      </c>
      <c r="G2515">
        <v>1339.9688721</v>
      </c>
      <c r="H2515">
        <v>1337.3095702999999</v>
      </c>
      <c r="I2515">
        <v>1327.6644286999999</v>
      </c>
      <c r="J2515">
        <v>1325.9774170000001</v>
      </c>
      <c r="K2515">
        <v>2750</v>
      </c>
      <c r="L2515">
        <v>0</v>
      </c>
      <c r="M2515">
        <v>0</v>
      </c>
      <c r="N2515">
        <v>2750</v>
      </c>
    </row>
    <row r="2516" spans="1:14" x14ac:dyDescent="0.25">
      <c r="A2516">
        <v>1461.4993870000001</v>
      </c>
      <c r="B2516" s="1">
        <f>DATE(2014,5,1) + TIME(11,59,7)</f>
        <v>41760.499386574076</v>
      </c>
      <c r="C2516">
        <v>80</v>
      </c>
      <c r="D2516">
        <v>76.050354003999999</v>
      </c>
      <c r="E2516">
        <v>60</v>
      </c>
      <c r="F2516">
        <v>59.930706024000003</v>
      </c>
      <c r="G2516">
        <v>1339.9945068</v>
      </c>
      <c r="H2516">
        <v>1337.3294678</v>
      </c>
      <c r="I2516">
        <v>1327.6641846</v>
      </c>
      <c r="J2516">
        <v>1325.9770507999999</v>
      </c>
      <c r="K2516">
        <v>2750</v>
      </c>
      <c r="L2516">
        <v>0</v>
      </c>
      <c r="M2516">
        <v>0</v>
      </c>
      <c r="N2516">
        <v>2750</v>
      </c>
    </row>
    <row r="2517" spans="1:14" x14ac:dyDescent="0.25">
      <c r="A2517">
        <v>1461.530722</v>
      </c>
      <c r="B2517" s="1">
        <f>DATE(2014,5,1) + TIME(12,44,14)</f>
        <v>41760.530717592592</v>
      </c>
      <c r="C2517">
        <v>80</v>
      </c>
      <c r="D2517">
        <v>76.332435607999997</v>
      </c>
      <c r="E2517">
        <v>60</v>
      </c>
      <c r="F2517">
        <v>59.927951813</v>
      </c>
      <c r="G2517">
        <v>1340.0207519999999</v>
      </c>
      <c r="H2517">
        <v>1337.3497314000001</v>
      </c>
      <c r="I2517">
        <v>1327.6639404</v>
      </c>
      <c r="J2517">
        <v>1325.9768065999999</v>
      </c>
      <c r="K2517">
        <v>2750</v>
      </c>
      <c r="L2517">
        <v>0</v>
      </c>
      <c r="M2517">
        <v>0</v>
      </c>
      <c r="N2517">
        <v>2750</v>
      </c>
    </row>
    <row r="2518" spans="1:14" x14ac:dyDescent="0.25">
      <c r="A2518">
        <v>1461.563165</v>
      </c>
      <c r="B2518" s="1">
        <f>DATE(2014,5,1) + TIME(13,30,57)</f>
        <v>41760.563159722224</v>
      </c>
      <c r="C2518">
        <v>80</v>
      </c>
      <c r="D2518">
        <v>76.604255675999994</v>
      </c>
      <c r="E2518">
        <v>60</v>
      </c>
      <c r="F2518">
        <v>59.925121306999998</v>
      </c>
      <c r="G2518">
        <v>1340.0477295000001</v>
      </c>
      <c r="H2518">
        <v>1337.3703613</v>
      </c>
      <c r="I2518">
        <v>1327.6636963000001</v>
      </c>
      <c r="J2518">
        <v>1325.9764404</v>
      </c>
      <c r="K2518">
        <v>2750</v>
      </c>
      <c r="L2518">
        <v>0</v>
      </c>
      <c r="M2518">
        <v>0</v>
      </c>
      <c r="N2518">
        <v>2750</v>
      </c>
    </row>
    <row r="2519" spans="1:14" x14ac:dyDescent="0.25">
      <c r="A2519">
        <v>1461.5967820000001</v>
      </c>
      <c r="B2519" s="1">
        <f>DATE(2014,5,1) + TIME(14,19,22)</f>
        <v>41760.596782407411</v>
      </c>
      <c r="C2519">
        <v>80</v>
      </c>
      <c r="D2519">
        <v>76.865570067999997</v>
      </c>
      <c r="E2519">
        <v>60</v>
      </c>
      <c r="F2519">
        <v>59.922218323000003</v>
      </c>
      <c r="G2519">
        <v>1340.0753173999999</v>
      </c>
      <c r="H2519">
        <v>1337.3912353999999</v>
      </c>
      <c r="I2519">
        <v>1327.6634521000001</v>
      </c>
      <c r="J2519">
        <v>1325.9760742000001</v>
      </c>
      <c r="K2519">
        <v>2750</v>
      </c>
      <c r="L2519">
        <v>0</v>
      </c>
      <c r="M2519">
        <v>0</v>
      </c>
      <c r="N2519">
        <v>2750</v>
      </c>
    </row>
    <row r="2520" spans="1:14" x14ac:dyDescent="0.25">
      <c r="A2520">
        <v>1461.631633</v>
      </c>
      <c r="B2520" s="1">
        <f>DATE(2014,5,1) + TIME(15,9,33)</f>
        <v>41760.631631944445</v>
      </c>
      <c r="C2520">
        <v>80</v>
      </c>
      <c r="D2520">
        <v>77.116065978999998</v>
      </c>
      <c r="E2520">
        <v>60</v>
      </c>
      <c r="F2520">
        <v>59.919239044000001</v>
      </c>
      <c r="G2520">
        <v>1340.1032714999999</v>
      </c>
      <c r="H2520">
        <v>1337.4123535000001</v>
      </c>
      <c r="I2520">
        <v>1327.6632079999999</v>
      </c>
      <c r="J2520">
        <v>1325.9757079999999</v>
      </c>
      <c r="K2520">
        <v>2750</v>
      </c>
      <c r="L2520">
        <v>0</v>
      </c>
      <c r="M2520">
        <v>0</v>
      </c>
      <c r="N2520">
        <v>2750</v>
      </c>
    </row>
    <row r="2521" spans="1:14" x14ac:dyDescent="0.25">
      <c r="A2521">
        <v>1461.6677569999999</v>
      </c>
      <c r="B2521" s="1">
        <f>DATE(2014,5,1) + TIME(16,1,34)</f>
        <v>41760.667754629627</v>
      </c>
      <c r="C2521">
        <v>80</v>
      </c>
      <c r="D2521">
        <v>77.355331421000002</v>
      </c>
      <c r="E2521">
        <v>60</v>
      </c>
      <c r="F2521">
        <v>59.916175842000001</v>
      </c>
      <c r="G2521">
        <v>1340.1318358999999</v>
      </c>
      <c r="H2521">
        <v>1337.4335937999999</v>
      </c>
      <c r="I2521">
        <v>1327.6629639</v>
      </c>
      <c r="J2521">
        <v>1325.9753418</v>
      </c>
      <c r="K2521">
        <v>2750</v>
      </c>
      <c r="L2521">
        <v>0</v>
      </c>
      <c r="M2521">
        <v>0</v>
      </c>
      <c r="N2521">
        <v>2750</v>
      </c>
    </row>
    <row r="2522" spans="1:14" x14ac:dyDescent="0.25">
      <c r="A2522">
        <v>1461.70524</v>
      </c>
      <c r="B2522" s="1">
        <f>DATE(2014,5,1) + TIME(16,55,32)</f>
        <v>41760.705231481479</v>
      </c>
      <c r="C2522">
        <v>80</v>
      </c>
      <c r="D2522">
        <v>77.583251953000001</v>
      </c>
      <c r="E2522">
        <v>60</v>
      </c>
      <c r="F2522">
        <v>59.913024901999997</v>
      </c>
      <c r="G2522">
        <v>1340.1606445</v>
      </c>
      <c r="H2522">
        <v>1337.4548339999999</v>
      </c>
      <c r="I2522">
        <v>1327.6625977000001</v>
      </c>
      <c r="J2522">
        <v>1325.9748535000001</v>
      </c>
      <c r="K2522">
        <v>2750</v>
      </c>
      <c r="L2522">
        <v>0</v>
      </c>
      <c r="M2522">
        <v>0</v>
      </c>
      <c r="N2522">
        <v>2750</v>
      </c>
    </row>
    <row r="2523" spans="1:14" x14ac:dyDescent="0.25">
      <c r="A2523">
        <v>1461.7441739999999</v>
      </c>
      <c r="B2523" s="1">
        <f>DATE(2014,5,1) + TIME(17,51,36)</f>
        <v>41760.744166666664</v>
      </c>
      <c r="C2523">
        <v>80</v>
      </c>
      <c r="D2523">
        <v>77.799758910999998</v>
      </c>
      <c r="E2523">
        <v>60</v>
      </c>
      <c r="F2523">
        <v>59.909786224000001</v>
      </c>
      <c r="G2523">
        <v>1340.1895752</v>
      </c>
      <c r="H2523">
        <v>1337.4761963000001</v>
      </c>
      <c r="I2523">
        <v>1327.6623535000001</v>
      </c>
      <c r="J2523">
        <v>1325.9744873</v>
      </c>
      <c r="K2523">
        <v>2750</v>
      </c>
      <c r="L2523">
        <v>0</v>
      </c>
      <c r="M2523">
        <v>0</v>
      </c>
      <c r="N2523">
        <v>2750</v>
      </c>
    </row>
    <row r="2524" spans="1:14" x14ac:dyDescent="0.25">
      <c r="A2524">
        <v>1461.784674</v>
      </c>
      <c r="B2524" s="1">
        <f>DATE(2014,5,1) + TIME(18,49,55)</f>
        <v>41760.78466435185</v>
      </c>
      <c r="C2524">
        <v>80</v>
      </c>
      <c r="D2524">
        <v>78.004837035999998</v>
      </c>
      <c r="E2524">
        <v>60</v>
      </c>
      <c r="F2524">
        <v>59.906448363999999</v>
      </c>
      <c r="G2524">
        <v>1340.21875</v>
      </c>
      <c r="H2524">
        <v>1337.4975586</v>
      </c>
      <c r="I2524">
        <v>1327.6619873</v>
      </c>
      <c r="J2524">
        <v>1325.973999</v>
      </c>
      <c r="K2524">
        <v>2750</v>
      </c>
      <c r="L2524">
        <v>0</v>
      </c>
      <c r="M2524">
        <v>0</v>
      </c>
      <c r="N2524">
        <v>2750</v>
      </c>
    </row>
    <row r="2525" spans="1:14" x14ac:dyDescent="0.25">
      <c r="A2525">
        <v>1461.8268439999999</v>
      </c>
      <c r="B2525" s="1">
        <f>DATE(2014,5,1) + TIME(19,50,39)</f>
        <v>41760.826840277776</v>
      </c>
      <c r="C2525">
        <v>80</v>
      </c>
      <c r="D2525">
        <v>78.198410034000005</v>
      </c>
      <c r="E2525">
        <v>60</v>
      </c>
      <c r="F2525">
        <v>59.903007506999998</v>
      </c>
      <c r="G2525">
        <v>1340.2479248</v>
      </c>
      <c r="H2525">
        <v>1337.5187988</v>
      </c>
      <c r="I2525">
        <v>1327.6616211</v>
      </c>
      <c r="J2525">
        <v>1325.9735106999999</v>
      </c>
      <c r="K2525">
        <v>2750</v>
      </c>
      <c r="L2525">
        <v>0</v>
      </c>
      <c r="M2525">
        <v>0</v>
      </c>
      <c r="N2525">
        <v>2750</v>
      </c>
    </row>
    <row r="2526" spans="1:14" x14ac:dyDescent="0.25">
      <c r="A2526">
        <v>1461.8707999999999</v>
      </c>
      <c r="B2526" s="1">
        <f>DATE(2014,5,1) + TIME(20,53,57)</f>
        <v>41760.870798611111</v>
      </c>
      <c r="C2526">
        <v>80</v>
      </c>
      <c r="D2526">
        <v>78.380447387999993</v>
      </c>
      <c r="E2526">
        <v>60</v>
      </c>
      <c r="F2526">
        <v>59.899456024000003</v>
      </c>
      <c r="G2526">
        <v>1340.2772216999999</v>
      </c>
      <c r="H2526">
        <v>1337.5399170000001</v>
      </c>
      <c r="I2526">
        <v>1327.6612548999999</v>
      </c>
      <c r="J2526">
        <v>1325.9730225000001</v>
      </c>
      <c r="K2526">
        <v>2750</v>
      </c>
      <c r="L2526">
        <v>0</v>
      </c>
      <c r="M2526">
        <v>0</v>
      </c>
      <c r="N2526">
        <v>2750</v>
      </c>
    </row>
    <row r="2527" spans="1:14" x14ac:dyDescent="0.25">
      <c r="A2527">
        <v>1461.9166749999999</v>
      </c>
      <c r="B2527" s="1">
        <f>DATE(2014,5,1) + TIME(22,0,0)</f>
        <v>41760.916666666664</v>
      </c>
      <c r="C2527">
        <v>80</v>
      </c>
      <c r="D2527">
        <v>78.550979613999999</v>
      </c>
      <c r="E2527">
        <v>60</v>
      </c>
      <c r="F2527">
        <v>59.895786285</v>
      </c>
      <c r="G2527">
        <v>1340.3062743999999</v>
      </c>
      <c r="H2527">
        <v>1337.5609131000001</v>
      </c>
      <c r="I2527">
        <v>1327.6608887</v>
      </c>
      <c r="J2527">
        <v>1325.9724120999999</v>
      </c>
      <c r="K2527">
        <v>2750</v>
      </c>
      <c r="L2527">
        <v>0</v>
      </c>
      <c r="M2527">
        <v>0</v>
      </c>
      <c r="N2527">
        <v>2750</v>
      </c>
    </row>
    <row r="2528" spans="1:14" x14ac:dyDescent="0.25">
      <c r="A2528">
        <v>1461.9646170000001</v>
      </c>
      <c r="B2528" s="1">
        <f>DATE(2014,5,1) + TIME(23,9,2)</f>
        <v>41760.964606481481</v>
      </c>
      <c r="C2528">
        <v>80</v>
      </c>
      <c r="D2528">
        <v>78.710075377999999</v>
      </c>
      <c r="E2528">
        <v>60</v>
      </c>
      <c r="F2528">
        <v>59.891986846999998</v>
      </c>
      <c r="G2528">
        <v>1340.3352050999999</v>
      </c>
      <c r="H2528">
        <v>1337.5816649999999</v>
      </c>
      <c r="I2528">
        <v>1327.6605225000001</v>
      </c>
      <c r="J2528">
        <v>1325.9719238</v>
      </c>
      <c r="K2528">
        <v>2750</v>
      </c>
      <c r="L2528">
        <v>0</v>
      </c>
      <c r="M2528">
        <v>0</v>
      </c>
      <c r="N2528">
        <v>2750</v>
      </c>
    </row>
    <row r="2529" spans="1:14" x14ac:dyDescent="0.25">
      <c r="A2529">
        <v>1462.014788</v>
      </c>
      <c r="B2529" s="1">
        <f>DATE(2014,5,2) + TIME(0,21,17)</f>
        <v>41761.014780092592</v>
      </c>
      <c r="C2529">
        <v>80</v>
      </c>
      <c r="D2529">
        <v>78.857833862000007</v>
      </c>
      <c r="E2529">
        <v>60</v>
      </c>
      <c r="F2529">
        <v>59.888053894000002</v>
      </c>
      <c r="G2529">
        <v>1340.3638916</v>
      </c>
      <c r="H2529">
        <v>1337.6021728999999</v>
      </c>
      <c r="I2529">
        <v>1327.6600341999999</v>
      </c>
      <c r="J2529">
        <v>1325.9713135</v>
      </c>
      <c r="K2529">
        <v>2750</v>
      </c>
      <c r="L2529">
        <v>0</v>
      </c>
      <c r="M2529">
        <v>0</v>
      </c>
      <c r="N2529">
        <v>2750</v>
      </c>
    </row>
    <row r="2530" spans="1:14" x14ac:dyDescent="0.25">
      <c r="A2530">
        <v>1462.0673710000001</v>
      </c>
      <c r="B2530" s="1">
        <f>DATE(2014,5,2) + TIME(1,37,0)</f>
        <v>41761.067361111112</v>
      </c>
      <c r="C2530">
        <v>80</v>
      </c>
      <c r="D2530">
        <v>78.994407654</v>
      </c>
      <c r="E2530">
        <v>60</v>
      </c>
      <c r="F2530">
        <v>59.883972168</v>
      </c>
      <c r="G2530">
        <v>1340.3922118999999</v>
      </c>
      <c r="H2530">
        <v>1337.6223144999999</v>
      </c>
      <c r="I2530">
        <v>1327.659668</v>
      </c>
      <c r="J2530">
        <v>1325.9707031</v>
      </c>
      <c r="K2530">
        <v>2750</v>
      </c>
      <c r="L2530">
        <v>0</v>
      </c>
      <c r="M2530">
        <v>0</v>
      </c>
      <c r="N2530">
        <v>2750</v>
      </c>
    </row>
    <row r="2531" spans="1:14" x14ac:dyDescent="0.25">
      <c r="A2531">
        <v>1462.1225669999999</v>
      </c>
      <c r="B2531" s="1">
        <f>DATE(2014,5,2) + TIME(2,56,29)</f>
        <v>41761.122557870367</v>
      </c>
      <c r="C2531">
        <v>80</v>
      </c>
      <c r="D2531">
        <v>79.119995117000002</v>
      </c>
      <c r="E2531">
        <v>60</v>
      </c>
      <c r="F2531">
        <v>59.879734038999999</v>
      </c>
      <c r="G2531">
        <v>1340.4200439000001</v>
      </c>
      <c r="H2531">
        <v>1337.6422118999999</v>
      </c>
      <c r="I2531">
        <v>1327.6591797000001</v>
      </c>
      <c r="J2531">
        <v>1325.9700928</v>
      </c>
      <c r="K2531">
        <v>2750</v>
      </c>
      <c r="L2531">
        <v>0</v>
      </c>
      <c r="M2531">
        <v>0</v>
      </c>
      <c r="N2531">
        <v>2750</v>
      </c>
    </row>
    <row r="2532" spans="1:14" x14ac:dyDescent="0.25">
      <c r="A2532">
        <v>1462.1806039999999</v>
      </c>
      <c r="B2532" s="1">
        <f>DATE(2014,5,2) + TIME(4,20,4)</f>
        <v>41761.180601851855</v>
      </c>
      <c r="C2532">
        <v>80</v>
      </c>
      <c r="D2532">
        <v>79.234832764000004</v>
      </c>
      <c r="E2532">
        <v>60</v>
      </c>
      <c r="F2532">
        <v>59.875324249000002</v>
      </c>
      <c r="G2532">
        <v>1340.4473877</v>
      </c>
      <c r="H2532">
        <v>1337.6616211</v>
      </c>
      <c r="I2532">
        <v>1327.6586914</v>
      </c>
      <c r="J2532">
        <v>1325.9693603999999</v>
      </c>
      <c r="K2532">
        <v>2750</v>
      </c>
      <c r="L2532">
        <v>0</v>
      </c>
      <c r="M2532">
        <v>0</v>
      </c>
      <c r="N2532">
        <v>2750</v>
      </c>
    </row>
    <row r="2533" spans="1:14" x14ac:dyDescent="0.25">
      <c r="A2533">
        <v>1462.2417370000001</v>
      </c>
      <c r="B2533" s="1">
        <f>DATE(2014,5,2) + TIME(5,48,6)</f>
        <v>41761.241736111115</v>
      </c>
      <c r="C2533">
        <v>80</v>
      </c>
      <c r="D2533">
        <v>79.33921814</v>
      </c>
      <c r="E2533">
        <v>60</v>
      </c>
      <c r="F2533">
        <v>59.870731354</v>
      </c>
      <c r="G2533">
        <v>1340.4741211</v>
      </c>
      <c r="H2533">
        <v>1337.6805420000001</v>
      </c>
      <c r="I2533">
        <v>1327.6580810999999</v>
      </c>
      <c r="J2533">
        <v>1325.9686279</v>
      </c>
      <c r="K2533">
        <v>2750</v>
      </c>
      <c r="L2533">
        <v>0</v>
      </c>
      <c r="M2533">
        <v>0</v>
      </c>
      <c r="N2533">
        <v>2750</v>
      </c>
    </row>
    <row r="2534" spans="1:14" x14ac:dyDescent="0.25">
      <c r="A2534">
        <v>1462.3062669999999</v>
      </c>
      <c r="B2534" s="1">
        <f>DATE(2014,5,2) + TIME(7,21,1)</f>
        <v>41761.306261574071</v>
      </c>
      <c r="C2534">
        <v>80</v>
      </c>
      <c r="D2534">
        <v>79.433486938000001</v>
      </c>
      <c r="E2534">
        <v>60</v>
      </c>
      <c r="F2534">
        <v>59.865932465</v>
      </c>
      <c r="G2534">
        <v>1340.5002440999999</v>
      </c>
      <c r="H2534">
        <v>1337.6989745999999</v>
      </c>
      <c r="I2534">
        <v>1327.6575928</v>
      </c>
      <c r="J2534">
        <v>1325.9678954999999</v>
      </c>
      <c r="K2534">
        <v>2750</v>
      </c>
      <c r="L2534">
        <v>0</v>
      </c>
      <c r="M2534">
        <v>0</v>
      </c>
      <c r="N2534">
        <v>2750</v>
      </c>
    </row>
    <row r="2535" spans="1:14" x14ac:dyDescent="0.25">
      <c r="A2535">
        <v>1462.374554</v>
      </c>
      <c r="B2535" s="1">
        <f>DATE(2014,5,2) + TIME(8,59,21)</f>
        <v>41761.374548611115</v>
      </c>
      <c r="C2535">
        <v>80</v>
      </c>
      <c r="D2535">
        <v>79.518058776999993</v>
      </c>
      <c r="E2535">
        <v>60</v>
      </c>
      <c r="F2535">
        <v>59.860912323000001</v>
      </c>
      <c r="G2535">
        <v>1340.5255127</v>
      </c>
      <c r="H2535">
        <v>1337.7169189000001</v>
      </c>
      <c r="I2535">
        <v>1327.6569824000001</v>
      </c>
      <c r="J2535">
        <v>1325.9670410000001</v>
      </c>
      <c r="K2535">
        <v>2750</v>
      </c>
      <c r="L2535">
        <v>0</v>
      </c>
      <c r="M2535">
        <v>0</v>
      </c>
      <c r="N2535">
        <v>2750</v>
      </c>
    </row>
    <row r="2536" spans="1:14" x14ac:dyDescent="0.25">
      <c r="A2536">
        <v>1462.446944</v>
      </c>
      <c r="B2536" s="1">
        <f>DATE(2014,5,2) + TIME(10,43,36)</f>
        <v>41761.446944444448</v>
      </c>
      <c r="C2536">
        <v>80</v>
      </c>
      <c r="D2536">
        <v>79.593307495000005</v>
      </c>
      <c r="E2536">
        <v>60</v>
      </c>
      <c r="F2536">
        <v>59.855651854999998</v>
      </c>
      <c r="G2536">
        <v>1340.5500488</v>
      </c>
      <c r="H2536">
        <v>1337.7342529</v>
      </c>
      <c r="I2536">
        <v>1327.65625</v>
      </c>
      <c r="J2536">
        <v>1325.9661865</v>
      </c>
      <c r="K2536">
        <v>2750</v>
      </c>
      <c r="L2536">
        <v>0</v>
      </c>
      <c r="M2536">
        <v>0</v>
      </c>
      <c r="N2536">
        <v>2750</v>
      </c>
    </row>
    <row r="2537" spans="1:14" x14ac:dyDescent="0.25">
      <c r="A2537">
        <v>1462.523878</v>
      </c>
      <c r="B2537" s="1">
        <f>DATE(2014,5,2) + TIME(12,34,23)</f>
        <v>41761.523877314816</v>
      </c>
      <c r="C2537">
        <v>80</v>
      </c>
      <c r="D2537">
        <v>79.659706115999995</v>
      </c>
      <c r="E2537">
        <v>60</v>
      </c>
      <c r="F2537">
        <v>59.850124358999999</v>
      </c>
      <c r="G2537">
        <v>1340.5736084</v>
      </c>
      <c r="H2537">
        <v>1337.7509766000001</v>
      </c>
      <c r="I2537">
        <v>1327.6556396000001</v>
      </c>
      <c r="J2537">
        <v>1325.9652100000001</v>
      </c>
      <c r="K2537">
        <v>2750</v>
      </c>
      <c r="L2537">
        <v>0</v>
      </c>
      <c r="M2537">
        <v>0</v>
      </c>
      <c r="N2537">
        <v>2750</v>
      </c>
    </row>
    <row r="2538" spans="1:14" x14ac:dyDescent="0.25">
      <c r="A2538">
        <v>1462.602973</v>
      </c>
      <c r="B2538" s="1">
        <f>DATE(2014,5,2) + TIME(14,28,16)</f>
        <v>41761.602962962963</v>
      </c>
      <c r="C2538">
        <v>80</v>
      </c>
      <c r="D2538">
        <v>79.716079711999996</v>
      </c>
      <c r="E2538">
        <v>60</v>
      </c>
      <c r="F2538">
        <v>59.844490051000001</v>
      </c>
      <c r="G2538">
        <v>1340.5965576000001</v>
      </c>
      <c r="H2538">
        <v>1337.7672118999999</v>
      </c>
      <c r="I2538">
        <v>1327.6549072</v>
      </c>
      <c r="J2538">
        <v>1325.9642334</v>
      </c>
      <c r="K2538">
        <v>2750</v>
      </c>
      <c r="L2538">
        <v>0</v>
      </c>
      <c r="M2538">
        <v>0</v>
      </c>
      <c r="N2538">
        <v>2750</v>
      </c>
    </row>
    <row r="2539" spans="1:14" x14ac:dyDescent="0.25">
      <c r="A2539">
        <v>1462.6829640000001</v>
      </c>
      <c r="B2539" s="1">
        <f>DATE(2014,5,2) + TIME(16,23,28)</f>
        <v>41761.682962962965</v>
      </c>
      <c r="C2539">
        <v>80</v>
      </c>
      <c r="D2539">
        <v>79.763031006000006</v>
      </c>
      <c r="E2539">
        <v>60</v>
      </c>
      <c r="F2539">
        <v>59.838832855</v>
      </c>
      <c r="G2539">
        <v>1340.6179199000001</v>
      </c>
      <c r="H2539">
        <v>1337.7823486</v>
      </c>
      <c r="I2539">
        <v>1327.6540527</v>
      </c>
      <c r="J2539">
        <v>1325.9632568</v>
      </c>
      <c r="K2539">
        <v>2750</v>
      </c>
      <c r="L2539">
        <v>0</v>
      </c>
      <c r="M2539">
        <v>0</v>
      </c>
      <c r="N2539">
        <v>2750</v>
      </c>
    </row>
    <row r="2540" spans="1:14" x14ac:dyDescent="0.25">
      <c r="A2540">
        <v>1462.764142</v>
      </c>
      <c r="B2540" s="1">
        <f>DATE(2014,5,2) + TIME(18,20,21)</f>
        <v>41761.764131944445</v>
      </c>
      <c r="C2540">
        <v>80</v>
      </c>
      <c r="D2540">
        <v>79.802162170000003</v>
      </c>
      <c r="E2540">
        <v>60</v>
      </c>
      <c r="F2540">
        <v>59.833129882999998</v>
      </c>
      <c r="G2540">
        <v>1340.6370850000001</v>
      </c>
      <c r="H2540">
        <v>1337.7960204999999</v>
      </c>
      <c r="I2540">
        <v>1327.6533202999999</v>
      </c>
      <c r="J2540">
        <v>1325.9621582</v>
      </c>
      <c r="K2540">
        <v>2750</v>
      </c>
      <c r="L2540">
        <v>0</v>
      </c>
      <c r="M2540">
        <v>0</v>
      </c>
      <c r="N2540">
        <v>2750</v>
      </c>
    </row>
    <row r="2541" spans="1:14" x14ac:dyDescent="0.25">
      <c r="A2541">
        <v>1462.8467410000001</v>
      </c>
      <c r="B2541" s="1">
        <f>DATE(2014,5,2) + TIME(20,19,18)</f>
        <v>41761.846736111111</v>
      </c>
      <c r="C2541">
        <v>80</v>
      </c>
      <c r="D2541">
        <v>79.834724425999994</v>
      </c>
      <c r="E2541">
        <v>60</v>
      </c>
      <c r="F2541">
        <v>59.827369689999998</v>
      </c>
      <c r="G2541">
        <v>1340.6544189000001</v>
      </c>
      <c r="H2541">
        <v>1337.8084716999999</v>
      </c>
      <c r="I2541">
        <v>1327.6524658000001</v>
      </c>
      <c r="J2541">
        <v>1325.9610596</v>
      </c>
      <c r="K2541">
        <v>2750</v>
      </c>
      <c r="L2541">
        <v>0</v>
      </c>
      <c r="M2541">
        <v>0</v>
      </c>
      <c r="N2541">
        <v>2750</v>
      </c>
    </row>
    <row r="2542" spans="1:14" x14ac:dyDescent="0.25">
      <c r="A2542">
        <v>1462.9310809999999</v>
      </c>
      <c r="B2542" s="1">
        <f>DATE(2014,5,2) + TIME(22,20,45)</f>
        <v>41761.931076388886</v>
      </c>
      <c r="C2542">
        <v>80</v>
      </c>
      <c r="D2542">
        <v>79.861808776999993</v>
      </c>
      <c r="E2542">
        <v>60</v>
      </c>
      <c r="F2542">
        <v>59.821529388000002</v>
      </c>
      <c r="G2542">
        <v>1340.6700439000001</v>
      </c>
      <c r="H2542">
        <v>1337.8198242000001</v>
      </c>
      <c r="I2542">
        <v>1327.6516113</v>
      </c>
      <c r="J2542">
        <v>1325.9599608999999</v>
      </c>
      <c r="K2542">
        <v>2750</v>
      </c>
      <c r="L2542">
        <v>0</v>
      </c>
      <c r="M2542">
        <v>0</v>
      </c>
      <c r="N2542">
        <v>2750</v>
      </c>
    </row>
    <row r="2543" spans="1:14" x14ac:dyDescent="0.25">
      <c r="A2543">
        <v>1463.0174529999999</v>
      </c>
      <c r="B2543" s="1">
        <f>DATE(2014,5,3) + TIME(0,25,7)</f>
        <v>41762.017442129632</v>
      </c>
      <c r="C2543">
        <v>80</v>
      </c>
      <c r="D2543">
        <v>79.884300232000001</v>
      </c>
      <c r="E2543">
        <v>60</v>
      </c>
      <c r="F2543">
        <v>59.815589905000003</v>
      </c>
      <c r="G2543">
        <v>1340.6842041</v>
      </c>
      <c r="H2543">
        <v>1337.8302002</v>
      </c>
      <c r="I2543">
        <v>1327.6507568</v>
      </c>
      <c r="J2543">
        <v>1325.9587402</v>
      </c>
      <c r="K2543">
        <v>2750</v>
      </c>
      <c r="L2543">
        <v>0</v>
      </c>
      <c r="M2543">
        <v>0</v>
      </c>
      <c r="N2543">
        <v>2750</v>
      </c>
    </row>
    <row r="2544" spans="1:14" x14ac:dyDescent="0.25">
      <c r="A2544">
        <v>1463.1061560000001</v>
      </c>
      <c r="B2544" s="1">
        <f>DATE(2014,5,3) + TIME(2,32,51)</f>
        <v>41762.106145833335</v>
      </c>
      <c r="C2544">
        <v>80</v>
      </c>
      <c r="D2544">
        <v>79.902923584000007</v>
      </c>
      <c r="E2544">
        <v>60</v>
      </c>
      <c r="F2544">
        <v>59.80953598</v>
      </c>
      <c r="G2544">
        <v>1340.6967772999999</v>
      </c>
      <c r="H2544">
        <v>1337.8395995999999</v>
      </c>
      <c r="I2544">
        <v>1327.6499022999999</v>
      </c>
      <c r="J2544">
        <v>1325.9576416</v>
      </c>
      <c r="K2544">
        <v>2750</v>
      </c>
      <c r="L2544">
        <v>0</v>
      </c>
      <c r="M2544">
        <v>0</v>
      </c>
      <c r="N2544">
        <v>2750</v>
      </c>
    </row>
    <row r="2545" spans="1:14" x14ac:dyDescent="0.25">
      <c r="A2545">
        <v>1463.196641</v>
      </c>
      <c r="B2545" s="1">
        <f>DATE(2014,5,3) + TIME(4,43,9)</f>
        <v>41762.196631944447</v>
      </c>
      <c r="C2545">
        <v>80</v>
      </c>
      <c r="D2545">
        <v>79.918190002000003</v>
      </c>
      <c r="E2545">
        <v>60</v>
      </c>
      <c r="F2545">
        <v>59.803401946999998</v>
      </c>
      <c r="G2545">
        <v>1340.7082519999999</v>
      </c>
      <c r="H2545">
        <v>1337.8481445</v>
      </c>
      <c r="I2545">
        <v>1327.6489257999999</v>
      </c>
      <c r="J2545">
        <v>1325.9562988</v>
      </c>
      <c r="K2545">
        <v>2750</v>
      </c>
      <c r="L2545">
        <v>0</v>
      </c>
      <c r="M2545">
        <v>0</v>
      </c>
      <c r="N2545">
        <v>2750</v>
      </c>
    </row>
    <row r="2546" spans="1:14" x14ac:dyDescent="0.25">
      <c r="A2546">
        <v>1463.2883059999999</v>
      </c>
      <c r="B2546" s="1">
        <f>DATE(2014,5,3) + TIME(6,55,9)</f>
        <v>41762.288298611114</v>
      </c>
      <c r="C2546">
        <v>80</v>
      </c>
      <c r="D2546">
        <v>79.930572510000005</v>
      </c>
      <c r="E2546">
        <v>60</v>
      </c>
      <c r="F2546">
        <v>59.797222136999999</v>
      </c>
      <c r="G2546">
        <v>1340.7181396000001</v>
      </c>
      <c r="H2546">
        <v>1337.8558350000001</v>
      </c>
      <c r="I2546">
        <v>1327.6479492000001</v>
      </c>
      <c r="J2546">
        <v>1325.9550781</v>
      </c>
      <c r="K2546">
        <v>2750</v>
      </c>
      <c r="L2546">
        <v>0</v>
      </c>
      <c r="M2546">
        <v>0</v>
      </c>
      <c r="N2546">
        <v>2750</v>
      </c>
    </row>
    <row r="2547" spans="1:14" x14ac:dyDescent="0.25">
      <c r="A2547">
        <v>1463.381376</v>
      </c>
      <c r="B2547" s="1">
        <f>DATE(2014,5,3) + TIME(9,9,10)</f>
        <v>41762.381365740737</v>
      </c>
      <c r="C2547">
        <v>80</v>
      </c>
      <c r="D2547">
        <v>79.940628051999994</v>
      </c>
      <c r="E2547">
        <v>60</v>
      </c>
      <c r="F2547">
        <v>59.790981293000002</v>
      </c>
      <c r="G2547">
        <v>1340.7268065999999</v>
      </c>
      <c r="H2547">
        <v>1337.8626709</v>
      </c>
      <c r="I2547">
        <v>1327.6469727000001</v>
      </c>
      <c r="J2547">
        <v>1325.9537353999999</v>
      </c>
      <c r="K2547">
        <v>2750</v>
      </c>
      <c r="L2547">
        <v>0</v>
      </c>
      <c r="M2547">
        <v>0</v>
      </c>
      <c r="N2547">
        <v>2750</v>
      </c>
    </row>
    <row r="2548" spans="1:14" x14ac:dyDescent="0.25">
      <c r="A2548">
        <v>1463.476048</v>
      </c>
      <c r="B2548" s="1">
        <f>DATE(2014,5,3) + TIME(11,25,30)</f>
        <v>41762.476041666669</v>
      </c>
      <c r="C2548">
        <v>80</v>
      </c>
      <c r="D2548">
        <v>79.948768615999995</v>
      </c>
      <c r="E2548">
        <v>60</v>
      </c>
      <c r="F2548">
        <v>59.784675598</v>
      </c>
      <c r="G2548">
        <v>1340.7342529</v>
      </c>
      <c r="H2548">
        <v>1337.8687743999999</v>
      </c>
      <c r="I2548">
        <v>1327.645874</v>
      </c>
      <c r="J2548">
        <v>1325.9522704999999</v>
      </c>
      <c r="K2548">
        <v>2750</v>
      </c>
      <c r="L2548">
        <v>0</v>
      </c>
      <c r="M2548">
        <v>0</v>
      </c>
      <c r="N2548">
        <v>2750</v>
      </c>
    </row>
    <row r="2549" spans="1:14" x14ac:dyDescent="0.25">
      <c r="A2549">
        <v>1463.5724929999999</v>
      </c>
      <c r="B2549" s="1">
        <f>DATE(2014,5,3) + TIME(13,44,23)</f>
        <v>41762.572488425925</v>
      </c>
      <c r="C2549">
        <v>80</v>
      </c>
      <c r="D2549">
        <v>79.955352782999995</v>
      </c>
      <c r="E2549">
        <v>60</v>
      </c>
      <c r="F2549">
        <v>59.77828598</v>
      </c>
      <c r="G2549">
        <v>1340.7407227000001</v>
      </c>
      <c r="H2549">
        <v>1337.8741454999999</v>
      </c>
      <c r="I2549">
        <v>1327.6448975000001</v>
      </c>
      <c r="J2549">
        <v>1325.9508057</v>
      </c>
      <c r="K2549">
        <v>2750</v>
      </c>
      <c r="L2549">
        <v>0</v>
      </c>
      <c r="M2549">
        <v>0</v>
      </c>
      <c r="N2549">
        <v>2750</v>
      </c>
    </row>
    <row r="2550" spans="1:14" x14ac:dyDescent="0.25">
      <c r="A2550">
        <v>1463.67092</v>
      </c>
      <c r="B2550" s="1">
        <f>DATE(2014,5,3) + TIME(16,6,7)</f>
        <v>41762.670914351853</v>
      </c>
      <c r="C2550">
        <v>80</v>
      </c>
      <c r="D2550">
        <v>79.960670471</v>
      </c>
      <c r="E2550">
        <v>60</v>
      </c>
      <c r="F2550">
        <v>59.771800995</v>
      </c>
      <c r="G2550">
        <v>1340.7460937999999</v>
      </c>
      <c r="H2550">
        <v>1337.8789062000001</v>
      </c>
      <c r="I2550">
        <v>1327.6437988</v>
      </c>
      <c r="J2550">
        <v>1325.9493408000001</v>
      </c>
      <c r="K2550">
        <v>2750</v>
      </c>
      <c r="L2550">
        <v>0</v>
      </c>
      <c r="M2550">
        <v>0</v>
      </c>
      <c r="N2550">
        <v>2750</v>
      </c>
    </row>
    <row r="2551" spans="1:14" x14ac:dyDescent="0.25">
      <c r="A2551">
        <v>1463.7715519999999</v>
      </c>
      <c r="B2551" s="1">
        <f>DATE(2014,5,3) + TIME(18,31,2)</f>
        <v>41762.771550925929</v>
      </c>
      <c r="C2551">
        <v>80</v>
      </c>
      <c r="D2551">
        <v>79.964950561999999</v>
      </c>
      <c r="E2551">
        <v>60</v>
      </c>
      <c r="F2551">
        <v>59.765216827000003</v>
      </c>
      <c r="G2551">
        <v>1340.7507324000001</v>
      </c>
      <c r="H2551">
        <v>1337.8831786999999</v>
      </c>
      <c r="I2551">
        <v>1327.6425781</v>
      </c>
      <c r="J2551">
        <v>1325.947876</v>
      </c>
      <c r="K2551">
        <v>2750</v>
      </c>
      <c r="L2551">
        <v>0</v>
      </c>
      <c r="M2551">
        <v>0</v>
      </c>
      <c r="N2551">
        <v>2750</v>
      </c>
    </row>
    <row r="2552" spans="1:14" x14ac:dyDescent="0.25">
      <c r="A2552">
        <v>1463.874634</v>
      </c>
      <c r="B2552" s="1">
        <f>DATE(2014,5,3) + TIME(20,59,28)</f>
        <v>41762.87462962963</v>
      </c>
      <c r="C2552">
        <v>80</v>
      </c>
      <c r="D2552">
        <v>79.968391417999996</v>
      </c>
      <c r="E2552">
        <v>60</v>
      </c>
      <c r="F2552">
        <v>59.75851059</v>
      </c>
      <c r="G2552">
        <v>1340.7543945</v>
      </c>
      <c r="H2552">
        <v>1337.8868408000001</v>
      </c>
      <c r="I2552">
        <v>1327.6413574000001</v>
      </c>
      <c r="J2552">
        <v>1325.9462891000001</v>
      </c>
      <c r="K2552">
        <v>2750</v>
      </c>
      <c r="L2552">
        <v>0</v>
      </c>
      <c r="M2552">
        <v>0</v>
      </c>
      <c r="N2552">
        <v>2750</v>
      </c>
    </row>
    <row r="2553" spans="1:14" x14ac:dyDescent="0.25">
      <c r="A2553">
        <v>1463.9804300000001</v>
      </c>
      <c r="B2553" s="1">
        <f>DATE(2014,5,3) + TIME(23,31,49)</f>
        <v>41762.980428240742</v>
      </c>
      <c r="C2553">
        <v>80</v>
      </c>
      <c r="D2553">
        <v>79.971145629999995</v>
      </c>
      <c r="E2553">
        <v>60</v>
      </c>
      <c r="F2553">
        <v>59.751670836999999</v>
      </c>
      <c r="G2553">
        <v>1340.7572021000001</v>
      </c>
      <c r="H2553">
        <v>1337.8900146000001</v>
      </c>
      <c r="I2553">
        <v>1327.6401367000001</v>
      </c>
      <c r="J2553">
        <v>1325.9445800999999</v>
      </c>
      <c r="K2553">
        <v>2750</v>
      </c>
      <c r="L2553">
        <v>0</v>
      </c>
      <c r="M2553">
        <v>0</v>
      </c>
      <c r="N2553">
        <v>2750</v>
      </c>
    </row>
    <row r="2554" spans="1:14" x14ac:dyDescent="0.25">
      <c r="A2554">
        <v>1464.0892369999999</v>
      </c>
      <c r="B2554" s="1">
        <f>DATE(2014,5,4) + TIME(2,8,30)</f>
        <v>41763.089236111111</v>
      </c>
      <c r="C2554">
        <v>80</v>
      </c>
      <c r="D2554">
        <v>79.973350525000001</v>
      </c>
      <c r="E2554">
        <v>60</v>
      </c>
      <c r="F2554">
        <v>59.744678497000002</v>
      </c>
      <c r="G2554">
        <v>1340.7592772999999</v>
      </c>
      <c r="H2554">
        <v>1337.8927002</v>
      </c>
      <c r="I2554">
        <v>1327.6389160000001</v>
      </c>
      <c r="J2554">
        <v>1325.9428711</v>
      </c>
      <c r="K2554">
        <v>2750</v>
      </c>
      <c r="L2554">
        <v>0</v>
      </c>
      <c r="M2554">
        <v>0</v>
      </c>
      <c r="N2554">
        <v>2750</v>
      </c>
    </row>
    <row r="2555" spans="1:14" x14ac:dyDescent="0.25">
      <c r="A2555">
        <v>1464.2015799999999</v>
      </c>
      <c r="B2555" s="1">
        <f>DATE(2014,5,4) + TIME(4,50,16)</f>
        <v>41763.201574074075</v>
      </c>
      <c r="C2555">
        <v>80</v>
      </c>
      <c r="D2555">
        <v>79.975112914999997</v>
      </c>
      <c r="E2555">
        <v>60</v>
      </c>
      <c r="F2555">
        <v>59.737510681000003</v>
      </c>
      <c r="G2555">
        <v>1340.7606201000001</v>
      </c>
      <c r="H2555">
        <v>1337.8950195</v>
      </c>
      <c r="I2555">
        <v>1327.6375731999999</v>
      </c>
      <c r="J2555">
        <v>1325.9411620999999</v>
      </c>
      <c r="K2555">
        <v>2750</v>
      </c>
      <c r="L2555">
        <v>0</v>
      </c>
      <c r="M2555">
        <v>0</v>
      </c>
      <c r="N2555">
        <v>2750</v>
      </c>
    </row>
    <row r="2556" spans="1:14" x14ac:dyDescent="0.25">
      <c r="A2556">
        <v>1464.3178700000001</v>
      </c>
      <c r="B2556" s="1">
        <f>DATE(2014,5,4) + TIME(7,37,43)</f>
        <v>41763.317858796298</v>
      </c>
      <c r="C2556">
        <v>80</v>
      </c>
      <c r="D2556">
        <v>79.976509093999994</v>
      </c>
      <c r="E2556">
        <v>60</v>
      </c>
      <c r="F2556">
        <v>59.730140685999999</v>
      </c>
      <c r="G2556">
        <v>1340.7607422000001</v>
      </c>
      <c r="H2556">
        <v>1337.8964844</v>
      </c>
      <c r="I2556">
        <v>1327.6362305</v>
      </c>
      <c r="J2556">
        <v>1325.9392089999999</v>
      </c>
      <c r="K2556">
        <v>2750</v>
      </c>
      <c r="L2556">
        <v>0</v>
      </c>
      <c r="M2556">
        <v>0</v>
      </c>
      <c r="N2556">
        <v>2750</v>
      </c>
    </row>
    <row r="2557" spans="1:14" x14ac:dyDescent="0.25">
      <c r="A2557">
        <v>1464.4386079999999</v>
      </c>
      <c r="B2557" s="1">
        <f>DATE(2014,5,4) + TIME(10,31,35)</f>
        <v>41763.438599537039</v>
      </c>
      <c r="C2557">
        <v>80</v>
      </c>
      <c r="D2557">
        <v>79.977615356000001</v>
      </c>
      <c r="E2557">
        <v>60</v>
      </c>
      <c r="F2557">
        <v>59.722541808999999</v>
      </c>
      <c r="G2557">
        <v>1340.7593993999999</v>
      </c>
      <c r="H2557">
        <v>1337.8970947</v>
      </c>
      <c r="I2557">
        <v>1327.6347656</v>
      </c>
      <c r="J2557">
        <v>1325.9372559000001</v>
      </c>
      <c r="K2557">
        <v>2750</v>
      </c>
      <c r="L2557">
        <v>0</v>
      </c>
      <c r="M2557">
        <v>0</v>
      </c>
      <c r="N2557">
        <v>2750</v>
      </c>
    </row>
    <row r="2558" spans="1:14" x14ac:dyDescent="0.25">
      <c r="A2558">
        <v>1464.5631619999999</v>
      </c>
      <c r="B2558" s="1">
        <f>DATE(2014,5,4) + TIME(13,30,57)</f>
        <v>41763.563159722224</v>
      </c>
      <c r="C2558">
        <v>80</v>
      </c>
      <c r="D2558">
        <v>79.978485106999997</v>
      </c>
      <c r="E2558">
        <v>60</v>
      </c>
      <c r="F2558">
        <v>59.714756012000002</v>
      </c>
      <c r="G2558">
        <v>1340.7575684000001</v>
      </c>
      <c r="H2558">
        <v>1337.8974608999999</v>
      </c>
      <c r="I2558">
        <v>1327.6331786999999</v>
      </c>
      <c r="J2558">
        <v>1325.9351807</v>
      </c>
      <c r="K2558">
        <v>2750</v>
      </c>
      <c r="L2558">
        <v>0</v>
      </c>
      <c r="M2558">
        <v>0</v>
      </c>
      <c r="N2558">
        <v>2750</v>
      </c>
    </row>
    <row r="2559" spans="1:14" x14ac:dyDescent="0.25">
      <c r="A2559">
        <v>1464.6911729999999</v>
      </c>
      <c r="B2559" s="1">
        <f>DATE(2014,5,4) + TIME(16,35,17)</f>
        <v>41763.691168981481</v>
      </c>
      <c r="C2559">
        <v>80</v>
      </c>
      <c r="D2559">
        <v>79.979156493999994</v>
      </c>
      <c r="E2559">
        <v>60</v>
      </c>
      <c r="F2559">
        <v>59.706794739000003</v>
      </c>
      <c r="G2559">
        <v>1340.755249</v>
      </c>
      <c r="H2559">
        <v>1337.8975829999999</v>
      </c>
      <c r="I2559">
        <v>1327.6315918</v>
      </c>
      <c r="J2559">
        <v>1325.9329834</v>
      </c>
      <c r="K2559">
        <v>2750</v>
      </c>
      <c r="L2559">
        <v>0</v>
      </c>
      <c r="M2559">
        <v>0</v>
      </c>
      <c r="N2559">
        <v>2750</v>
      </c>
    </row>
    <row r="2560" spans="1:14" x14ac:dyDescent="0.25">
      <c r="A2560">
        <v>1464.8230120000001</v>
      </c>
      <c r="B2560" s="1">
        <f>DATE(2014,5,4) + TIME(19,45,8)</f>
        <v>41763.823009259257</v>
      </c>
      <c r="C2560">
        <v>80</v>
      </c>
      <c r="D2560">
        <v>79.979682921999995</v>
      </c>
      <c r="E2560">
        <v>60</v>
      </c>
      <c r="F2560">
        <v>59.698642731</v>
      </c>
      <c r="G2560">
        <v>1340.7525635</v>
      </c>
      <c r="H2560">
        <v>1337.8974608999999</v>
      </c>
      <c r="I2560">
        <v>1327.6298827999999</v>
      </c>
      <c r="J2560">
        <v>1325.9307861</v>
      </c>
      <c r="K2560">
        <v>2750</v>
      </c>
      <c r="L2560">
        <v>0</v>
      </c>
      <c r="M2560">
        <v>0</v>
      </c>
      <c r="N2560">
        <v>2750</v>
      </c>
    </row>
    <row r="2561" spans="1:14" x14ac:dyDescent="0.25">
      <c r="A2561">
        <v>1464.959063</v>
      </c>
      <c r="B2561" s="1">
        <f>DATE(2014,5,4) + TIME(23,1,3)</f>
        <v>41763.959062499998</v>
      </c>
      <c r="C2561">
        <v>80</v>
      </c>
      <c r="D2561">
        <v>79.980087280000006</v>
      </c>
      <c r="E2561">
        <v>60</v>
      </c>
      <c r="F2561">
        <v>59.690280913999999</v>
      </c>
      <c r="G2561">
        <v>1340.7495117000001</v>
      </c>
      <c r="H2561">
        <v>1337.8970947</v>
      </c>
      <c r="I2561">
        <v>1327.6281738</v>
      </c>
      <c r="J2561">
        <v>1325.9283447</v>
      </c>
      <c r="K2561">
        <v>2750</v>
      </c>
      <c r="L2561">
        <v>0</v>
      </c>
      <c r="M2561">
        <v>0</v>
      </c>
      <c r="N2561">
        <v>2750</v>
      </c>
    </row>
    <row r="2562" spans="1:14" x14ac:dyDescent="0.25">
      <c r="A2562">
        <v>1465.0997560000001</v>
      </c>
      <c r="B2562" s="1">
        <f>DATE(2014,5,5) + TIME(2,23,38)</f>
        <v>41764.099745370368</v>
      </c>
      <c r="C2562">
        <v>80</v>
      </c>
      <c r="D2562">
        <v>79.980400084999999</v>
      </c>
      <c r="E2562">
        <v>60</v>
      </c>
      <c r="F2562">
        <v>59.681686401</v>
      </c>
      <c r="G2562">
        <v>1340.7459716999999</v>
      </c>
      <c r="H2562">
        <v>1337.8964844</v>
      </c>
      <c r="I2562">
        <v>1327.6263428</v>
      </c>
      <c r="J2562">
        <v>1325.9259033000001</v>
      </c>
      <c r="K2562">
        <v>2750</v>
      </c>
      <c r="L2562">
        <v>0</v>
      </c>
      <c r="M2562">
        <v>0</v>
      </c>
      <c r="N2562">
        <v>2750</v>
      </c>
    </row>
    <row r="2563" spans="1:14" x14ac:dyDescent="0.25">
      <c r="A2563">
        <v>1465.24548</v>
      </c>
      <c r="B2563" s="1">
        <f>DATE(2014,5,5) + TIME(5,53,29)</f>
        <v>41764.245474537034</v>
      </c>
      <c r="C2563">
        <v>80</v>
      </c>
      <c r="D2563">
        <v>79.980636597</v>
      </c>
      <c r="E2563">
        <v>60</v>
      </c>
      <c r="F2563">
        <v>59.672843933000003</v>
      </c>
      <c r="G2563">
        <v>1340.7421875</v>
      </c>
      <c r="H2563">
        <v>1337.8957519999999</v>
      </c>
      <c r="I2563">
        <v>1327.6243896000001</v>
      </c>
      <c r="J2563">
        <v>1325.9233397999999</v>
      </c>
      <c r="K2563">
        <v>2750</v>
      </c>
      <c r="L2563">
        <v>0</v>
      </c>
      <c r="M2563">
        <v>0</v>
      </c>
      <c r="N2563">
        <v>2750</v>
      </c>
    </row>
    <row r="2564" spans="1:14" x14ac:dyDescent="0.25">
      <c r="A2564">
        <v>1465.3951199999999</v>
      </c>
      <c r="B2564" s="1">
        <f>DATE(2014,5,5) + TIME(9,28,58)</f>
        <v>41764.395115740743</v>
      </c>
      <c r="C2564">
        <v>80</v>
      </c>
      <c r="D2564">
        <v>79.980819702000005</v>
      </c>
      <c r="E2564">
        <v>60</v>
      </c>
      <c r="F2564">
        <v>59.663806915000002</v>
      </c>
      <c r="G2564">
        <v>1340.7379149999999</v>
      </c>
      <c r="H2564">
        <v>1337.8947754000001</v>
      </c>
      <c r="I2564">
        <v>1327.6224365</v>
      </c>
      <c r="J2564">
        <v>1325.9205322</v>
      </c>
      <c r="K2564">
        <v>2750</v>
      </c>
      <c r="L2564">
        <v>0</v>
      </c>
      <c r="M2564">
        <v>0</v>
      </c>
      <c r="N2564">
        <v>2750</v>
      </c>
    </row>
    <row r="2565" spans="1:14" x14ac:dyDescent="0.25">
      <c r="A2565">
        <v>1465.549094</v>
      </c>
      <c r="B2565" s="1">
        <f>DATE(2014,5,5) + TIME(13,10,41)</f>
        <v>41764.549085648148</v>
      </c>
      <c r="C2565">
        <v>80</v>
      </c>
      <c r="D2565">
        <v>79.980957031000003</v>
      </c>
      <c r="E2565">
        <v>60</v>
      </c>
      <c r="F2565">
        <v>59.654560089</v>
      </c>
      <c r="G2565">
        <v>1340.7332764</v>
      </c>
      <c r="H2565">
        <v>1337.8936768000001</v>
      </c>
      <c r="I2565">
        <v>1327.6203613</v>
      </c>
      <c r="J2565">
        <v>1325.9177245999999</v>
      </c>
      <c r="K2565">
        <v>2750</v>
      </c>
      <c r="L2565">
        <v>0</v>
      </c>
      <c r="M2565">
        <v>0</v>
      </c>
      <c r="N2565">
        <v>2750</v>
      </c>
    </row>
    <row r="2566" spans="1:14" x14ac:dyDescent="0.25">
      <c r="A2566">
        <v>1465.707801</v>
      </c>
      <c r="B2566" s="1">
        <f>DATE(2014,5,5) + TIME(16,59,14)</f>
        <v>41764.707800925928</v>
      </c>
      <c r="C2566">
        <v>80</v>
      </c>
      <c r="D2566">
        <v>79.981056213000002</v>
      </c>
      <c r="E2566">
        <v>60</v>
      </c>
      <c r="F2566">
        <v>59.645080565999997</v>
      </c>
      <c r="G2566">
        <v>1340.7283935999999</v>
      </c>
      <c r="H2566">
        <v>1337.8923339999999</v>
      </c>
      <c r="I2566">
        <v>1327.6181641000001</v>
      </c>
      <c r="J2566">
        <v>1325.9146728999999</v>
      </c>
      <c r="K2566">
        <v>2750</v>
      </c>
      <c r="L2566">
        <v>0</v>
      </c>
      <c r="M2566">
        <v>0</v>
      </c>
      <c r="N2566">
        <v>2750</v>
      </c>
    </row>
    <row r="2567" spans="1:14" x14ac:dyDescent="0.25">
      <c r="A2567">
        <v>1465.871682</v>
      </c>
      <c r="B2567" s="1">
        <f>DATE(2014,5,5) + TIME(20,55,13)</f>
        <v>41764.871678240743</v>
      </c>
      <c r="C2567">
        <v>80</v>
      </c>
      <c r="D2567">
        <v>79.981132506999998</v>
      </c>
      <c r="E2567">
        <v>60</v>
      </c>
      <c r="F2567">
        <v>59.635353088000002</v>
      </c>
      <c r="G2567">
        <v>1340.7232666</v>
      </c>
      <c r="H2567">
        <v>1337.8908690999999</v>
      </c>
      <c r="I2567">
        <v>1327.6158447</v>
      </c>
      <c r="J2567">
        <v>1325.911499</v>
      </c>
      <c r="K2567">
        <v>2750</v>
      </c>
      <c r="L2567">
        <v>0</v>
      </c>
      <c r="M2567">
        <v>0</v>
      </c>
      <c r="N2567">
        <v>2750</v>
      </c>
    </row>
    <row r="2568" spans="1:14" x14ac:dyDescent="0.25">
      <c r="A2568">
        <v>1466.041244</v>
      </c>
      <c r="B2568" s="1">
        <f>DATE(2014,5,6) + TIME(0,59,23)</f>
        <v>41765.041238425925</v>
      </c>
      <c r="C2568">
        <v>80</v>
      </c>
      <c r="D2568">
        <v>79.981185913000004</v>
      </c>
      <c r="E2568">
        <v>60</v>
      </c>
      <c r="F2568">
        <v>59.625350951999998</v>
      </c>
      <c r="G2568">
        <v>1340.7177733999999</v>
      </c>
      <c r="H2568">
        <v>1337.8894043</v>
      </c>
      <c r="I2568">
        <v>1327.6135254000001</v>
      </c>
      <c r="J2568">
        <v>1325.9083252</v>
      </c>
      <c r="K2568">
        <v>2750</v>
      </c>
      <c r="L2568">
        <v>0</v>
      </c>
      <c r="M2568">
        <v>0</v>
      </c>
      <c r="N2568">
        <v>2750</v>
      </c>
    </row>
    <row r="2569" spans="1:14" x14ac:dyDescent="0.25">
      <c r="A2569">
        <v>1466.213377</v>
      </c>
      <c r="B2569" s="1">
        <f>DATE(2014,5,6) + TIME(5,7,15)</f>
        <v>41765.213368055556</v>
      </c>
      <c r="C2569">
        <v>80</v>
      </c>
      <c r="D2569">
        <v>79.981224060000002</v>
      </c>
      <c r="E2569">
        <v>60</v>
      </c>
      <c r="F2569">
        <v>59.615222930999998</v>
      </c>
      <c r="G2569">
        <v>1340.7120361</v>
      </c>
      <c r="H2569">
        <v>1337.8876952999999</v>
      </c>
      <c r="I2569">
        <v>1327.6109618999999</v>
      </c>
      <c r="J2569">
        <v>1325.9049072</v>
      </c>
      <c r="K2569">
        <v>2750</v>
      </c>
      <c r="L2569">
        <v>0</v>
      </c>
      <c r="M2569">
        <v>0</v>
      </c>
      <c r="N2569">
        <v>2750</v>
      </c>
    </row>
    <row r="2570" spans="1:14" x14ac:dyDescent="0.25">
      <c r="A2570">
        <v>1466.386888</v>
      </c>
      <c r="B2570" s="1">
        <f>DATE(2014,5,6) + TIME(9,17,7)</f>
        <v>41765.386886574073</v>
      </c>
      <c r="C2570">
        <v>80</v>
      </c>
      <c r="D2570">
        <v>79.981246948000006</v>
      </c>
      <c r="E2570">
        <v>60</v>
      </c>
      <c r="F2570">
        <v>59.605037689</v>
      </c>
      <c r="G2570">
        <v>1340.7061768000001</v>
      </c>
      <c r="H2570">
        <v>1337.8858643000001</v>
      </c>
      <c r="I2570">
        <v>1327.6083983999999</v>
      </c>
      <c r="J2570">
        <v>1325.9013672000001</v>
      </c>
      <c r="K2570">
        <v>2750</v>
      </c>
      <c r="L2570">
        <v>0</v>
      </c>
      <c r="M2570">
        <v>0</v>
      </c>
      <c r="N2570">
        <v>2750</v>
      </c>
    </row>
    <row r="2571" spans="1:14" x14ac:dyDescent="0.25">
      <c r="A2571">
        <v>1466.562165</v>
      </c>
      <c r="B2571" s="1">
        <f>DATE(2014,5,6) + TIME(13,29,31)</f>
        <v>41765.562164351853</v>
      </c>
      <c r="C2571">
        <v>80</v>
      </c>
      <c r="D2571">
        <v>79.981262207</v>
      </c>
      <c r="E2571">
        <v>60</v>
      </c>
      <c r="F2571">
        <v>59.594776154000002</v>
      </c>
      <c r="G2571">
        <v>1340.7001952999999</v>
      </c>
      <c r="H2571">
        <v>1337.8840332</v>
      </c>
      <c r="I2571">
        <v>1327.6058350000001</v>
      </c>
      <c r="J2571">
        <v>1325.8977050999999</v>
      </c>
      <c r="K2571">
        <v>2750</v>
      </c>
      <c r="L2571">
        <v>0</v>
      </c>
      <c r="M2571">
        <v>0</v>
      </c>
      <c r="N2571">
        <v>2750</v>
      </c>
    </row>
    <row r="2572" spans="1:14" x14ac:dyDescent="0.25">
      <c r="A2572">
        <v>1466.739662</v>
      </c>
      <c r="B2572" s="1">
        <f>DATE(2014,5,6) + TIME(17,45,6)</f>
        <v>41765.739652777775</v>
      </c>
      <c r="C2572">
        <v>80</v>
      </c>
      <c r="D2572">
        <v>79.981269835999996</v>
      </c>
      <c r="E2572">
        <v>60</v>
      </c>
      <c r="F2572">
        <v>59.584423065000003</v>
      </c>
      <c r="G2572">
        <v>1340.6940918</v>
      </c>
      <c r="H2572">
        <v>1337.8822021000001</v>
      </c>
      <c r="I2572">
        <v>1327.6031493999999</v>
      </c>
      <c r="J2572">
        <v>1325.894043</v>
      </c>
      <c r="K2572">
        <v>2750</v>
      </c>
      <c r="L2572">
        <v>0</v>
      </c>
      <c r="M2572">
        <v>0</v>
      </c>
      <c r="N2572">
        <v>2750</v>
      </c>
    </row>
    <row r="2573" spans="1:14" x14ac:dyDescent="0.25">
      <c r="A2573">
        <v>1466.919834</v>
      </c>
      <c r="B2573" s="1">
        <f>DATE(2014,5,6) + TIME(22,4,33)</f>
        <v>41765.91982638889</v>
      </c>
      <c r="C2573">
        <v>80</v>
      </c>
      <c r="D2573">
        <v>79.981269835999996</v>
      </c>
      <c r="E2573">
        <v>60</v>
      </c>
      <c r="F2573">
        <v>59.573963165000002</v>
      </c>
      <c r="G2573">
        <v>1340.6879882999999</v>
      </c>
      <c r="H2573">
        <v>1337.880249</v>
      </c>
      <c r="I2573">
        <v>1327.6004639</v>
      </c>
      <c r="J2573">
        <v>1325.8902588000001</v>
      </c>
      <c r="K2573">
        <v>2750</v>
      </c>
      <c r="L2573">
        <v>0</v>
      </c>
      <c r="M2573">
        <v>0</v>
      </c>
      <c r="N2573">
        <v>2750</v>
      </c>
    </row>
    <row r="2574" spans="1:14" x14ac:dyDescent="0.25">
      <c r="A2574">
        <v>1467.1031519999999</v>
      </c>
      <c r="B2574" s="1">
        <f>DATE(2014,5,7) + TIME(2,28,32)</f>
        <v>41766.103148148148</v>
      </c>
      <c r="C2574">
        <v>80</v>
      </c>
      <c r="D2574">
        <v>79.981262207</v>
      </c>
      <c r="E2574">
        <v>60</v>
      </c>
      <c r="F2574">
        <v>59.563373566000003</v>
      </c>
      <c r="G2574">
        <v>1340.6818848</v>
      </c>
      <c r="H2574">
        <v>1337.8782959</v>
      </c>
      <c r="I2574">
        <v>1327.5976562000001</v>
      </c>
      <c r="J2574">
        <v>1325.8863524999999</v>
      </c>
      <c r="K2574">
        <v>2750</v>
      </c>
      <c r="L2574">
        <v>0</v>
      </c>
      <c r="M2574">
        <v>0</v>
      </c>
      <c r="N2574">
        <v>2750</v>
      </c>
    </row>
    <row r="2575" spans="1:14" x14ac:dyDescent="0.25">
      <c r="A2575">
        <v>1467.2901139999999</v>
      </c>
      <c r="B2575" s="1">
        <f>DATE(2014,5,7) + TIME(6,57,45)</f>
        <v>41766.29010416667</v>
      </c>
      <c r="C2575">
        <v>80</v>
      </c>
      <c r="D2575">
        <v>79.981254578000005</v>
      </c>
      <c r="E2575">
        <v>60</v>
      </c>
      <c r="F2575">
        <v>59.552631378000001</v>
      </c>
      <c r="G2575">
        <v>1340.6756591999999</v>
      </c>
      <c r="H2575">
        <v>1337.8763428</v>
      </c>
      <c r="I2575">
        <v>1327.5947266000001</v>
      </c>
      <c r="J2575">
        <v>1325.8823242000001</v>
      </c>
      <c r="K2575">
        <v>2750</v>
      </c>
      <c r="L2575">
        <v>0</v>
      </c>
      <c r="M2575">
        <v>0</v>
      </c>
      <c r="N2575">
        <v>2750</v>
      </c>
    </row>
    <row r="2576" spans="1:14" x14ac:dyDescent="0.25">
      <c r="A2576">
        <v>1467.4812489999999</v>
      </c>
      <c r="B2576" s="1">
        <f>DATE(2014,5,7) + TIME(11,32,59)</f>
        <v>41766.481238425928</v>
      </c>
      <c r="C2576">
        <v>80</v>
      </c>
      <c r="D2576">
        <v>79.981239318999997</v>
      </c>
      <c r="E2576">
        <v>60</v>
      </c>
      <c r="F2576">
        <v>59.541713715</v>
      </c>
      <c r="G2576">
        <v>1340.6693115</v>
      </c>
      <c r="H2576">
        <v>1337.8743896000001</v>
      </c>
      <c r="I2576">
        <v>1327.5916748</v>
      </c>
      <c r="J2576">
        <v>1325.8780518000001</v>
      </c>
      <c r="K2576">
        <v>2750</v>
      </c>
      <c r="L2576">
        <v>0</v>
      </c>
      <c r="M2576">
        <v>0</v>
      </c>
      <c r="N2576">
        <v>2750</v>
      </c>
    </row>
    <row r="2577" spans="1:14" x14ac:dyDescent="0.25">
      <c r="A2577">
        <v>1467.677567</v>
      </c>
      <c r="B2577" s="1">
        <f>DATE(2014,5,7) + TIME(16,15,41)</f>
        <v>41766.677557870367</v>
      </c>
      <c r="C2577">
        <v>80</v>
      </c>
      <c r="D2577">
        <v>79.981224060000002</v>
      </c>
      <c r="E2577">
        <v>60</v>
      </c>
      <c r="F2577">
        <v>59.530574799</v>
      </c>
      <c r="G2577">
        <v>1340.6628418</v>
      </c>
      <c r="H2577">
        <v>1337.8723144999999</v>
      </c>
      <c r="I2577">
        <v>1327.5886230000001</v>
      </c>
      <c r="J2577">
        <v>1325.8737793</v>
      </c>
      <c r="K2577">
        <v>2750</v>
      </c>
      <c r="L2577">
        <v>0</v>
      </c>
      <c r="M2577">
        <v>0</v>
      </c>
      <c r="N2577">
        <v>2750</v>
      </c>
    </row>
    <row r="2578" spans="1:14" x14ac:dyDescent="0.25">
      <c r="A2578">
        <v>1467.8799369999999</v>
      </c>
      <c r="B2578" s="1">
        <f>DATE(2014,5,7) + TIME(21,7,6)</f>
        <v>41766.879930555559</v>
      </c>
      <c r="C2578">
        <v>80</v>
      </c>
      <c r="D2578">
        <v>79.981208800999994</v>
      </c>
      <c r="E2578">
        <v>60</v>
      </c>
      <c r="F2578">
        <v>59.519176483000003</v>
      </c>
      <c r="G2578">
        <v>1340.65625</v>
      </c>
      <c r="H2578">
        <v>1337.8702393000001</v>
      </c>
      <c r="I2578">
        <v>1327.5854492000001</v>
      </c>
      <c r="J2578">
        <v>1325.8693848</v>
      </c>
      <c r="K2578">
        <v>2750</v>
      </c>
      <c r="L2578">
        <v>0</v>
      </c>
      <c r="M2578">
        <v>0</v>
      </c>
      <c r="N2578">
        <v>2750</v>
      </c>
    </row>
    <row r="2579" spans="1:14" x14ac:dyDescent="0.25">
      <c r="A2579">
        <v>1468.085165</v>
      </c>
      <c r="B2579" s="1">
        <f>DATE(2014,5,8) + TIME(2,2,38)</f>
        <v>41767.085162037038</v>
      </c>
      <c r="C2579">
        <v>80</v>
      </c>
      <c r="D2579">
        <v>79.981185913000004</v>
      </c>
      <c r="E2579">
        <v>60</v>
      </c>
      <c r="F2579">
        <v>59.507659912000001</v>
      </c>
      <c r="G2579">
        <v>1340.6496582</v>
      </c>
      <c r="H2579">
        <v>1337.8680420000001</v>
      </c>
      <c r="I2579">
        <v>1327.5821533000001</v>
      </c>
      <c r="J2579">
        <v>1325.8647461</v>
      </c>
      <c r="K2579">
        <v>2750</v>
      </c>
      <c r="L2579">
        <v>0</v>
      </c>
      <c r="M2579">
        <v>0</v>
      </c>
      <c r="N2579">
        <v>2750</v>
      </c>
    </row>
    <row r="2580" spans="1:14" x14ac:dyDescent="0.25">
      <c r="A2580">
        <v>1468.293758</v>
      </c>
      <c r="B2580" s="1">
        <f>DATE(2014,5,8) + TIME(7,3,0)</f>
        <v>41767.293749999997</v>
      </c>
      <c r="C2580">
        <v>80</v>
      </c>
      <c r="D2580">
        <v>79.981163025000001</v>
      </c>
      <c r="E2580">
        <v>60</v>
      </c>
      <c r="F2580">
        <v>59.496009827000002</v>
      </c>
      <c r="G2580">
        <v>1340.6429443</v>
      </c>
      <c r="H2580">
        <v>1337.8659668</v>
      </c>
      <c r="I2580">
        <v>1327.5787353999999</v>
      </c>
      <c r="J2580">
        <v>1325.8599853999999</v>
      </c>
      <c r="K2580">
        <v>2750</v>
      </c>
      <c r="L2580">
        <v>0</v>
      </c>
      <c r="M2580">
        <v>0</v>
      </c>
      <c r="N2580">
        <v>2750</v>
      </c>
    </row>
    <row r="2581" spans="1:14" x14ac:dyDescent="0.25">
      <c r="A2581">
        <v>1468.5061929999999</v>
      </c>
      <c r="B2581" s="1">
        <f>DATE(2014,5,8) + TIME(12,8,55)</f>
        <v>41767.506192129629</v>
      </c>
      <c r="C2581">
        <v>80</v>
      </c>
      <c r="D2581">
        <v>79.981140136999997</v>
      </c>
      <c r="E2581">
        <v>60</v>
      </c>
      <c r="F2581">
        <v>59.484199523999997</v>
      </c>
      <c r="G2581">
        <v>1340.6362305</v>
      </c>
      <c r="H2581">
        <v>1337.8637695</v>
      </c>
      <c r="I2581">
        <v>1327.5751952999999</v>
      </c>
      <c r="J2581">
        <v>1325.8551024999999</v>
      </c>
      <c r="K2581">
        <v>2750</v>
      </c>
      <c r="L2581">
        <v>0</v>
      </c>
      <c r="M2581">
        <v>0</v>
      </c>
      <c r="N2581">
        <v>2750</v>
      </c>
    </row>
    <row r="2582" spans="1:14" x14ac:dyDescent="0.25">
      <c r="A2582">
        <v>1468.7229769999999</v>
      </c>
      <c r="B2582" s="1">
        <f>DATE(2014,5,8) + TIME(17,21,5)</f>
        <v>41767.722974537035</v>
      </c>
      <c r="C2582">
        <v>80</v>
      </c>
      <c r="D2582">
        <v>79.981117248999993</v>
      </c>
      <c r="E2582">
        <v>60</v>
      </c>
      <c r="F2582">
        <v>59.472217559999997</v>
      </c>
      <c r="G2582">
        <v>1340.6295166</v>
      </c>
      <c r="H2582">
        <v>1337.8616943</v>
      </c>
      <c r="I2582">
        <v>1327.5716553</v>
      </c>
      <c r="J2582">
        <v>1325.8499756000001</v>
      </c>
      <c r="K2582">
        <v>2750</v>
      </c>
      <c r="L2582">
        <v>0</v>
      </c>
      <c r="M2582">
        <v>0</v>
      </c>
      <c r="N2582">
        <v>2750</v>
      </c>
    </row>
    <row r="2583" spans="1:14" x14ac:dyDescent="0.25">
      <c r="A2583">
        <v>1468.9446660000001</v>
      </c>
      <c r="B2583" s="1">
        <f>DATE(2014,5,8) + TIME(22,40,19)</f>
        <v>41767.944664351853</v>
      </c>
      <c r="C2583">
        <v>80</v>
      </c>
      <c r="D2583">
        <v>79.981086731000005</v>
      </c>
      <c r="E2583">
        <v>60</v>
      </c>
      <c r="F2583">
        <v>59.460041046000001</v>
      </c>
      <c r="G2583">
        <v>1340.6228027</v>
      </c>
      <c r="H2583">
        <v>1337.8594971</v>
      </c>
      <c r="I2583">
        <v>1327.5679932</v>
      </c>
      <c r="J2583">
        <v>1325.8448486</v>
      </c>
      <c r="K2583">
        <v>2750</v>
      </c>
      <c r="L2583">
        <v>0</v>
      </c>
      <c r="M2583">
        <v>0</v>
      </c>
      <c r="N2583">
        <v>2750</v>
      </c>
    </row>
    <row r="2584" spans="1:14" x14ac:dyDescent="0.25">
      <c r="A2584">
        <v>1469.171871</v>
      </c>
      <c r="B2584" s="1">
        <f>DATE(2014,5,9) + TIME(4,7,29)</f>
        <v>41768.171863425923</v>
      </c>
      <c r="C2584">
        <v>80</v>
      </c>
      <c r="D2584">
        <v>79.981063843000001</v>
      </c>
      <c r="E2584">
        <v>60</v>
      </c>
      <c r="F2584">
        <v>59.447635650999999</v>
      </c>
      <c r="G2584">
        <v>1340.6159668</v>
      </c>
      <c r="H2584">
        <v>1337.8572998</v>
      </c>
      <c r="I2584">
        <v>1327.5642089999999</v>
      </c>
      <c r="J2584">
        <v>1325.8394774999999</v>
      </c>
      <c r="K2584">
        <v>2750</v>
      </c>
      <c r="L2584">
        <v>0</v>
      </c>
      <c r="M2584">
        <v>0</v>
      </c>
      <c r="N2584">
        <v>2750</v>
      </c>
    </row>
    <row r="2585" spans="1:14" x14ac:dyDescent="0.25">
      <c r="A2585">
        <v>1469.405254</v>
      </c>
      <c r="B2585" s="1">
        <f>DATE(2014,5,9) + TIME(9,43,33)</f>
        <v>41768.405243055553</v>
      </c>
      <c r="C2585">
        <v>80</v>
      </c>
      <c r="D2585">
        <v>79.981033324999999</v>
      </c>
      <c r="E2585">
        <v>60</v>
      </c>
      <c r="F2585">
        <v>59.434982300000001</v>
      </c>
      <c r="G2585">
        <v>1340.6091309000001</v>
      </c>
      <c r="H2585">
        <v>1337.8552245999999</v>
      </c>
      <c r="I2585">
        <v>1327.5601807</v>
      </c>
      <c r="J2585">
        <v>1325.8339844</v>
      </c>
      <c r="K2585">
        <v>2750</v>
      </c>
      <c r="L2585">
        <v>0</v>
      </c>
      <c r="M2585">
        <v>0</v>
      </c>
      <c r="N2585">
        <v>2750</v>
      </c>
    </row>
    <row r="2586" spans="1:14" x14ac:dyDescent="0.25">
      <c r="A2586">
        <v>1469.6449070000001</v>
      </c>
      <c r="B2586" s="1">
        <f>DATE(2014,5,9) + TIME(15,28,39)</f>
        <v>41768.644895833335</v>
      </c>
      <c r="C2586">
        <v>80</v>
      </c>
      <c r="D2586">
        <v>79.981002808</v>
      </c>
      <c r="E2586">
        <v>60</v>
      </c>
      <c r="F2586">
        <v>59.422077178999999</v>
      </c>
      <c r="G2586">
        <v>1340.6021728999999</v>
      </c>
      <c r="H2586">
        <v>1337.8530272999999</v>
      </c>
      <c r="I2586">
        <v>1327.5561522999999</v>
      </c>
      <c r="J2586">
        <v>1325.8282471</v>
      </c>
      <c r="K2586">
        <v>2750</v>
      </c>
      <c r="L2586">
        <v>0</v>
      </c>
      <c r="M2586">
        <v>0</v>
      </c>
      <c r="N2586">
        <v>2750</v>
      </c>
    </row>
    <row r="2587" spans="1:14" x14ac:dyDescent="0.25">
      <c r="A2587">
        <v>1469.888318</v>
      </c>
      <c r="B2587" s="1">
        <f>DATE(2014,5,9) + TIME(21,19,10)</f>
        <v>41768.888310185182</v>
      </c>
      <c r="C2587">
        <v>80</v>
      </c>
      <c r="D2587">
        <v>79.980972289999997</v>
      </c>
      <c r="E2587">
        <v>60</v>
      </c>
      <c r="F2587">
        <v>59.409015656000001</v>
      </c>
      <c r="G2587">
        <v>1340.5950928</v>
      </c>
      <c r="H2587">
        <v>1337.8508300999999</v>
      </c>
      <c r="I2587">
        <v>1327.5520019999999</v>
      </c>
      <c r="J2587">
        <v>1325.8222656</v>
      </c>
      <c r="K2587">
        <v>2750</v>
      </c>
      <c r="L2587">
        <v>0</v>
      </c>
      <c r="M2587">
        <v>0</v>
      </c>
      <c r="N2587">
        <v>2750</v>
      </c>
    </row>
    <row r="2588" spans="1:14" x14ac:dyDescent="0.25">
      <c r="A2588">
        <v>1470.13609</v>
      </c>
      <c r="B2588" s="1">
        <f>DATE(2014,5,10) + TIME(3,15,58)</f>
        <v>41769.136087962965</v>
      </c>
      <c r="C2588">
        <v>80</v>
      </c>
      <c r="D2588">
        <v>79.980949401999993</v>
      </c>
      <c r="E2588">
        <v>60</v>
      </c>
      <c r="F2588">
        <v>59.395786285</v>
      </c>
      <c r="G2588">
        <v>1340.5881348</v>
      </c>
      <c r="H2588">
        <v>1337.8486327999999</v>
      </c>
      <c r="I2588">
        <v>1327.5477295000001</v>
      </c>
      <c r="J2588">
        <v>1325.8162841999999</v>
      </c>
      <c r="K2588">
        <v>2750</v>
      </c>
      <c r="L2588">
        <v>0</v>
      </c>
      <c r="M2588">
        <v>0</v>
      </c>
      <c r="N2588">
        <v>2750</v>
      </c>
    </row>
    <row r="2589" spans="1:14" x14ac:dyDescent="0.25">
      <c r="A2589">
        <v>1470.3888179999999</v>
      </c>
      <c r="B2589" s="1">
        <f>DATE(2014,5,10) + TIME(9,19,53)</f>
        <v>41769.388807870368</v>
      </c>
      <c r="C2589">
        <v>80</v>
      </c>
      <c r="D2589">
        <v>79.980918884000005</v>
      </c>
      <c r="E2589">
        <v>60</v>
      </c>
      <c r="F2589">
        <v>59.382362366000002</v>
      </c>
      <c r="G2589">
        <v>1340.5811768000001</v>
      </c>
      <c r="H2589">
        <v>1337.8465576000001</v>
      </c>
      <c r="I2589">
        <v>1327.5432129000001</v>
      </c>
      <c r="J2589">
        <v>1325.8100586</v>
      </c>
      <c r="K2589">
        <v>2750</v>
      </c>
      <c r="L2589">
        <v>0</v>
      </c>
      <c r="M2589">
        <v>0</v>
      </c>
      <c r="N2589">
        <v>2750</v>
      </c>
    </row>
    <row r="2590" spans="1:14" x14ac:dyDescent="0.25">
      <c r="A2590">
        <v>1470.647136</v>
      </c>
      <c r="B2590" s="1">
        <f>DATE(2014,5,10) + TIME(15,31,52)</f>
        <v>41769.647129629629</v>
      </c>
      <c r="C2590">
        <v>80</v>
      </c>
      <c r="D2590">
        <v>79.980880737000007</v>
      </c>
      <c r="E2590">
        <v>60</v>
      </c>
      <c r="F2590">
        <v>59.368728638</v>
      </c>
      <c r="G2590">
        <v>1340.5742187999999</v>
      </c>
      <c r="H2590">
        <v>1337.8443603999999</v>
      </c>
      <c r="I2590">
        <v>1327.5386963000001</v>
      </c>
      <c r="J2590">
        <v>1325.8035889</v>
      </c>
      <c r="K2590">
        <v>2750</v>
      </c>
      <c r="L2590">
        <v>0</v>
      </c>
      <c r="M2590">
        <v>0</v>
      </c>
      <c r="N2590">
        <v>2750</v>
      </c>
    </row>
    <row r="2591" spans="1:14" x14ac:dyDescent="0.25">
      <c r="A2591">
        <v>1470.9117409999999</v>
      </c>
      <c r="B2591" s="1">
        <f>DATE(2014,5,10) + TIME(21,52,54)</f>
        <v>41769.911736111113</v>
      </c>
      <c r="C2591">
        <v>80</v>
      </c>
      <c r="D2591">
        <v>79.980850219999994</v>
      </c>
      <c r="E2591">
        <v>60</v>
      </c>
      <c r="F2591">
        <v>59.354854584000002</v>
      </c>
      <c r="G2591">
        <v>1340.5672606999999</v>
      </c>
      <c r="H2591">
        <v>1337.8422852000001</v>
      </c>
      <c r="I2591">
        <v>1327.5340576000001</v>
      </c>
      <c r="J2591">
        <v>1325.7969971</v>
      </c>
      <c r="K2591">
        <v>2750</v>
      </c>
      <c r="L2591">
        <v>0</v>
      </c>
      <c r="M2591">
        <v>0</v>
      </c>
      <c r="N2591">
        <v>2750</v>
      </c>
    </row>
    <row r="2592" spans="1:14" x14ac:dyDescent="0.25">
      <c r="A2592">
        <v>1471.183421</v>
      </c>
      <c r="B2592" s="1">
        <f>DATE(2014,5,11) + TIME(4,24,7)</f>
        <v>41770.18341435185</v>
      </c>
      <c r="C2592">
        <v>80</v>
      </c>
      <c r="D2592">
        <v>79.980819702000005</v>
      </c>
      <c r="E2592">
        <v>60</v>
      </c>
      <c r="F2592">
        <v>59.340709685999997</v>
      </c>
      <c r="G2592">
        <v>1340.5603027</v>
      </c>
      <c r="H2592">
        <v>1337.8402100000001</v>
      </c>
      <c r="I2592">
        <v>1327.5292969</v>
      </c>
      <c r="J2592">
        <v>1325.7901611</v>
      </c>
      <c r="K2592">
        <v>2750</v>
      </c>
      <c r="L2592">
        <v>0</v>
      </c>
      <c r="M2592">
        <v>0</v>
      </c>
      <c r="N2592">
        <v>2750</v>
      </c>
    </row>
    <row r="2593" spans="1:14" x14ac:dyDescent="0.25">
      <c r="A2593">
        <v>1471.464438</v>
      </c>
      <c r="B2593" s="1">
        <f>DATE(2014,5,11) + TIME(11,8,47)</f>
        <v>41770.464432870373</v>
      </c>
      <c r="C2593">
        <v>80</v>
      </c>
      <c r="D2593">
        <v>79.980789185000006</v>
      </c>
      <c r="E2593">
        <v>60</v>
      </c>
      <c r="F2593">
        <v>59.326206206999998</v>
      </c>
      <c r="G2593">
        <v>1340.5532227000001</v>
      </c>
      <c r="H2593">
        <v>1337.8380127</v>
      </c>
      <c r="I2593">
        <v>1327.5242920000001</v>
      </c>
      <c r="J2593">
        <v>1325.7830810999999</v>
      </c>
      <c r="K2593">
        <v>2750</v>
      </c>
      <c r="L2593">
        <v>0</v>
      </c>
      <c r="M2593">
        <v>0</v>
      </c>
      <c r="N2593">
        <v>2750</v>
      </c>
    </row>
    <row r="2594" spans="1:14" x14ac:dyDescent="0.25">
      <c r="A2594">
        <v>1471.7528649999999</v>
      </c>
      <c r="B2594" s="1">
        <f>DATE(2014,5,11) + TIME(18,4,7)</f>
        <v>41770.752858796295</v>
      </c>
      <c r="C2594">
        <v>80</v>
      </c>
      <c r="D2594">
        <v>79.980758667000003</v>
      </c>
      <c r="E2594">
        <v>60</v>
      </c>
      <c r="F2594">
        <v>59.311408997000001</v>
      </c>
      <c r="G2594">
        <v>1340.5461425999999</v>
      </c>
      <c r="H2594">
        <v>1337.8359375</v>
      </c>
      <c r="I2594">
        <v>1327.519043</v>
      </c>
      <c r="J2594">
        <v>1325.7757568</v>
      </c>
      <c r="K2594">
        <v>2750</v>
      </c>
      <c r="L2594">
        <v>0</v>
      </c>
      <c r="M2594">
        <v>0</v>
      </c>
      <c r="N2594">
        <v>2750</v>
      </c>
    </row>
    <row r="2595" spans="1:14" x14ac:dyDescent="0.25">
      <c r="A2595">
        <v>1472.045944</v>
      </c>
      <c r="B2595" s="1">
        <f>DATE(2014,5,12) + TIME(1,6,9)</f>
        <v>41771.045937499999</v>
      </c>
      <c r="C2595">
        <v>80</v>
      </c>
      <c r="D2595">
        <v>79.980720520000006</v>
      </c>
      <c r="E2595">
        <v>60</v>
      </c>
      <c r="F2595">
        <v>59.296428679999998</v>
      </c>
      <c r="G2595">
        <v>1340.5390625</v>
      </c>
      <c r="H2595">
        <v>1337.8338623</v>
      </c>
      <c r="I2595">
        <v>1327.5137939000001</v>
      </c>
      <c r="J2595">
        <v>1325.7681885</v>
      </c>
      <c r="K2595">
        <v>2750</v>
      </c>
      <c r="L2595">
        <v>0</v>
      </c>
      <c r="M2595">
        <v>0</v>
      </c>
      <c r="N2595">
        <v>2750</v>
      </c>
    </row>
    <row r="2596" spans="1:14" x14ac:dyDescent="0.25">
      <c r="A2596">
        <v>1472.3452870000001</v>
      </c>
      <c r="B2596" s="1">
        <f>DATE(2014,5,12) + TIME(8,17,12)</f>
        <v>41771.345277777778</v>
      </c>
      <c r="C2596">
        <v>80</v>
      </c>
      <c r="D2596">
        <v>79.980690002000003</v>
      </c>
      <c r="E2596">
        <v>60</v>
      </c>
      <c r="F2596">
        <v>59.281215668000002</v>
      </c>
      <c r="G2596">
        <v>1340.5319824000001</v>
      </c>
      <c r="H2596">
        <v>1337.8317870999999</v>
      </c>
      <c r="I2596">
        <v>1327.5083007999999</v>
      </c>
      <c r="J2596">
        <v>1325.7604980000001</v>
      </c>
      <c r="K2596">
        <v>2750</v>
      </c>
      <c r="L2596">
        <v>0</v>
      </c>
      <c r="M2596">
        <v>0</v>
      </c>
      <c r="N2596">
        <v>2750</v>
      </c>
    </row>
    <row r="2597" spans="1:14" x14ac:dyDescent="0.25">
      <c r="A2597">
        <v>1472.6531070000001</v>
      </c>
      <c r="B2597" s="1">
        <f>DATE(2014,5,12) + TIME(15,40,28)</f>
        <v>41771.653101851851</v>
      </c>
      <c r="C2597">
        <v>80</v>
      </c>
      <c r="D2597">
        <v>79.980659485000004</v>
      </c>
      <c r="E2597">
        <v>60</v>
      </c>
      <c r="F2597">
        <v>59.265686035000002</v>
      </c>
      <c r="G2597">
        <v>1340.5249022999999</v>
      </c>
      <c r="H2597">
        <v>1337.8297118999999</v>
      </c>
      <c r="I2597">
        <v>1327.5026855000001</v>
      </c>
      <c r="J2597">
        <v>1325.7525635</v>
      </c>
      <c r="K2597">
        <v>2750</v>
      </c>
      <c r="L2597">
        <v>0</v>
      </c>
      <c r="M2597">
        <v>0</v>
      </c>
      <c r="N2597">
        <v>2750</v>
      </c>
    </row>
    <row r="2598" spans="1:14" x14ac:dyDescent="0.25">
      <c r="A2598">
        <v>1472.9706779999999</v>
      </c>
      <c r="B2598" s="1">
        <f>DATE(2014,5,12) + TIME(23,17,46)</f>
        <v>41771.970671296294</v>
      </c>
      <c r="C2598">
        <v>80</v>
      </c>
      <c r="D2598">
        <v>79.980621338000006</v>
      </c>
      <c r="E2598">
        <v>60</v>
      </c>
      <c r="F2598">
        <v>59.249801636000001</v>
      </c>
      <c r="G2598">
        <v>1340.5178223</v>
      </c>
      <c r="H2598">
        <v>1337.8276367000001</v>
      </c>
      <c r="I2598">
        <v>1327.4969481999999</v>
      </c>
      <c r="J2598">
        <v>1325.7442627</v>
      </c>
      <c r="K2598">
        <v>2750</v>
      </c>
      <c r="L2598">
        <v>0</v>
      </c>
      <c r="M2598">
        <v>0</v>
      </c>
      <c r="N2598">
        <v>2750</v>
      </c>
    </row>
    <row r="2599" spans="1:14" x14ac:dyDescent="0.25">
      <c r="A2599">
        <v>1473.297509</v>
      </c>
      <c r="B2599" s="1">
        <f>DATE(2014,5,13) + TIME(7,8,24)</f>
        <v>41772.297500000001</v>
      </c>
      <c r="C2599">
        <v>80</v>
      </c>
      <c r="D2599">
        <v>79.980590820000003</v>
      </c>
      <c r="E2599">
        <v>60</v>
      </c>
      <c r="F2599">
        <v>59.233573913999997</v>
      </c>
      <c r="G2599">
        <v>1340.5106201000001</v>
      </c>
      <c r="H2599">
        <v>1337.8256836</v>
      </c>
      <c r="I2599">
        <v>1327.4909668</v>
      </c>
      <c r="J2599">
        <v>1325.7357178</v>
      </c>
      <c r="K2599">
        <v>2750</v>
      </c>
      <c r="L2599">
        <v>0</v>
      </c>
      <c r="M2599">
        <v>0</v>
      </c>
      <c r="N2599">
        <v>2750</v>
      </c>
    </row>
    <row r="2600" spans="1:14" x14ac:dyDescent="0.25">
      <c r="A2600">
        <v>1473.6285820000001</v>
      </c>
      <c r="B2600" s="1">
        <f>DATE(2014,5,13) + TIME(15,5,9)</f>
        <v>41772.628576388888</v>
      </c>
      <c r="C2600">
        <v>80</v>
      </c>
      <c r="D2600">
        <v>79.980552673000005</v>
      </c>
      <c r="E2600">
        <v>60</v>
      </c>
      <c r="F2600">
        <v>59.217170715000002</v>
      </c>
      <c r="G2600">
        <v>1340.503418</v>
      </c>
      <c r="H2600">
        <v>1337.8236084</v>
      </c>
      <c r="I2600">
        <v>1327.4847411999999</v>
      </c>
      <c r="J2600">
        <v>1325.7269286999999</v>
      </c>
      <c r="K2600">
        <v>2750</v>
      </c>
      <c r="L2600">
        <v>0</v>
      </c>
      <c r="M2600">
        <v>0</v>
      </c>
      <c r="N2600">
        <v>2750</v>
      </c>
    </row>
    <row r="2601" spans="1:14" x14ac:dyDescent="0.25">
      <c r="A2601">
        <v>1473.9622939999999</v>
      </c>
      <c r="B2601" s="1">
        <f>DATE(2014,5,13) + TIME(23,5,42)</f>
        <v>41772.962291666663</v>
      </c>
      <c r="C2601">
        <v>80</v>
      </c>
      <c r="D2601">
        <v>79.980522156000006</v>
      </c>
      <c r="E2601">
        <v>60</v>
      </c>
      <c r="F2601">
        <v>59.200672150000003</v>
      </c>
      <c r="G2601">
        <v>1340.4963379000001</v>
      </c>
      <c r="H2601">
        <v>1337.8216553</v>
      </c>
      <c r="I2601">
        <v>1327.4783935999999</v>
      </c>
      <c r="J2601">
        <v>1325.7178954999999</v>
      </c>
      <c r="K2601">
        <v>2750</v>
      </c>
      <c r="L2601">
        <v>0</v>
      </c>
      <c r="M2601">
        <v>0</v>
      </c>
      <c r="N2601">
        <v>2750</v>
      </c>
    </row>
    <row r="2602" spans="1:14" x14ac:dyDescent="0.25">
      <c r="A2602">
        <v>1474.2995350000001</v>
      </c>
      <c r="B2602" s="1">
        <f>DATE(2014,5,14) + TIME(7,11,19)</f>
        <v>41773.299525462964</v>
      </c>
      <c r="C2602">
        <v>80</v>
      </c>
      <c r="D2602">
        <v>79.980484008999994</v>
      </c>
      <c r="E2602">
        <v>60</v>
      </c>
      <c r="F2602">
        <v>59.184066772000001</v>
      </c>
      <c r="G2602">
        <v>1340.4893798999999</v>
      </c>
      <c r="H2602">
        <v>1337.8197021000001</v>
      </c>
      <c r="I2602">
        <v>1327.4720459</v>
      </c>
      <c r="J2602">
        <v>1325.7088623</v>
      </c>
      <c r="K2602">
        <v>2750</v>
      </c>
      <c r="L2602">
        <v>0</v>
      </c>
      <c r="M2602">
        <v>0</v>
      </c>
      <c r="N2602">
        <v>2750</v>
      </c>
    </row>
    <row r="2603" spans="1:14" x14ac:dyDescent="0.25">
      <c r="A2603">
        <v>1474.641057</v>
      </c>
      <c r="B2603" s="1">
        <f>DATE(2014,5,14) + TIME(15,23,7)</f>
        <v>41773.641053240739</v>
      </c>
      <c r="C2603">
        <v>80</v>
      </c>
      <c r="D2603">
        <v>79.980453491000006</v>
      </c>
      <c r="E2603">
        <v>60</v>
      </c>
      <c r="F2603">
        <v>59.16734314</v>
      </c>
      <c r="G2603">
        <v>1340.4824219</v>
      </c>
      <c r="H2603">
        <v>1337.8178711</v>
      </c>
      <c r="I2603">
        <v>1327.4654541</v>
      </c>
      <c r="J2603">
        <v>1325.6995850000001</v>
      </c>
      <c r="K2603">
        <v>2750</v>
      </c>
      <c r="L2603">
        <v>0</v>
      </c>
      <c r="M2603">
        <v>0</v>
      </c>
      <c r="N2603">
        <v>2750</v>
      </c>
    </row>
    <row r="2604" spans="1:14" x14ac:dyDescent="0.25">
      <c r="A2604">
        <v>1474.9877329999999</v>
      </c>
      <c r="B2604" s="1">
        <f>DATE(2014,5,14) + TIME(23,42,20)</f>
        <v>41773.98773148148</v>
      </c>
      <c r="C2604">
        <v>80</v>
      </c>
      <c r="D2604">
        <v>79.980415343999994</v>
      </c>
      <c r="E2604">
        <v>60</v>
      </c>
      <c r="F2604">
        <v>59.150482177999997</v>
      </c>
      <c r="G2604">
        <v>1340.4755858999999</v>
      </c>
      <c r="H2604">
        <v>1337.8160399999999</v>
      </c>
      <c r="I2604">
        <v>1327.4588623</v>
      </c>
      <c r="J2604">
        <v>1325.6900635</v>
      </c>
      <c r="K2604">
        <v>2750</v>
      </c>
      <c r="L2604">
        <v>0</v>
      </c>
      <c r="M2604">
        <v>0</v>
      </c>
      <c r="N2604">
        <v>2750</v>
      </c>
    </row>
    <row r="2605" spans="1:14" x14ac:dyDescent="0.25">
      <c r="A2605">
        <v>1475.3404720000001</v>
      </c>
      <c r="B2605" s="1">
        <f>DATE(2014,5,15) + TIME(8,10,16)</f>
        <v>41774.340462962966</v>
      </c>
      <c r="C2605">
        <v>80</v>
      </c>
      <c r="D2605">
        <v>79.980384826999995</v>
      </c>
      <c r="E2605">
        <v>60</v>
      </c>
      <c r="F2605">
        <v>59.133449554000002</v>
      </c>
      <c r="G2605">
        <v>1340.4688721</v>
      </c>
      <c r="H2605">
        <v>1337.8142089999999</v>
      </c>
      <c r="I2605">
        <v>1327.4521483999999</v>
      </c>
      <c r="J2605">
        <v>1325.6804199000001</v>
      </c>
      <c r="K2605">
        <v>2750</v>
      </c>
      <c r="L2605">
        <v>0</v>
      </c>
      <c r="M2605">
        <v>0</v>
      </c>
      <c r="N2605">
        <v>2750</v>
      </c>
    </row>
    <row r="2606" spans="1:14" x14ac:dyDescent="0.25">
      <c r="A2606">
        <v>1475.700241</v>
      </c>
      <c r="B2606" s="1">
        <f>DATE(2014,5,15) + TIME(16,48,20)</f>
        <v>41774.700231481482</v>
      </c>
      <c r="C2606">
        <v>80</v>
      </c>
      <c r="D2606">
        <v>79.980346679999997</v>
      </c>
      <c r="E2606">
        <v>60</v>
      </c>
      <c r="F2606">
        <v>59.116214751999998</v>
      </c>
      <c r="G2606">
        <v>1340.4621582</v>
      </c>
      <c r="H2606">
        <v>1337.8125</v>
      </c>
      <c r="I2606">
        <v>1327.4451904</v>
      </c>
      <c r="J2606">
        <v>1325.6706543</v>
      </c>
      <c r="K2606">
        <v>2750</v>
      </c>
      <c r="L2606">
        <v>0</v>
      </c>
      <c r="M2606">
        <v>0</v>
      </c>
      <c r="N2606">
        <v>2750</v>
      </c>
    </row>
    <row r="2607" spans="1:14" x14ac:dyDescent="0.25">
      <c r="A2607">
        <v>1476.068098</v>
      </c>
      <c r="B2607" s="1">
        <f>DATE(2014,5,16) + TIME(1,38,3)</f>
        <v>41775.068090277775</v>
      </c>
      <c r="C2607">
        <v>80</v>
      </c>
      <c r="D2607">
        <v>79.980316161999994</v>
      </c>
      <c r="E2607">
        <v>60</v>
      </c>
      <c r="F2607">
        <v>59.098739623999997</v>
      </c>
      <c r="G2607">
        <v>1340.4554443</v>
      </c>
      <c r="H2607">
        <v>1337.8106689000001</v>
      </c>
      <c r="I2607">
        <v>1327.4381103999999</v>
      </c>
      <c r="J2607">
        <v>1325.6605225000001</v>
      </c>
      <c r="K2607">
        <v>2750</v>
      </c>
      <c r="L2607">
        <v>0</v>
      </c>
      <c r="M2607">
        <v>0</v>
      </c>
      <c r="N2607">
        <v>2750</v>
      </c>
    </row>
    <row r="2608" spans="1:14" x14ac:dyDescent="0.25">
      <c r="A2608">
        <v>1476.4429869999999</v>
      </c>
      <c r="B2608" s="1">
        <f>DATE(2014,5,16) + TIME(10,37,54)</f>
        <v>41775.442986111113</v>
      </c>
      <c r="C2608">
        <v>80</v>
      </c>
      <c r="D2608">
        <v>79.980285644999995</v>
      </c>
      <c r="E2608">
        <v>60</v>
      </c>
      <c r="F2608">
        <v>59.081050873000002</v>
      </c>
      <c r="G2608">
        <v>1340.4487305</v>
      </c>
      <c r="H2608">
        <v>1337.8089600000001</v>
      </c>
      <c r="I2608">
        <v>1327.4309082</v>
      </c>
      <c r="J2608">
        <v>1325.6501464999999</v>
      </c>
      <c r="K2608">
        <v>2750</v>
      </c>
      <c r="L2608">
        <v>0</v>
      </c>
      <c r="M2608">
        <v>0</v>
      </c>
      <c r="N2608">
        <v>2750</v>
      </c>
    </row>
    <row r="2609" spans="1:14" x14ac:dyDescent="0.25">
      <c r="A2609">
        <v>1476.8244709999999</v>
      </c>
      <c r="B2609" s="1">
        <f>DATE(2014,5,16) + TIME(19,47,14)</f>
        <v>41775.824467592596</v>
      </c>
      <c r="C2609">
        <v>80</v>
      </c>
      <c r="D2609">
        <v>79.980247497999997</v>
      </c>
      <c r="E2609">
        <v>60</v>
      </c>
      <c r="F2609">
        <v>59.063167571999998</v>
      </c>
      <c r="G2609">
        <v>1340.4420166</v>
      </c>
      <c r="H2609">
        <v>1337.807251</v>
      </c>
      <c r="I2609">
        <v>1327.4235839999999</v>
      </c>
      <c r="J2609">
        <v>1325.6396483999999</v>
      </c>
      <c r="K2609">
        <v>2750</v>
      </c>
      <c r="L2609">
        <v>0</v>
      </c>
      <c r="M2609">
        <v>0</v>
      </c>
      <c r="N2609">
        <v>2750</v>
      </c>
    </row>
    <row r="2610" spans="1:14" x14ac:dyDescent="0.25">
      <c r="A2610">
        <v>1477.213755</v>
      </c>
      <c r="B2610" s="1">
        <f>DATE(2014,5,17) + TIME(5,7,48)</f>
        <v>41776.213750000003</v>
      </c>
      <c r="C2610">
        <v>80</v>
      </c>
      <c r="D2610">
        <v>79.980216979999994</v>
      </c>
      <c r="E2610">
        <v>60</v>
      </c>
      <c r="F2610">
        <v>59.045055388999998</v>
      </c>
      <c r="G2610">
        <v>1340.4354248</v>
      </c>
      <c r="H2610">
        <v>1337.8055420000001</v>
      </c>
      <c r="I2610">
        <v>1327.4160156</v>
      </c>
      <c r="J2610">
        <v>1325.6287841999999</v>
      </c>
      <c r="K2610">
        <v>2750</v>
      </c>
      <c r="L2610">
        <v>0</v>
      </c>
      <c r="M2610">
        <v>0</v>
      </c>
      <c r="N2610">
        <v>2750</v>
      </c>
    </row>
    <row r="2611" spans="1:14" x14ac:dyDescent="0.25">
      <c r="A2611">
        <v>1477.615092</v>
      </c>
      <c r="B2611" s="1">
        <f>DATE(2014,5,17) + TIME(14,45,43)</f>
        <v>41776.615081018521</v>
      </c>
      <c r="C2611">
        <v>80</v>
      </c>
      <c r="D2611">
        <v>79.980186462000006</v>
      </c>
      <c r="E2611">
        <v>60</v>
      </c>
      <c r="F2611">
        <v>59.026584624999998</v>
      </c>
      <c r="G2611">
        <v>1340.4288329999999</v>
      </c>
      <c r="H2611">
        <v>1337.8038329999999</v>
      </c>
      <c r="I2611">
        <v>1327.4083252</v>
      </c>
      <c r="J2611">
        <v>1325.6177978999999</v>
      </c>
      <c r="K2611">
        <v>2750</v>
      </c>
      <c r="L2611">
        <v>0</v>
      </c>
      <c r="M2611">
        <v>0</v>
      </c>
      <c r="N2611">
        <v>2750</v>
      </c>
    </row>
    <row r="2612" spans="1:14" x14ac:dyDescent="0.25">
      <c r="A2612">
        <v>1478.0308500000001</v>
      </c>
      <c r="B2612" s="1">
        <f>DATE(2014,5,18) + TIME(0,44,25)</f>
        <v>41777.030844907407</v>
      </c>
      <c r="C2612">
        <v>80</v>
      </c>
      <c r="D2612">
        <v>79.980148314999994</v>
      </c>
      <c r="E2612">
        <v>60</v>
      </c>
      <c r="F2612">
        <v>59.007667542</v>
      </c>
      <c r="G2612">
        <v>1340.4222411999999</v>
      </c>
      <c r="H2612">
        <v>1337.802124</v>
      </c>
      <c r="I2612">
        <v>1327.4002685999999</v>
      </c>
      <c r="J2612">
        <v>1325.6063231999999</v>
      </c>
      <c r="K2612">
        <v>2750</v>
      </c>
      <c r="L2612">
        <v>0</v>
      </c>
      <c r="M2612">
        <v>0</v>
      </c>
      <c r="N2612">
        <v>2750</v>
      </c>
    </row>
    <row r="2613" spans="1:14" x14ac:dyDescent="0.25">
      <c r="A2613">
        <v>1478.4575950000001</v>
      </c>
      <c r="B2613" s="1">
        <f>DATE(2014,5,18) + TIME(10,58,56)</f>
        <v>41777.457592592589</v>
      </c>
      <c r="C2613">
        <v>80</v>
      </c>
      <c r="D2613">
        <v>79.980117797999995</v>
      </c>
      <c r="E2613">
        <v>60</v>
      </c>
      <c r="F2613">
        <v>58.988384246999999</v>
      </c>
      <c r="G2613">
        <v>1340.4154053</v>
      </c>
      <c r="H2613">
        <v>1337.8005370999999</v>
      </c>
      <c r="I2613">
        <v>1327.3920897999999</v>
      </c>
      <c r="J2613">
        <v>1325.5944824000001</v>
      </c>
      <c r="K2613">
        <v>2750</v>
      </c>
      <c r="L2613">
        <v>0</v>
      </c>
      <c r="M2613">
        <v>0</v>
      </c>
      <c r="N2613">
        <v>2750</v>
      </c>
    </row>
    <row r="2614" spans="1:14" x14ac:dyDescent="0.25">
      <c r="A2614">
        <v>1478.897778</v>
      </c>
      <c r="B2614" s="1">
        <f>DATE(2014,5,18) + TIME(21,32,48)</f>
        <v>41777.897777777776</v>
      </c>
      <c r="C2614">
        <v>80</v>
      </c>
      <c r="D2614">
        <v>79.980079650999997</v>
      </c>
      <c r="E2614">
        <v>60</v>
      </c>
      <c r="F2614">
        <v>58.968669890999998</v>
      </c>
      <c r="G2614">
        <v>1340.4086914</v>
      </c>
      <c r="H2614">
        <v>1337.7988281</v>
      </c>
      <c r="I2614">
        <v>1327.3835449000001</v>
      </c>
      <c r="J2614">
        <v>1325.5823975000001</v>
      </c>
      <c r="K2614">
        <v>2750</v>
      </c>
      <c r="L2614">
        <v>0</v>
      </c>
      <c r="M2614">
        <v>0</v>
      </c>
      <c r="N2614">
        <v>2750</v>
      </c>
    </row>
    <row r="2615" spans="1:14" x14ac:dyDescent="0.25">
      <c r="A2615">
        <v>1479.354697</v>
      </c>
      <c r="B2615" s="1">
        <f>DATE(2014,5,19) + TIME(8,30,45)</f>
        <v>41778.354687500003</v>
      </c>
      <c r="C2615">
        <v>80</v>
      </c>
      <c r="D2615">
        <v>79.980049132999994</v>
      </c>
      <c r="E2615">
        <v>60</v>
      </c>
      <c r="F2615">
        <v>58.948425293</v>
      </c>
      <c r="G2615">
        <v>1340.4019774999999</v>
      </c>
      <c r="H2615">
        <v>1337.7971190999999</v>
      </c>
      <c r="I2615">
        <v>1327.3747559000001</v>
      </c>
      <c r="J2615">
        <v>1325.5697021000001</v>
      </c>
      <c r="K2615">
        <v>2750</v>
      </c>
      <c r="L2615">
        <v>0</v>
      </c>
      <c r="M2615">
        <v>0</v>
      </c>
      <c r="N2615">
        <v>2750</v>
      </c>
    </row>
    <row r="2616" spans="1:14" x14ac:dyDescent="0.25">
      <c r="A2616">
        <v>1479.8310309999999</v>
      </c>
      <c r="B2616" s="1">
        <f>DATE(2014,5,19) + TIME(19,56,41)</f>
        <v>41778.831030092595</v>
      </c>
      <c r="C2616">
        <v>80</v>
      </c>
      <c r="D2616">
        <v>79.980010985999996</v>
      </c>
      <c r="E2616">
        <v>60</v>
      </c>
      <c r="F2616">
        <v>58.927566528</v>
      </c>
      <c r="G2616">
        <v>1340.3951416</v>
      </c>
      <c r="H2616">
        <v>1337.7954102000001</v>
      </c>
      <c r="I2616">
        <v>1327.3656006000001</v>
      </c>
      <c r="J2616">
        <v>1325.5566406</v>
      </c>
      <c r="K2616">
        <v>2750</v>
      </c>
      <c r="L2616">
        <v>0</v>
      </c>
      <c r="M2616">
        <v>0</v>
      </c>
      <c r="N2616">
        <v>2750</v>
      </c>
    </row>
    <row r="2617" spans="1:14" x14ac:dyDescent="0.25">
      <c r="A2617">
        <v>1480.074241</v>
      </c>
      <c r="B2617" s="1">
        <f>DATE(2014,5,20) + TIME(1,46,54)</f>
        <v>41779.074236111112</v>
      </c>
      <c r="C2617">
        <v>80</v>
      </c>
      <c r="D2617">
        <v>79.979988098000007</v>
      </c>
      <c r="E2617">
        <v>60</v>
      </c>
      <c r="F2617">
        <v>58.914371490000001</v>
      </c>
      <c r="G2617">
        <v>1340.3880615</v>
      </c>
      <c r="H2617">
        <v>1337.7937012</v>
      </c>
      <c r="I2617">
        <v>1327.3568115</v>
      </c>
      <c r="J2617">
        <v>1325.5444336</v>
      </c>
      <c r="K2617">
        <v>2750</v>
      </c>
      <c r="L2617">
        <v>0</v>
      </c>
      <c r="M2617">
        <v>0</v>
      </c>
      <c r="N2617">
        <v>2750</v>
      </c>
    </row>
    <row r="2618" spans="1:14" x14ac:dyDescent="0.25">
      <c r="A2618">
        <v>1480.31745</v>
      </c>
      <c r="B2618" s="1">
        <f>DATE(2014,5,20) + TIME(7,37,7)</f>
        <v>41779.317442129628</v>
      </c>
      <c r="C2618">
        <v>80</v>
      </c>
      <c r="D2618">
        <v>79.979965210000003</v>
      </c>
      <c r="E2618">
        <v>60</v>
      </c>
      <c r="F2618">
        <v>58.901767731</v>
      </c>
      <c r="G2618">
        <v>1340.3846435999999</v>
      </c>
      <c r="H2618">
        <v>1337.7928466999999</v>
      </c>
      <c r="I2618">
        <v>1327.3514404</v>
      </c>
      <c r="J2618">
        <v>1325.5366211</v>
      </c>
      <c r="K2618">
        <v>2750</v>
      </c>
      <c r="L2618">
        <v>0</v>
      </c>
      <c r="M2618">
        <v>0</v>
      </c>
      <c r="N2618">
        <v>2750</v>
      </c>
    </row>
    <row r="2619" spans="1:14" x14ac:dyDescent="0.25">
      <c r="A2619">
        <v>1480.5606600000001</v>
      </c>
      <c r="B2619" s="1">
        <f>DATE(2014,5,20) + TIME(13,27,20)</f>
        <v>41779.560648148145</v>
      </c>
      <c r="C2619">
        <v>80</v>
      </c>
      <c r="D2619">
        <v>79.979942321999999</v>
      </c>
      <c r="E2619">
        <v>60</v>
      </c>
      <c r="F2619">
        <v>58.889625549000002</v>
      </c>
      <c r="G2619">
        <v>1340.3812256000001</v>
      </c>
      <c r="H2619">
        <v>1337.7921143000001</v>
      </c>
      <c r="I2619">
        <v>1327.3461914</v>
      </c>
      <c r="J2619">
        <v>1325.5289307</v>
      </c>
      <c r="K2619">
        <v>2750</v>
      </c>
      <c r="L2619">
        <v>0</v>
      </c>
      <c r="M2619">
        <v>0</v>
      </c>
      <c r="N2619">
        <v>2750</v>
      </c>
    </row>
    <row r="2620" spans="1:14" x14ac:dyDescent="0.25">
      <c r="A2620">
        <v>1481.0470789999999</v>
      </c>
      <c r="B2620" s="1">
        <f>DATE(2014,5,21) + TIME(1,7,47)</f>
        <v>41780.047071759262</v>
      </c>
      <c r="C2620">
        <v>80</v>
      </c>
      <c r="D2620">
        <v>79.979919433999996</v>
      </c>
      <c r="E2620">
        <v>60</v>
      </c>
      <c r="F2620">
        <v>58.870658874999997</v>
      </c>
      <c r="G2620">
        <v>1340.3778076000001</v>
      </c>
      <c r="H2620">
        <v>1337.7912598</v>
      </c>
      <c r="I2620">
        <v>1327.3404541</v>
      </c>
      <c r="J2620">
        <v>1325.5202637</v>
      </c>
      <c r="K2620">
        <v>2750</v>
      </c>
      <c r="L2620">
        <v>0</v>
      </c>
      <c r="M2620">
        <v>0</v>
      </c>
      <c r="N2620">
        <v>2750</v>
      </c>
    </row>
    <row r="2621" spans="1:14" x14ac:dyDescent="0.25">
      <c r="A2621">
        <v>1481.5340430000001</v>
      </c>
      <c r="B2621" s="1">
        <f>DATE(2014,5,21) + TIME(12,49,1)</f>
        <v>41780.534039351849</v>
      </c>
      <c r="C2621">
        <v>80</v>
      </c>
      <c r="D2621">
        <v>79.979888915999993</v>
      </c>
      <c r="E2621">
        <v>60</v>
      </c>
      <c r="F2621">
        <v>58.850803374999998</v>
      </c>
      <c r="G2621">
        <v>1340.3710937999999</v>
      </c>
      <c r="H2621">
        <v>1337.7896728999999</v>
      </c>
      <c r="I2621">
        <v>1327.3310547000001</v>
      </c>
      <c r="J2621">
        <v>1325.5069579999999</v>
      </c>
      <c r="K2621">
        <v>2750</v>
      </c>
      <c r="L2621">
        <v>0</v>
      </c>
      <c r="M2621">
        <v>0</v>
      </c>
      <c r="N2621">
        <v>2750</v>
      </c>
    </row>
    <row r="2622" spans="1:14" x14ac:dyDescent="0.25">
      <c r="A2622">
        <v>1482.024075</v>
      </c>
      <c r="B2622" s="1">
        <f>DATE(2014,5,22) + TIME(0,34,40)</f>
        <v>41781.024074074077</v>
      </c>
      <c r="C2622">
        <v>80</v>
      </c>
      <c r="D2622">
        <v>79.979850768999995</v>
      </c>
      <c r="E2622">
        <v>60</v>
      </c>
      <c r="F2622">
        <v>58.830402374000002</v>
      </c>
      <c r="G2622">
        <v>1340.3645019999999</v>
      </c>
      <c r="H2622">
        <v>1337.7880858999999</v>
      </c>
      <c r="I2622">
        <v>1327.3215332</v>
      </c>
      <c r="J2622">
        <v>1325.4932861</v>
      </c>
      <c r="K2622">
        <v>2750</v>
      </c>
      <c r="L2622">
        <v>0</v>
      </c>
      <c r="M2622">
        <v>0</v>
      </c>
      <c r="N2622">
        <v>2750</v>
      </c>
    </row>
    <row r="2623" spans="1:14" x14ac:dyDescent="0.25">
      <c r="A2623">
        <v>1482.5187900000001</v>
      </c>
      <c r="B2623" s="1">
        <f>DATE(2014,5,22) + TIME(12,27,3)</f>
        <v>41781.518784722219</v>
      </c>
      <c r="C2623">
        <v>80</v>
      </c>
      <c r="D2623">
        <v>79.979820251000007</v>
      </c>
      <c r="E2623">
        <v>60</v>
      </c>
      <c r="F2623">
        <v>58.809635161999999</v>
      </c>
      <c r="G2623">
        <v>1340.3580322</v>
      </c>
      <c r="H2623">
        <v>1337.7866211</v>
      </c>
      <c r="I2623">
        <v>1327.3117675999999</v>
      </c>
      <c r="J2623">
        <v>1325.4793701000001</v>
      </c>
      <c r="K2623">
        <v>2750</v>
      </c>
      <c r="L2623">
        <v>0</v>
      </c>
      <c r="M2623">
        <v>0</v>
      </c>
      <c r="N2623">
        <v>2750</v>
      </c>
    </row>
    <row r="2624" spans="1:14" x14ac:dyDescent="0.25">
      <c r="A2624">
        <v>1483.0195550000001</v>
      </c>
      <c r="B2624" s="1">
        <f>DATE(2014,5,23) + TIME(0,28,9)</f>
        <v>41782.019548611112</v>
      </c>
      <c r="C2624">
        <v>80</v>
      </c>
      <c r="D2624">
        <v>79.979789733999993</v>
      </c>
      <c r="E2624">
        <v>60</v>
      </c>
      <c r="F2624">
        <v>58.788597107000001</v>
      </c>
      <c r="G2624">
        <v>1340.3516846</v>
      </c>
      <c r="H2624">
        <v>1337.7851562000001</v>
      </c>
      <c r="I2624">
        <v>1327.3018798999999</v>
      </c>
      <c r="J2624">
        <v>1325.4650879000001</v>
      </c>
      <c r="K2624">
        <v>2750</v>
      </c>
      <c r="L2624">
        <v>0</v>
      </c>
      <c r="M2624">
        <v>0</v>
      </c>
      <c r="N2624">
        <v>2750</v>
      </c>
    </row>
    <row r="2625" spans="1:14" x14ac:dyDescent="0.25">
      <c r="A2625">
        <v>1483.527936</v>
      </c>
      <c r="B2625" s="1">
        <f>DATE(2014,5,23) + TIME(12,40,13)</f>
        <v>41782.527928240743</v>
      </c>
      <c r="C2625">
        <v>80</v>
      </c>
      <c r="D2625">
        <v>79.979751586999996</v>
      </c>
      <c r="E2625">
        <v>60</v>
      </c>
      <c r="F2625">
        <v>58.767322540000002</v>
      </c>
      <c r="G2625">
        <v>1340.3454589999999</v>
      </c>
      <c r="H2625">
        <v>1337.7836914</v>
      </c>
      <c r="I2625">
        <v>1327.2917480000001</v>
      </c>
      <c r="J2625">
        <v>1325.4506836</v>
      </c>
      <c r="K2625">
        <v>2750</v>
      </c>
      <c r="L2625">
        <v>0</v>
      </c>
      <c r="M2625">
        <v>0</v>
      </c>
      <c r="N2625">
        <v>2750</v>
      </c>
    </row>
    <row r="2626" spans="1:14" x14ac:dyDescent="0.25">
      <c r="A2626">
        <v>1484.0456650000001</v>
      </c>
      <c r="B2626" s="1">
        <f>DATE(2014,5,24) + TIME(1,5,45)</f>
        <v>41783.045659722222</v>
      </c>
      <c r="C2626">
        <v>80</v>
      </c>
      <c r="D2626">
        <v>79.979721068999993</v>
      </c>
      <c r="E2626">
        <v>60</v>
      </c>
      <c r="F2626">
        <v>58.745803832999997</v>
      </c>
      <c r="G2626">
        <v>1340.3391113</v>
      </c>
      <c r="H2626">
        <v>1337.7822266000001</v>
      </c>
      <c r="I2626">
        <v>1327.2814940999999</v>
      </c>
      <c r="J2626">
        <v>1325.4359131000001</v>
      </c>
      <c r="K2626">
        <v>2750</v>
      </c>
      <c r="L2626">
        <v>0</v>
      </c>
      <c r="M2626">
        <v>0</v>
      </c>
      <c r="N2626">
        <v>2750</v>
      </c>
    </row>
    <row r="2627" spans="1:14" x14ac:dyDescent="0.25">
      <c r="A2627">
        <v>1484.574793</v>
      </c>
      <c r="B2627" s="1">
        <f>DATE(2014,5,24) + TIME(13,47,42)</f>
        <v>41783.574791666666</v>
      </c>
      <c r="C2627">
        <v>80</v>
      </c>
      <c r="D2627">
        <v>79.979690551999994</v>
      </c>
      <c r="E2627">
        <v>60</v>
      </c>
      <c r="F2627">
        <v>58.724002837999997</v>
      </c>
      <c r="G2627">
        <v>1340.3328856999999</v>
      </c>
      <c r="H2627">
        <v>1337.7807617000001</v>
      </c>
      <c r="I2627">
        <v>1327.2711182</v>
      </c>
      <c r="J2627">
        <v>1325.4208983999999</v>
      </c>
      <c r="K2627">
        <v>2750</v>
      </c>
      <c r="L2627">
        <v>0</v>
      </c>
      <c r="M2627">
        <v>0</v>
      </c>
      <c r="N2627">
        <v>2750</v>
      </c>
    </row>
    <row r="2628" spans="1:14" x14ac:dyDescent="0.25">
      <c r="A2628">
        <v>1485.1172019999999</v>
      </c>
      <c r="B2628" s="1">
        <f>DATE(2014,5,25) + TIME(2,48,46)</f>
        <v>41784.117199074077</v>
      </c>
      <c r="C2628">
        <v>80</v>
      </c>
      <c r="D2628">
        <v>79.979660034000005</v>
      </c>
      <c r="E2628">
        <v>60</v>
      </c>
      <c r="F2628">
        <v>58.701869965</v>
      </c>
      <c r="G2628">
        <v>1340.3266602000001</v>
      </c>
      <c r="H2628">
        <v>1337.7792969</v>
      </c>
      <c r="I2628">
        <v>1327.260376</v>
      </c>
      <c r="J2628">
        <v>1325.4055175999999</v>
      </c>
      <c r="K2628">
        <v>2750</v>
      </c>
      <c r="L2628">
        <v>0</v>
      </c>
      <c r="M2628">
        <v>0</v>
      </c>
      <c r="N2628">
        <v>2750</v>
      </c>
    </row>
    <row r="2629" spans="1:14" x14ac:dyDescent="0.25">
      <c r="A2629">
        <v>1485.676657</v>
      </c>
      <c r="B2629" s="1">
        <f>DATE(2014,5,25) + TIME(16,14,23)</f>
        <v>41784.676655092589</v>
      </c>
      <c r="C2629">
        <v>80</v>
      </c>
      <c r="D2629">
        <v>79.979621886999993</v>
      </c>
      <c r="E2629">
        <v>60</v>
      </c>
      <c r="F2629">
        <v>58.679313659999998</v>
      </c>
      <c r="G2629">
        <v>1340.3204346</v>
      </c>
      <c r="H2629">
        <v>1337.777832</v>
      </c>
      <c r="I2629">
        <v>1327.2495117000001</v>
      </c>
      <c r="J2629">
        <v>1325.3898925999999</v>
      </c>
      <c r="K2629">
        <v>2750</v>
      </c>
      <c r="L2629">
        <v>0</v>
      </c>
      <c r="M2629">
        <v>0</v>
      </c>
      <c r="N2629">
        <v>2750</v>
      </c>
    </row>
    <row r="2630" spans="1:14" x14ac:dyDescent="0.25">
      <c r="A2630">
        <v>1486.2467999999999</v>
      </c>
      <c r="B2630" s="1">
        <f>DATE(2014,5,26) + TIME(5,55,23)</f>
        <v>41785.246793981481</v>
      </c>
      <c r="C2630">
        <v>80</v>
      </c>
      <c r="D2630">
        <v>79.979591369999994</v>
      </c>
      <c r="E2630">
        <v>60</v>
      </c>
      <c r="F2630">
        <v>58.656448363999999</v>
      </c>
      <c r="G2630">
        <v>1340.3142089999999</v>
      </c>
      <c r="H2630">
        <v>1337.7763672000001</v>
      </c>
      <c r="I2630">
        <v>1327.2382812000001</v>
      </c>
      <c r="J2630">
        <v>1325.3736572</v>
      </c>
      <c r="K2630">
        <v>2750</v>
      </c>
      <c r="L2630">
        <v>0</v>
      </c>
      <c r="M2630">
        <v>0</v>
      </c>
      <c r="N2630">
        <v>2750</v>
      </c>
    </row>
    <row r="2631" spans="1:14" x14ac:dyDescent="0.25">
      <c r="A2631">
        <v>1486.83563</v>
      </c>
      <c r="B2631" s="1">
        <f>DATE(2014,5,26) + TIME(20,3,18)</f>
        <v>41785.835625</v>
      </c>
      <c r="C2631">
        <v>80</v>
      </c>
      <c r="D2631">
        <v>79.979560852000006</v>
      </c>
      <c r="E2631">
        <v>60</v>
      </c>
      <c r="F2631">
        <v>58.633125305</v>
      </c>
      <c r="G2631">
        <v>1340.3078613</v>
      </c>
      <c r="H2631">
        <v>1337.7749022999999</v>
      </c>
      <c r="I2631">
        <v>1327.2268065999999</v>
      </c>
      <c r="J2631">
        <v>1325.3571777</v>
      </c>
      <c r="K2631">
        <v>2750</v>
      </c>
      <c r="L2631">
        <v>0</v>
      </c>
      <c r="M2631">
        <v>0</v>
      </c>
      <c r="N2631">
        <v>2750</v>
      </c>
    </row>
    <row r="2632" spans="1:14" x14ac:dyDescent="0.25">
      <c r="A2632">
        <v>1487.446265</v>
      </c>
      <c r="B2632" s="1">
        <f>DATE(2014,5,27) + TIME(10,42,37)</f>
        <v>41786.446261574078</v>
      </c>
      <c r="C2632">
        <v>80</v>
      </c>
      <c r="D2632">
        <v>79.979530334000003</v>
      </c>
      <c r="E2632">
        <v>60</v>
      </c>
      <c r="F2632">
        <v>58.609249114999997</v>
      </c>
      <c r="G2632">
        <v>1340.3015137</v>
      </c>
      <c r="H2632">
        <v>1337.7734375</v>
      </c>
      <c r="I2632">
        <v>1327.2149658000001</v>
      </c>
      <c r="J2632">
        <v>1325.3402100000001</v>
      </c>
      <c r="K2632">
        <v>2750</v>
      </c>
      <c r="L2632">
        <v>0</v>
      </c>
      <c r="M2632">
        <v>0</v>
      </c>
      <c r="N2632">
        <v>2750</v>
      </c>
    </row>
    <row r="2633" spans="1:14" x14ac:dyDescent="0.25">
      <c r="A2633">
        <v>1488.079929</v>
      </c>
      <c r="B2633" s="1">
        <f>DATE(2014,5,28) + TIME(1,55,5)</f>
        <v>41787.079918981479</v>
      </c>
      <c r="C2633">
        <v>80</v>
      </c>
      <c r="D2633">
        <v>79.979492187999995</v>
      </c>
      <c r="E2633">
        <v>60</v>
      </c>
      <c r="F2633">
        <v>58.584754943999997</v>
      </c>
      <c r="G2633">
        <v>1340.2951660000001</v>
      </c>
      <c r="H2633">
        <v>1337.7719727000001</v>
      </c>
      <c r="I2633">
        <v>1327.2027588000001</v>
      </c>
      <c r="J2633">
        <v>1325.3226318</v>
      </c>
      <c r="K2633">
        <v>2750</v>
      </c>
      <c r="L2633">
        <v>0</v>
      </c>
      <c r="M2633">
        <v>0</v>
      </c>
      <c r="N2633">
        <v>2750</v>
      </c>
    </row>
    <row r="2634" spans="1:14" x14ac:dyDescent="0.25">
      <c r="A2634">
        <v>1488.739282</v>
      </c>
      <c r="B2634" s="1">
        <f>DATE(2014,5,28) + TIME(17,44,34)</f>
        <v>41787.739282407405</v>
      </c>
      <c r="C2634">
        <v>80</v>
      </c>
      <c r="D2634">
        <v>79.979461670000006</v>
      </c>
      <c r="E2634">
        <v>60</v>
      </c>
      <c r="F2634">
        <v>58.559566498000002</v>
      </c>
      <c r="G2634">
        <v>1340.2885742000001</v>
      </c>
      <c r="H2634">
        <v>1337.7703856999999</v>
      </c>
      <c r="I2634">
        <v>1327.1900635</v>
      </c>
      <c r="J2634">
        <v>1325.3044434000001</v>
      </c>
      <c r="K2634">
        <v>2750</v>
      </c>
      <c r="L2634">
        <v>0</v>
      </c>
      <c r="M2634">
        <v>0</v>
      </c>
      <c r="N2634">
        <v>2750</v>
      </c>
    </row>
    <row r="2635" spans="1:14" x14ac:dyDescent="0.25">
      <c r="A2635">
        <v>1489.4316389999999</v>
      </c>
      <c r="B2635" s="1">
        <f>DATE(2014,5,29) + TIME(10,21,33)</f>
        <v>41788.431631944448</v>
      </c>
      <c r="C2635">
        <v>80</v>
      </c>
      <c r="D2635">
        <v>79.979431152000004</v>
      </c>
      <c r="E2635">
        <v>60</v>
      </c>
      <c r="F2635">
        <v>58.53351593</v>
      </c>
      <c r="G2635">
        <v>1340.2819824000001</v>
      </c>
      <c r="H2635">
        <v>1337.7687988</v>
      </c>
      <c r="I2635">
        <v>1327.1770019999999</v>
      </c>
      <c r="J2635">
        <v>1325.2855225000001</v>
      </c>
      <c r="K2635">
        <v>2750</v>
      </c>
      <c r="L2635">
        <v>0</v>
      </c>
      <c r="M2635">
        <v>0</v>
      </c>
      <c r="N2635">
        <v>2750</v>
      </c>
    </row>
    <row r="2636" spans="1:14" x14ac:dyDescent="0.25">
      <c r="A2636">
        <v>1490.140611</v>
      </c>
      <c r="B2636" s="1">
        <f>DATE(2014,5,30) + TIME(3,22,28)</f>
        <v>41789.140601851854</v>
      </c>
      <c r="C2636">
        <v>80</v>
      </c>
      <c r="D2636">
        <v>79.979393005000006</v>
      </c>
      <c r="E2636">
        <v>60</v>
      </c>
      <c r="F2636">
        <v>58.506847381999997</v>
      </c>
      <c r="G2636">
        <v>1340.2751464999999</v>
      </c>
      <c r="H2636">
        <v>1337.7672118999999</v>
      </c>
      <c r="I2636">
        <v>1327.1633300999999</v>
      </c>
      <c r="J2636">
        <v>1325.2658690999999</v>
      </c>
      <c r="K2636">
        <v>2750</v>
      </c>
      <c r="L2636">
        <v>0</v>
      </c>
      <c r="M2636">
        <v>0</v>
      </c>
      <c r="N2636">
        <v>2750</v>
      </c>
    </row>
    <row r="2637" spans="1:14" x14ac:dyDescent="0.25">
      <c r="A2637">
        <v>1490.853464</v>
      </c>
      <c r="B2637" s="1">
        <f>DATE(2014,5,30) + TIME(20,28,59)</f>
        <v>41789.853460648148</v>
      </c>
      <c r="C2637">
        <v>80</v>
      </c>
      <c r="D2637">
        <v>79.979362488000007</v>
      </c>
      <c r="E2637">
        <v>60</v>
      </c>
      <c r="F2637">
        <v>58.479927062999998</v>
      </c>
      <c r="G2637">
        <v>1340.2683105000001</v>
      </c>
      <c r="H2637">
        <v>1337.765625</v>
      </c>
      <c r="I2637">
        <v>1327.1492920000001</v>
      </c>
      <c r="J2637">
        <v>1325.2457274999999</v>
      </c>
      <c r="K2637">
        <v>2750</v>
      </c>
      <c r="L2637">
        <v>0</v>
      </c>
      <c r="M2637">
        <v>0</v>
      </c>
      <c r="N2637">
        <v>2750</v>
      </c>
    </row>
    <row r="2638" spans="1:14" x14ac:dyDescent="0.25">
      <c r="A2638">
        <v>1491.569137</v>
      </c>
      <c r="B2638" s="1">
        <f>DATE(2014,5,31) + TIME(13,39,33)</f>
        <v>41790.569131944445</v>
      </c>
      <c r="C2638">
        <v>80</v>
      </c>
      <c r="D2638">
        <v>79.979324340999995</v>
      </c>
      <c r="E2638">
        <v>60</v>
      </c>
      <c r="F2638">
        <v>58.452949523999997</v>
      </c>
      <c r="G2638">
        <v>1340.2615966999999</v>
      </c>
      <c r="H2638">
        <v>1337.7640381000001</v>
      </c>
      <c r="I2638">
        <v>1327.1351318</v>
      </c>
      <c r="J2638">
        <v>1325.2253418</v>
      </c>
      <c r="K2638">
        <v>2750</v>
      </c>
      <c r="L2638">
        <v>0</v>
      </c>
      <c r="M2638">
        <v>0</v>
      </c>
      <c r="N2638">
        <v>2750</v>
      </c>
    </row>
    <row r="2639" spans="1:14" x14ac:dyDescent="0.25">
      <c r="A2639">
        <v>1492</v>
      </c>
      <c r="B2639" s="1">
        <f>DATE(2014,6,1) + TIME(0,0,0)</f>
        <v>41791</v>
      </c>
      <c r="C2639">
        <v>80</v>
      </c>
      <c r="D2639">
        <v>79.979301453000005</v>
      </c>
      <c r="E2639">
        <v>60</v>
      </c>
      <c r="F2639">
        <v>58.432796478</v>
      </c>
      <c r="G2639">
        <v>1340.2551269999999</v>
      </c>
      <c r="H2639">
        <v>1337.7624512</v>
      </c>
      <c r="I2639">
        <v>1327.1217041</v>
      </c>
      <c r="J2639">
        <v>1325.2062988</v>
      </c>
      <c r="K2639">
        <v>2750</v>
      </c>
      <c r="L2639">
        <v>0</v>
      </c>
      <c r="M2639">
        <v>0</v>
      </c>
      <c r="N2639">
        <v>2750</v>
      </c>
    </row>
    <row r="2640" spans="1:14" x14ac:dyDescent="0.25">
      <c r="A2640">
        <v>1492.721884</v>
      </c>
      <c r="B2640" s="1">
        <f>DATE(2014,6,1) + TIME(17,19,30)</f>
        <v>41791.721875000003</v>
      </c>
      <c r="C2640">
        <v>80</v>
      </c>
      <c r="D2640">
        <v>79.979270935000002</v>
      </c>
      <c r="E2640">
        <v>60</v>
      </c>
      <c r="F2640">
        <v>58.407886505</v>
      </c>
      <c r="G2640">
        <v>1340.2512207</v>
      </c>
      <c r="H2640">
        <v>1337.7614745999999</v>
      </c>
      <c r="I2640">
        <v>1327.1115723</v>
      </c>
      <c r="J2640">
        <v>1325.1912841999999</v>
      </c>
      <c r="K2640">
        <v>2750</v>
      </c>
      <c r="L2640">
        <v>0</v>
      </c>
      <c r="M2640">
        <v>0</v>
      </c>
      <c r="N2640">
        <v>2750</v>
      </c>
    </row>
    <row r="2641" spans="1:14" x14ac:dyDescent="0.25">
      <c r="A2641">
        <v>1493.448132</v>
      </c>
      <c r="B2641" s="1">
        <f>DATE(2014,6,2) + TIME(10,45,18)</f>
        <v>41792.448125000003</v>
      </c>
      <c r="C2641">
        <v>80</v>
      </c>
      <c r="D2641">
        <v>79.979240417</v>
      </c>
      <c r="E2641">
        <v>60</v>
      </c>
      <c r="F2641">
        <v>58.382057189999998</v>
      </c>
      <c r="G2641">
        <v>1340.2448730000001</v>
      </c>
      <c r="H2641">
        <v>1337.7600098</v>
      </c>
      <c r="I2641">
        <v>1327.0977783000001</v>
      </c>
      <c r="J2641">
        <v>1325.1713867000001</v>
      </c>
      <c r="K2641">
        <v>2750</v>
      </c>
      <c r="L2641">
        <v>0</v>
      </c>
      <c r="M2641">
        <v>0</v>
      </c>
      <c r="N2641">
        <v>2750</v>
      </c>
    </row>
    <row r="2642" spans="1:14" x14ac:dyDescent="0.25">
      <c r="A2642">
        <v>1494.1798249999999</v>
      </c>
      <c r="B2642" s="1">
        <f>DATE(2014,6,3) + TIME(4,18,56)</f>
        <v>41793.179814814815</v>
      </c>
      <c r="C2642">
        <v>80</v>
      </c>
      <c r="D2642">
        <v>79.979209900000001</v>
      </c>
      <c r="E2642">
        <v>60</v>
      </c>
      <c r="F2642">
        <v>58.355792999000002</v>
      </c>
      <c r="G2642">
        <v>1340.2385254000001</v>
      </c>
      <c r="H2642">
        <v>1337.7584228999999</v>
      </c>
      <c r="I2642">
        <v>1327.0836182</v>
      </c>
      <c r="J2642">
        <v>1325.1511230000001</v>
      </c>
      <c r="K2642">
        <v>2750</v>
      </c>
      <c r="L2642">
        <v>0</v>
      </c>
      <c r="M2642">
        <v>0</v>
      </c>
      <c r="N2642">
        <v>2750</v>
      </c>
    </row>
    <row r="2643" spans="1:14" x14ac:dyDescent="0.25">
      <c r="A2643">
        <v>1494.9200989999999</v>
      </c>
      <c r="B2643" s="1">
        <f>DATE(2014,6,3) + TIME(22,4,56)</f>
        <v>41793.920092592591</v>
      </c>
      <c r="C2643">
        <v>80</v>
      </c>
      <c r="D2643">
        <v>79.979179381999998</v>
      </c>
      <c r="E2643">
        <v>60</v>
      </c>
      <c r="F2643">
        <v>58.329277038999997</v>
      </c>
      <c r="G2643">
        <v>1340.2322998</v>
      </c>
      <c r="H2643">
        <v>1337.7568358999999</v>
      </c>
      <c r="I2643">
        <v>1327.0693358999999</v>
      </c>
      <c r="J2643">
        <v>1325.1306152</v>
      </c>
      <c r="K2643">
        <v>2750</v>
      </c>
      <c r="L2643">
        <v>0</v>
      </c>
      <c r="M2643">
        <v>0</v>
      </c>
      <c r="N2643">
        <v>2750</v>
      </c>
    </row>
    <row r="2644" spans="1:14" x14ac:dyDescent="0.25">
      <c r="A2644">
        <v>1495.6718410000001</v>
      </c>
      <c r="B2644" s="1">
        <f>DATE(2014,6,4) + TIME(16,7,27)</f>
        <v>41794.671840277777</v>
      </c>
      <c r="C2644">
        <v>80</v>
      </c>
      <c r="D2644">
        <v>79.979148864999999</v>
      </c>
      <c r="E2644">
        <v>60</v>
      </c>
      <c r="F2644">
        <v>58.302555083999998</v>
      </c>
      <c r="G2644">
        <v>1340.2261963000001</v>
      </c>
      <c r="H2644">
        <v>1337.7553711</v>
      </c>
      <c r="I2644">
        <v>1327.0549315999999</v>
      </c>
      <c r="J2644">
        <v>1325.1097411999999</v>
      </c>
      <c r="K2644">
        <v>2750</v>
      </c>
      <c r="L2644">
        <v>0</v>
      </c>
      <c r="M2644">
        <v>0</v>
      </c>
      <c r="N2644">
        <v>2750</v>
      </c>
    </row>
    <row r="2645" spans="1:14" x14ac:dyDescent="0.25">
      <c r="A2645">
        <v>1496.4379039999999</v>
      </c>
      <c r="B2645" s="1">
        <f>DATE(2014,6,5) + TIME(10,30,34)</f>
        <v>41795.437893518516</v>
      </c>
      <c r="C2645">
        <v>80</v>
      </c>
      <c r="D2645">
        <v>79.979118346999996</v>
      </c>
      <c r="E2645">
        <v>60</v>
      </c>
      <c r="F2645">
        <v>58.275608063</v>
      </c>
      <c r="G2645">
        <v>1340.2200928</v>
      </c>
      <c r="H2645">
        <v>1337.7537841999999</v>
      </c>
      <c r="I2645">
        <v>1327.0404053</v>
      </c>
      <c r="J2645">
        <v>1325.0887451000001</v>
      </c>
      <c r="K2645">
        <v>2750</v>
      </c>
      <c r="L2645">
        <v>0</v>
      </c>
      <c r="M2645">
        <v>0</v>
      </c>
      <c r="N2645">
        <v>2750</v>
      </c>
    </row>
    <row r="2646" spans="1:14" x14ac:dyDescent="0.25">
      <c r="A2646">
        <v>1497.221344</v>
      </c>
      <c r="B2646" s="1">
        <f>DATE(2014,6,6) + TIME(5,18,44)</f>
        <v>41796.221342592595</v>
      </c>
      <c r="C2646">
        <v>80</v>
      </c>
      <c r="D2646">
        <v>79.979087829999997</v>
      </c>
      <c r="E2646">
        <v>60</v>
      </c>
      <c r="F2646">
        <v>58.248367309999999</v>
      </c>
      <c r="G2646">
        <v>1340.2139893000001</v>
      </c>
      <c r="H2646">
        <v>1337.7523193</v>
      </c>
      <c r="I2646">
        <v>1327.0255127</v>
      </c>
      <c r="J2646">
        <v>1325.0673827999999</v>
      </c>
      <c r="K2646">
        <v>2750</v>
      </c>
      <c r="L2646">
        <v>0</v>
      </c>
      <c r="M2646">
        <v>0</v>
      </c>
      <c r="N2646">
        <v>2750</v>
      </c>
    </row>
    <row r="2647" spans="1:14" x14ac:dyDescent="0.25">
      <c r="A2647">
        <v>1498.025486</v>
      </c>
      <c r="B2647" s="1">
        <f>DATE(2014,6,7) + TIME(0,36,41)</f>
        <v>41797.02547453704</v>
      </c>
      <c r="C2647">
        <v>80</v>
      </c>
      <c r="D2647">
        <v>79.979064941000004</v>
      </c>
      <c r="E2647">
        <v>60</v>
      </c>
      <c r="F2647">
        <v>58.220756530999999</v>
      </c>
      <c r="G2647">
        <v>1340.2078856999999</v>
      </c>
      <c r="H2647">
        <v>1337.7507324000001</v>
      </c>
      <c r="I2647">
        <v>1327.0104980000001</v>
      </c>
      <c r="J2647">
        <v>1325.0456543</v>
      </c>
      <c r="K2647">
        <v>2750</v>
      </c>
      <c r="L2647">
        <v>0</v>
      </c>
      <c r="M2647">
        <v>0</v>
      </c>
      <c r="N2647">
        <v>2750</v>
      </c>
    </row>
    <row r="2648" spans="1:14" x14ac:dyDescent="0.25">
      <c r="A2648">
        <v>1498.8548929999999</v>
      </c>
      <c r="B2648" s="1">
        <f>DATE(2014,6,7) + TIME(20,31,2)</f>
        <v>41797.854884259257</v>
      </c>
      <c r="C2648">
        <v>80</v>
      </c>
      <c r="D2648">
        <v>79.979034424000005</v>
      </c>
      <c r="E2648">
        <v>60</v>
      </c>
      <c r="F2648">
        <v>58.192661285</v>
      </c>
      <c r="G2648">
        <v>1340.2017822</v>
      </c>
      <c r="H2648">
        <v>1337.7491454999999</v>
      </c>
      <c r="I2648">
        <v>1326.9951172000001</v>
      </c>
      <c r="J2648">
        <v>1325.0234375</v>
      </c>
      <c r="K2648">
        <v>2750</v>
      </c>
      <c r="L2648">
        <v>0</v>
      </c>
      <c r="M2648">
        <v>0</v>
      </c>
      <c r="N2648">
        <v>2750</v>
      </c>
    </row>
    <row r="2649" spans="1:14" x14ac:dyDescent="0.25">
      <c r="A2649">
        <v>1499.7260120000001</v>
      </c>
      <c r="B2649" s="1">
        <f>DATE(2014,6,8) + TIME(17,25,27)</f>
        <v>41798.726006944446</v>
      </c>
      <c r="C2649">
        <v>80</v>
      </c>
      <c r="D2649">
        <v>79.979003906000003</v>
      </c>
      <c r="E2649">
        <v>60</v>
      </c>
      <c r="F2649">
        <v>58.163780211999999</v>
      </c>
      <c r="G2649">
        <v>1340.1955565999999</v>
      </c>
      <c r="H2649">
        <v>1337.7475586</v>
      </c>
      <c r="I2649">
        <v>1326.9792480000001</v>
      </c>
      <c r="J2649">
        <v>1325.0006103999999</v>
      </c>
      <c r="K2649">
        <v>2750</v>
      </c>
      <c r="L2649">
        <v>0</v>
      </c>
      <c r="M2649">
        <v>0</v>
      </c>
      <c r="N2649">
        <v>2750</v>
      </c>
    </row>
    <row r="2650" spans="1:14" x14ac:dyDescent="0.25">
      <c r="A2650">
        <v>1500.615076</v>
      </c>
      <c r="B2650" s="1">
        <f>DATE(2014,6,9) + TIME(14,45,42)</f>
        <v>41799.615069444444</v>
      </c>
      <c r="C2650">
        <v>80</v>
      </c>
      <c r="D2650">
        <v>79.978973389000004</v>
      </c>
      <c r="E2650">
        <v>60</v>
      </c>
      <c r="F2650">
        <v>58.134281158</v>
      </c>
      <c r="G2650">
        <v>1340.1892089999999</v>
      </c>
      <c r="H2650">
        <v>1337.7458495999999</v>
      </c>
      <c r="I2650">
        <v>1326.9628906</v>
      </c>
      <c r="J2650">
        <v>1324.9769286999999</v>
      </c>
      <c r="K2650">
        <v>2750</v>
      </c>
      <c r="L2650">
        <v>0</v>
      </c>
      <c r="M2650">
        <v>0</v>
      </c>
      <c r="N2650">
        <v>2750</v>
      </c>
    </row>
    <row r="2651" spans="1:14" x14ac:dyDescent="0.25">
      <c r="A2651">
        <v>1501.514764</v>
      </c>
      <c r="B2651" s="1">
        <f>DATE(2014,6,10) + TIME(12,21,15)</f>
        <v>41800.514756944445</v>
      </c>
      <c r="C2651">
        <v>80</v>
      </c>
      <c r="D2651">
        <v>79.978942871000001</v>
      </c>
      <c r="E2651">
        <v>60</v>
      </c>
      <c r="F2651">
        <v>58.104442595999998</v>
      </c>
      <c r="G2651">
        <v>1340.1827393000001</v>
      </c>
      <c r="H2651">
        <v>1337.7441406</v>
      </c>
      <c r="I2651">
        <v>1326.9461670000001</v>
      </c>
      <c r="J2651">
        <v>1324.9528809000001</v>
      </c>
      <c r="K2651">
        <v>2750</v>
      </c>
      <c r="L2651">
        <v>0</v>
      </c>
      <c r="M2651">
        <v>0</v>
      </c>
      <c r="N2651">
        <v>2750</v>
      </c>
    </row>
    <row r="2652" spans="1:14" x14ac:dyDescent="0.25">
      <c r="A2652">
        <v>1502.428052</v>
      </c>
      <c r="B2652" s="1">
        <f>DATE(2014,6,11) + TIME(10,16,23)</f>
        <v>41801.428043981483</v>
      </c>
      <c r="C2652">
        <v>80</v>
      </c>
      <c r="D2652">
        <v>79.978912354000002</v>
      </c>
      <c r="E2652">
        <v>60</v>
      </c>
      <c r="F2652">
        <v>58.074375152999998</v>
      </c>
      <c r="G2652">
        <v>1340.1763916</v>
      </c>
      <c r="H2652">
        <v>1337.7424315999999</v>
      </c>
      <c r="I2652">
        <v>1326.9293213000001</v>
      </c>
      <c r="J2652">
        <v>1324.9285889</v>
      </c>
      <c r="K2652">
        <v>2750</v>
      </c>
      <c r="L2652">
        <v>0</v>
      </c>
      <c r="M2652">
        <v>0</v>
      </c>
      <c r="N2652">
        <v>2750</v>
      </c>
    </row>
    <row r="2653" spans="1:14" x14ac:dyDescent="0.25">
      <c r="A2653">
        <v>1503.358052</v>
      </c>
      <c r="B2653" s="1">
        <f>DATE(2014,6,12) + TIME(8,35,35)</f>
        <v>41802.358043981483</v>
      </c>
      <c r="C2653">
        <v>80</v>
      </c>
      <c r="D2653">
        <v>79.978889464999995</v>
      </c>
      <c r="E2653">
        <v>60</v>
      </c>
      <c r="F2653">
        <v>58.044078827</v>
      </c>
      <c r="G2653">
        <v>1340.1700439000001</v>
      </c>
      <c r="H2653">
        <v>1337.7407227000001</v>
      </c>
      <c r="I2653">
        <v>1326.9122314000001</v>
      </c>
      <c r="J2653">
        <v>1324.9039307</v>
      </c>
      <c r="K2653">
        <v>2750</v>
      </c>
      <c r="L2653">
        <v>0</v>
      </c>
      <c r="M2653">
        <v>0</v>
      </c>
      <c r="N2653">
        <v>2750</v>
      </c>
    </row>
    <row r="2654" spans="1:14" x14ac:dyDescent="0.25">
      <c r="A2654">
        <v>1504.3080219999999</v>
      </c>
      <c r="B2654" s="1">
        <f>DATE(2014,6,13) + TIME(7,23,33)</f>
        <v>41803.308020833334</v>
      </c>
      <c r="C2654">
        <v>80</v>
      </c>
      <c r="D2654">
        <v>79.978858947999996</v>
      </c>
      <c r="E2654">
        <v>60</v>
      </c>
      <c r="F2654">
        <v>58.013492583999998</v>
      </c>
      <c r="G2654">
        <v>1340.1638184000001</v>
      </c>
      <c r="H2654">
        <v>1337.7390137</v>
      </c>
      <c r="I2654">
        <v>1326.8950195</v>
      </c>
      <c r="J2654">
        <v>1324.8790283000001</v>
      </c>
      <c r="K2654">
        <v>2750</v>
      </c>
      <c r="L2654">
        <v>0</v>
      </c>
      <c r="M2654">
        <v>0</v>
      </c>
      <c r="N2654">
        <v>2750</v>
      </c>
    </row>
    <row r="2655" spans="1:14" x14ac:dyDescent="0.25">
      <c r="A2655">
        <v>1505.292068</v>
      </c>
      <c r="B2655" s="1">
        <f>DATE(2014,6,14) + TIME(7,0,34)</f>
        <v>41804.292060185187</v>
      </c>
      <c r="C2655">
        <v>80</v>
      </c>
      <c r="D2655">
        <v>79.978828429999993</v>
      </c>
      <c r="E2655">
        <v>60</v>
      </c>
      <c r="F2655">
        <v>57.982395171999997</v>
      </c>
      <c r="G2655">
        <v>1340.1574707</v>
      </c>
      <c r="H2655">
        <v>1337.7371826000001</v>
      </c>
      <c r="I2655">
        <v>1326.8774414</v>
      </c>
      <c r="J2655">
        <v>1324.8537598</v>
      </c>
      <c r="K2655">
        <v>2750</v>
      </c>
      <c r="L2655">
        <v>0</v>
      </c>
      <c r="M2655">
        <v>0</v>
      </c>
      <c r="N2655">
        <v>2750</v>
      </c>
    </row>
    <row r="2656" spans="1:14" x14ac:dyDescent="0.25">
      <c r="A2656">
        <v>1506.318614</v>
      </c>
      <c r="B2656" s="1">
        <f>DATE(2014,6,15) + TIME(7,38,48)</f>
        <v>41805.318611111114</v>
      </c>
      <c r="C2656">
        <v>80</v>
      </c>
      <c r="D2656">
        <v>79.978805542000003</v>
      </c>
      <c r="E2656">
        <v>60</v>
      </c>
      <c r="F2656">
        <v>57.950527190999999</v>
      </c>
      <c r="G2656">
        <v>1340.1511230000001</v>
      </c>
      <c r="H2656">
        <v>1337.7353516000001</v>
      </c>
      <c r="I2656">
        <v>1326.8594971</v>
      </c>
      <c r="J2656">
        <v>1324.8277588000001</v>
      </c>
      <c r="K2656">
        <v>2750</v>
      </c>
      <c r="L2656">
        <v>0</v>
      </c>
      <c r="M2656">
        <v>0</v>
      </c>
      <c r="N2656">
        <v>2750</v>
      </c>
    </row>
    <row r="2657" spans="1:14" x14ac:dyDescent="0.25">
      <c r="A2657">
        <v>1507.3463220000001</v>
      </c>
      <c r="B2657" s="1">
        <f>DATE(2014,6,16) + TIME(8,18,42)</f>
        <v>41806.346319444441</v>
      </c>
      <c r="C2657">
        <v>80</v>
      </c>
      <c r="D2657">
        <v>79.978775024000001</v>
      </c>
      <c r="E2657">
        <v>60</v>
      </c>
      <c r="F2657">
        <v>57.918247223000002</v>
      </c>
      <c r="G2657">
        <v>1340.1445312000001</v>
      </c>
      <c r="H2657">
        <v>1337.7335204999999</v>
      </c>
      <c r="I2657">
        <v>1326.8410644999999</v>
      </c>
      <c r="J2657">
        <v>1324.8011475000001</v>
      </c>
      <c r="K2657">
        <v>2750</v>
      </c>
      <c r="L2657">
        <v>0</v>
      </c>
      <c r="M2657">
        <v>0</v>
      </c>
      <c r="N2657">
        <v>2750</v>
      </c>
    </row>
    <row r="2658" spans="1:14" x14ac:dyDescent="0.25">
      <c r="A2658">
        <v>1508.379308</v>
      </c>
      <c r="B2658" s="1">
        <f>DATE(2014,6,17) + TIME(9,6,12)</f>
        <v>41807.379305555558</v>
      </c>
      <c r="C2658">
        <v>80</v>
      </c>
      <c r="D2658">
        <v>79.978752135999997</v>
      </c>
      <c r="E2658">
        <v>60</v>
      </c>
      <c r="F2658">
        <v>57.885910033999998</v>
      </c>
      <c r="G2658">
        <v>1340.1381836</v>
      </c>
      <c r="H2658">
        <v>1337.7315673999999</v>
      </c>
      <c r="I2658">
        <v>1326.8225098</v>
      </c>
      <c r="J2658">
        <v>1324.7742920000001</v>
      </c>
      <c r="K2658">
        <v>2750</v>
      </c>
      <c r="L2658">
        <v>0</v>
      </c>
      <c r="M2658">
        <v>0</v>
      </c>
      <c r="N2658">
        <v>2750</v>
      </c>
    </row>
    <row r="2659" spans="1:14" x14ac:dyDescent="0.25">
      <c r="A2659">
        <v>1509.4222520000001</v>
      </c>
      <c r="B2659" s="1">
        <f>DATE(2014,6,18) + TIME(10,8,2)</f>
        <v>41808.42224537037</v>
      </c>
      <c r="C2659">
        <v>80</v>
      </c>
      <c r="D2659">
        <v>79.978721618999998</v>
      </c>
      <c r="E2659">
        <v>60</v>
      </c>
      <c r="F2659">
        <v>57.853572845000002</v>
      </c>
      <c r="G2659">
        <v>1340.1319579999999</v>
      </c>
      <c r="H2659">
        <v>1337.7297363</v>
      </c>
      <c r="I2659">
        <v>1326.8039550999999</v>
      </c>
      <c r="J2659">
        <v>1324.7475586</v>
      </c>
      <c r="K2659">
        <v>2750</v>
      </c>
      <c r="L2659">
        <v>0</v>
      </c>
      <c r="M2659">
        <v>0</v>
      </c>
      <c r="N2659">
        <v>2750</v>
      </c>
    </row>
    <row r="2660" spans="1:14" x14ac:dyDescent="0.25">
      <c r="A2660">
        <v>1510.4800110000001</v>
      </c>
      <c r="B2660" s="1">
        <f>DATE(2014,6,19) + TIME(11,31,12)</f>
        <v>41809.480000000003</v>
      </c>
      <c r="C2660">
        <v>80</v>
      </c>
      <c r="D2660">
        <v>79.978698730000005</v>
      </c>
      <c r="E2660">
        <v>60</v>
      </c>
      <c r="F2660">
        <v>57.821166992000002</v>
      </c>
      <c r="G2660">
        <v>1340.1257324000001</v>
      </c>
      <c r="H2660">
        <v>1337.7279053</v>
      </c>
      <c r="I2660">
        <v>1326.7854004000001</v>
      </c>
      <c r="J2660">
        <v>1324.7205810999999</v>
      </c>
      <c r="K2660">
        <v>2750</v>
      </c>
      <c r="L2660">
        <v>0</v>
      </c>
      <c r="M2660">
        <v>0</v>
      </c>
      <c r="N2660">
        <v>2750</v>
      </c>
    </row>
    <row r="2661" spans="1:14" x14ac:dyDescent="0.25">
      <c r="A2661">
        <v>1511.5574260000001</v>
      </c>
      <c r="B2661" s="1">
        <f>DATE(2014,6,20) + TIME(13,22,41)</f>
        <v>41810.55741898148</v>
      </c>
      <c r="C2661">
        <v>80</v>
      </c>
      <c r="D2661">
        <v>79.978668213000006</v>
      </c>
      <c r="E2661">
        <v>60</v>
      </c>
      <c r="F2661">
        <v>57.788570403999998</v>
      </c>
      <c r="G2661">
        <v>1340.1195068</v>
      </c>
      <c r="H2661">
        <v>1337.7260742000001</v>
      </c>
      <c r="I2661">
        <v>1326.7667236</v>
      </c>
      <c r="J2661">
        <v>1324.6936035000001</v>
      </c>
      <c r="K2661">
        <v>2750</v>
      </c>
      <c r="L2661">
        <v>0</v>
      </c>
      <c r="M2661">
        <v>0</v>
      </c>
      <c r="N2661">
        <v>2750</v>
      </c>
    </row>
    <row r="2662" spans="1:14" x14ac:dyDescent="0.25">
      <c r="A2662">
        <v>1512.6592969999999</v>
      </c>
      <c r="B2662" s="1">
        <f>DATE(2014,6,21) + TIME(15,49,23)</f>
        <v>41811.65929398148</v>
      </c>
      <c r="C2662">
        <v>80</v>
      </c>
      <c r="D2662">
        <v>79.978645325000002</v>
      </c>
      <c r="E2662">
        <v>60</v>
      </c>
      <c r="F2662">
        <v>57.755657196000001</v>
      </c>
      <c r="G2662">
        <v>1340.1134033000001</v>
      </c>
      <c r="H2662">
        <v>1337.7241211</v>
      </c>
      <c r="I2662">
        <v>1326.7479248</v>
      </c>
      <c r="J2662">
        <v>1324.6663818</v>
      </c>
      <c r="K2662">
        <v>2750</v>
      </c>
      <c r="L2662">
        <v>0</v>
      </c>
      <c r="M2662">
        <v>0</v>
      </c>
      <c r="N2662">
        <v>2750</v>
      </c>
    </row>
    <row r="2663" spans="1:14" x14ac:dyDescent="0.25">
      <c r="A2663">
        <v>1513.7910959999999</v>
      </c>
      <c r="B2663" s="1">
        <f>DATE(2014,6,22) + TIME(18,59,10)</f>
        <v>41812.791087962964</v>
      </c>
      <c r="C2663">
        <v>80</v>
      </c>
      <c r="D2663">
        <v>79.978622436999999</v>
      </c>
      <c r="E2663">
        <v>60</v>
      </c>
      <c r="F2663">
        <v>57.722282409999998</v>
      </c>
      <c r="G2663">
        <v>1340.1071777</v>
      </c>
      <c r="H2663">
        <v>1337.722168</v>
      </c>
      <c r="I2663">
        <v>1326.7287598</v>
      </c>
      <c r="J2663">
        <v>1324.6386719</v>
      </c>
      <c r="K2663">
        <v>2750</v>
      </c>
      <c r="L2663">
        <v>0</v>
      </c>
      <c r="M2663">
        <v>0</v>
      </c>
      <c r="N2663">
        <v>2750</v>
      </c>
    </row>
    <row r="2664" spans="1:14" x14ac:dyDescent="0.25">
      <c r="A2664">
        <v>1514.9634120000001</v>
      </c>
      <c r="B2664" s="1">
        <f>DATE(2014,6,23) + TIME(23,7,18)</f>
        <v>41813.963402777779</v>
      </c>
      <c r="C2664">
        <v>80</v>
      </c>
      <c r="D2664">
        <v>79.978599548000005</v>
      </c>
      <c r="E2664">
        <v>60</v>
      </c>
      <c r="F2664">
        <v>57.688236236999998</v>
      </c>
      <c r="G2664">
        <v>1340.1009521000001</v>
      </c>
      <c r="H2664">
        <v>1337.7202147999999</v>
      </c>
      <c r="I2664">
        <v>1326.7094727000001</v>
      </c>
      <c r="J2664">
        <v>1324.6105957</v>
      </c>
      <c r="K2664">
        <v>2750</v>
      </c>
      <c r="L2664">
        <v>0</v>
      </c>
      <c r="M2664">
        <v>0</v>
      </c>
      <c r="N2664">
        <v>2750</v>
      </c>
    </row>
    <row r="2665" spans="1:14" x14ac:dyDescent="0.25">
      <c r="A2665">
        <v>1516.1735140000001</v>
      </c>
      <c r="B2665" s="1">
        <f>DATE(2014,6,25) + TIME(4,9,51)</f>
        <v>41815.173506944448</v>
      </c>
      <c r="C2665">
        <v>80</v>
      </c>
      <c r="D2665">
        <v>79.978576660000002</v>
      </c>
      <c r="E2665">
        <v>60</v>
      </c>
      <c r="F2665">
        <v>57.653392791999998</v>
      </c>
      <c r="G2665">
        <v>1340.0947266000001</v>
      </c>
      <c r="H2665">
        <v>1337.7182617000001</v>
      </c>
      <c r="I2665">
        <v>1326.6895752</v>
      </c>
      <c r="J2665">
        <v>1324.5819091999999</v>
      </c>
      <c r="K2665">
        <v>2750</v>
      </c>
      <c r="L2665">
        <v>0</v>
      </c>
      <c r="M2665">
        <v>0</v>
      </c>
      <c r="N2665">
        <v>2750</v>
      </c>
    </row>
    <row r="2666" spans="1:14" x14ac:dyDescent="0.25">
      <c r="A2666">
        <v>1517.417117</v>
      </c>
      <c r="B2666" s="1">
        <f>DATE(2014,6,26) + TIME(10,0,38)</f>
        <v>41816.41710648148</v>
      </c>
      <c r="C2666">
        <v>80</v>
      </c>
      <c r="D2666">
        <v>79.978553771999998</v>
      </c>
      <c r="E2666">
        <v>60</v>
      </c>
      <c r="F2666">
        <v>57.617778778000002</v>
      </c>
      <c r="G2666">
        <v>1340.0883789</v>
      </c>
      <c r="H2666">
        <v>1337.7161865</v>
      </c>
      <c r="I2666">
        <v>1326.6693115</v>
      </c>
      <c r="J2666">
        <v>1324.5524902</v>
      </c>
      <c r="K2666">
        <v>2750</v>
      </c>
      <c r="L2666">
        <v>0</v>
      </c>
      <c r="M2666">
        <v>0</v>
      </c>
      <c r="N2666">
        <v>2750</v>
      </c>
    </row>
    <row r="2667" spans="1:14" x14ac:dyDescent="0.25">
      <c r="A2667">
        <v>1518.7193070000001</v>
      </c>
      <c r="B2667" s="1">
        <f>DATE(2014,6,27) + TIME(17,15,48)</f>
        <v>41817.719305555554</v>
      </c>
      <c r="C2667">
        <v>80</v>
      </c>
      <c r="D2667">
        <v>79.978530883999994</v>
      </c>
      <c r="E2667">
        <v>60</v>
      </c>
      <c r="F2667">
        <v>57.581199646000002</v>
      </c>
      <c r="G2667">
        <v>1340.0819091999999</v>
      </c>
      <c r="H2667">
        <v>1337.7141113</v>
      </c>
      <c r="I2667">
        <v>1326.6486815999999</v>
      </c>
      <c r="J2667">
        <v>1324.5225829999999</v>
      </c>
      <c r="K2667">
        <v>2750</v>
      </c>
      <c r="L2667">
        <v>0</v>
      </c>
      <c r="M2667">
        <v>0</v>
      </c>
      <c r="N2667">
        <v>2750</v>
      </c>
    </row>
    <row r="2668" spans="1:14" x14ac:dyDescent="0.25">
      <c r="A2668">
        <v>1520.0931700000001</v>
      </c>
      <c r="B2668" s="1">
        <f>DATE(2014,6,29) + TIME(2,14,9)</f>
        <v>41819.093159722222</v>
      </c>
      <c r="C2668">
        <v>80</v>
      </c>
      <c r="D2668">
        <v>79.978507996000005</v>
      </c>
      <c r="E2668">
        <v>60</v>
      </c>
      <c r="F2668">
        <v>57.543251038000001</v>
      </c>
      <c r="G2668">
        <v>1340.0751952999999</v>
      </c>
      <c r="H2668">
        <v>1337.7117920000001</v>
      </c>
      <c r="I2668">
        <v>1326.6273193</v>
      </c>
      <c r="J2668">
        <v>1324.4915771000001</v>
      </c>
      <c r="K2668">
        <v>2750</v>
      </c>
      <c r="L2668">
        <v>0</v>
      </c>
      <c r="M2668">
        <v>0</v>
      </c>
      <c r="N2668">
        <v>2750</v>
      </c>
    </row>
    <row r="2669" spans="1:14" x14ac:dyDescent="0.25">
      <c r="A2669">
        <v>1521.514109</v>
      </c>
      <c r="B2669" s="1">
        <f>DATE(2014,6,30) + TIME(12,20,19)</f>
        <v>41820.514108796298</v>
      </c>
      <c r="C2669">
        <v>80</v>
      </c>
      <c r="D2669">
        <v>79.978485106999997</v>
      </c>
      <c r="E2669">
        <v>60</v>
      </c>
      <c r="F2669">
        <v>57.503890990999999</v>
      </c>
      <c r="G2669">
        <v>1340.0681152</v>
      </c>
      <c r="H2669">
        <v>1337.7093506000001</v>
      </c>
      <c r="I2669">
        <v>1326.6052245999999</v>
      </c>
      <c r="J2669">
        <v>1324.4595947</v>
      </c>
      <c r="K2669">
        <v>2750</v>
      </c>
      <c r="L2669">
        <v>0</v>
      </c>
      <c r="M2669">
        <v>0</v>
      </c>
      <c r="N2669">
        <v>2750</v>
      </c>
    </row>
    <row r="2670" spans="1:14" x14ac:dyDescent="0.25">
      <c r="A2670">
        <v>1522</v>
      </c>
      <c r="B2670" s="1">
        <f>DATE(2014,7,1) + TIME(0,0,0)</f>
        <v>41821</v>
      </c>
      <c r="C2670">
        <v>80</v>
      </c>
      <c r="D2670">
        <v>79.978462218999994</v>
      </c>
      <c r="E2670">
        <v>60</v>
      </c>
      <c r="F2670">
        <v>57.478965758999998</v>
      </c>
      <c r="G2670">
        <v>1340.0610352000001</v>
      </c>
      <c r="H2670">
        <v>1337.7067870999999</v>
      </c>
      <c r="I2670">
        <v>1326.5843506000001</v>
      </c>
      <c r="J2670">
        <v>1324.4300536999999</v>
      </c>
      <c r="K2670">
        <v>2750</v>
      </c>
      <c r="L2670">
        <v>0</v>
      </c>
      <c r="M2670">
        <v>0</v>
      </c>
      <c r="N2670">
        <v>2750</v>
      </c>
    </row>
    <row r="2671" spans="1:14" x14ac:dyDescent="0.25">
      <c r="A2671">
        <v>1523.4804409999999</v>
      </c>
      <c r="B2671" s="1">
        <f>DATE(2014,7,2) + TIME(11,31,50)</f>
        <v>41822.480439814812</v>
      </c>
      <c r="C2671">
        <v>80</v>
      </c>
      <c r="D2671">
        <v>79.978446959999999</v>
      </c>
      <c r="E2671">
        <v>60</v>
      </c>
      <c r="F2671">
        <v>57.446056366000001</v>
      </c>
      <c r="G2671">
        <v>1340.0587158000001</v>
      </c>
      <c r="H2671">
        <v>1337.7059326000001</v>
      </c>
      <c r="I2671">
        <v>1326.5723877</v>
      </c>
      <c r="J2671">
        <v>1324.4112548999999</v>
      </c>
      <c r="K2671">
        <v>2750</v>
      </c>
      <c r="L2671">
        <v>0</v>
      </c>
      <c r="M2671">
        <v>0</v>
      </c>
      <c r="N2671">
        <v>2750</v>
      </c>
    </row>
    <row r="2672" spans="1:14" x14ac:dyDescent="0.25">
      <c r="A2672">
        <v>1524.249575</v>
      </c>
      <c r="B2672" s="1">
        <f>DATE(2014,7,3) + TIME(5,59,23)</f>
        <v>41823.249571759261</v>
      </c>
      <c r="C2672">
        <v>80</v>
      </c>
      <c r="D2672">
        <v>79.978424071999996</v>
      </c>
      <c r="E2672">
        <v>60</v>
      </c>
      <c r="F2672">
        <v>57.415637969999999</v>
      </c>
      <c r="G2672">
        <v>1340.0516356999999</v>
      </c>
      <c r="H2672">
        <v>1337.7033690999999</v>
      </c>
      <c r="I2672">
        <v>1326.5518798999999</v>
      </c>
      <c r="J2672">
        <v>1324.3823242000001</v>
      </c>
      <c r="K2672">
        <v>2750</v>
      </c>
      <c r="L2672">
        <v>0</v>
      </c>
      <c r="M2672">
        <v>0</v>
      </c>
      <c r="N2672">
        <v>2750</v>
      </c>
    </row>
    <row r="2673" spans="1:14" x14ac:dyDescent="0.25">
      <c r="A2673">
        <v>1525.0165050000001</v>
      </c>
      <c r="B2673" s="1">
        <f>DATE(2014,7,4) + TIME(0,23,46)</f>
        <v>41824.016504629632</v>
      </c>
      <c r="C2673">
        <v>80</v>
      </c>
      <c r="D2673">
        <v>79.978408813000001</v>
      </c>
      <c r="E2673">
        <v>60</v>
      </c>
      <c r="F2673">
        <v>57.390014647999998</v>
      </c>
      <c r="G2673">
        <v>1340.0479736</v>
      </c>
      <c r="H2673">
        <v>1337.7021483999999</v>
      </c>
      <c r="I2673">
        <v>1326.5378418</v>
      </c>
      <c r="J2673">
        <v>1324.3613281</v>
      </c>
      <c r="K2673">
        <v>2750</v>
      </c>
      <c r="L2673">
        <v>0</v>
      </c>
      <c r="M2673">
        <v>0</v>
      </c>
      <c r="N2673">
        <v>2750</v>
      </c>
    </row>
    <row r="2674" spans="1:14" x14ac:dyDescent="0.25">
      <c r="A2674">
        <v>1525.7834359999999</v>
      </c>
      <c r="B2674" s="1">
        <f>DATE(2014,7,4) + TIME(18,48,8)</f>
        <v>41824.783425925925</v>
      </c>
      <c r="C2674">
        <v>80</v>
      </c>
      <c r="D2674">
        <v>79.978393554999997</v>
      </c>
      <c r="E2674">
        <v>60</v>
      </c>
      <c r="F2674">
        <v>57.366630553999997</v>
      </c>
      <c r="G2674">
        <v>1340.0444336</v>
      </c>
      <c r="H2674">
        <v>1337.7008057</v>
      </c>
      <c r="I2674">
        <v>1326.5249022999999</v>
      </c>
      <c r="J2674">
        <v>1324.3422852000001</v>
      </c>
      <c r="K2674">
        <v>2750</v>
      </c>
      <c r="L2674">
        <v>0</v>
      </c>
      <c r="M2674">
        <v>0</v>
      </c>
      <c r="N2674">
        <v>2750</v>
      </c>
    </row>
    <row r="2675" spans="1:14" x14ac:dyDescent="0.25">
      <c r="A2675">
        <v>1526.5503670000001</v>
      </c>
      <c r="B2675" s="1">
        <f>DATE(2014,7,5) + TIME(13,12,31)</f>
        <v>41825.550358796296</v>
      </c>
      <c r="C2675">
        <v>80</v>
      </c>
      <c r="D2675">
        <v>79.978385924999998</v>
      </c>
      <c r="E2675">
        <v>60</v>
      </c>
      <c r="F2675">
        <v>57.344310759999999</v>
      </c>
      <c r="G2675">
        <v>1340.0410156</v>
      </c>
      <c r="H2675">
        <v>1337.6995850000001</v>
      </c>
      <c r="I2675">
        <v>1326.5125731999999</v>
      </c>
      <c r="J2675">
        <v>1324.3240966999999</v>
      </c>
      <c r="K2675">
        <v>2750</v>
      </c>
      <c r="L2675">
        <v>0</v>
      </c>
      <c r="M2675">
        <v>0</v>
      </c>
      <c r="N2675">
        <v>2750</v>
      </c>
    </row>
    <row r="2676" spans="1:14" x14ac:dyDescent="0.25">
      <c r="A2676">
        <v>1527.3172979999999</v>
      </c>
      <c r="B2676" s="1">
        <f>DATE(2014,7,6) + TIME(7,36,54)</f>
        <v>41826.317291666666</v>
      </c>
      <c r="C2676">
        <v>80</v>
      </c>
      <c r="D2676">
        <v>79.978370666999993</v>
      </c>
      <c r="E2676">
        <v>60</v>
      </c>
      <c r="F2676">
        <v>57.322517394999998</v>
      </c>
      <c r="G2676">
        <v>1340.0375977000001</v>
      </c>
      <c r="H2676">
        <v>1337.6982422000001</v>
      </c>
      <c r="I2676">
        <v>1326.5006103999999</v>
      </c>
      <c r="J2676">
        <v>1324.3066406</v>
      </c>
      <c r="K2676">
        <v>2750</v>
      </c>
      <c r="L2676">
        <v>0</v>
      </c>
      <c r="M2676">
        <v>0</v>
      </c>
      <c r="N2676">
        <v>2750</v>
      </c>
    </row>
    <row r="2677" spans="1:14" x14ac:dyDescent="0.25">
      <c r="A2677">
        <v>1528.8511599999999</v>
      </c>
      <c r="B2677" s="1">
        <f>DATE(2014,7,7) + TIME(20,25,40)</f>
        <v>41827.851157407407</v>
      </c>
      <c r="C2677">
        <v>80</v>
      </c>
      <c r="D2677">
        <v>79.978370666999993</v>
      </c>
      <c r="E2677">
        <v>60</v>
      </c>
      <c r="F2677">
        <v>57.294601440000001</v>
      </c>
      <c r="G2677">
        <v>1340.0341797000001</v>
      </c>
      <c r="H2677">
        <v>1337.6970214999999</v>
      </c>
      <c r="I2677">
        <v>1326.4880370999999</v>
      </c>
      <c r="J2677">
        <v>1324.2878418</v>
      </c>
      <c r="K2677">
        <v>2750</v>
      </c>
      <c r="L2677">
        <v>0</v>
      </c>
      <c r="M2677">
        <v>0</v>
      </c>
      <c r="N2677">
        <v>2750</v>
      </c>
    </row>
    <row r="2678" spans="1:14" x14ac:dyDescent="0.25">
      <c r="A2678">
        <v>1530.3870910000001</v>
      </c>
      <c r="B2678" s="1">
        <f>DATE(2014,7,9) + TIME(9,17,24)</f>
        <v>41829.387083333335</v>
      </c>
      <c r="C2678">
        <v>80</v>
      </c>
      <c r="D2678">
        <v>79.978355407999999</v>
      </c>
      <c r="E2678">
        <v>60</v>
      </c>
      <c r="F2678">
        <v>57.256511688000003</v>
      </c>
      <c r="G2678">
        <v>1340.0274658000001</v>
      </c>
      <c r="H2678">
        <v>1337.6944579999999</v>
      </c>
      <c r="I2678">
        <v>1326.4680175999999</v>
      </c>
      <c r="J2678">
        <v>1324.2593993999999</v>
      </c>
      <c r="K2678">
        <v>2750</v>
      </c>
      <c r="L2678">
        <v>0</v>
      </c>
      <c r="M2678">
        <v>0</v>
      </c>
      <c r="N2678">
        <v>2750</v>
      </c>
    </row>
    <row r="2679" spans="1:14" x14ac:dyDescent="0.25">
      <c r="A2679">
        <v>1531.9383319999999</v>
      </c>
      <c r="B2679" s="1">
        <f>DATE(2014,7,10) + TIME(22,31,11)</f>
        <v>41830.938321759262</v>
      </c>
      <c r="C2679">
        <v>80</v>
      </c>
      <c r="D2679">
        <v>79.978332519999995</v>
      </c>
      <c r="E2679">
        <v>60</v>
      </c>
      <c r="F2679">
        <v>57.215404509999999</v>
      </c>
      <c r="G2679">
        <v>1340.020874</v>
      </c>
      <c r="H2679">
        <v>1337.6920166</v>
      </c>
      <c r="I2679">
        <v>1326.4461670000001</v>
      </c>
      <c r="J2679">
        <v>1324.2275391000001</v>
      </c>
      <c r="K2679">
        <v>2750</v>
      </c>
      <c r="L2679">
        <v>0</v>
      </c>
      <c r="M2679">
        <v>0</v>
      </c>
      <c r="N2679">
        <v>2750</v>
      </c>
    </row>
    <row r="2680" spans="1:14" x14ac:dyDescent="0.25">
      <c r="A2680">
        <v>1533.513042</v>
      </c>
      <c r="B2680" s="1">
        <f>DATE(2014,7,12) + TIME(12,18,46)</f>
        <v>41832.513032407405</v>
      </c>
      <c r="C2680">
        <v>80</v>
      </c>
      <c r="D2680">
        <v>79.978317261000001</v>
      </c>
      <c r="E2680">
        <v>60</v>
      </c>
      <c r="F2680">
        <v>57.173187255999999</v>
      </c>
      <c r="G2680">
        <v>1340.0142822</v>
      </c>
      <c r="H2680">
        <v>1337.6894531</v>
      </c>
      <c r="I2680">
        <v>1326.4238281</v>
      </c>
      <c r="J2680">
        <v>1324.1949463000001</v>
      </c>
      <c r="K2680">
        <v>2750</v>
      </c>
      <c r="L2680">
        <v>0</v>
      </c>
      <c r="M2680">
        <v>0</v>
      </c>
      <c r="N2680">
        <v>2750</v>
      </c>
    </row>
    <row r="2681" spans="1:14" x14ac:dyDescent="0.25">
      <c r="A2681">
        <v>1535.119827</v>
      </c>
      <c r="B2681" s="1">
        <f>DATE(2014,7,14) + TIME(2,52,33)</f>
        <v>41834.119826388887</v>
      </c>
      <c r="C2681">
        <v>80</v>
      </c>
      <c r="D2681">
        <v>79.978302002000007</v>
      </c>
      <c r="E2681">
        <v>60</v>
      </c>
      <c r="F2681">
        <v>57.130290985000002</v>
      </c>
      <c r="G2681">
        <v>1340.0079346</v>
      </c>
      <c r="H2681">
        <v>1337.6870117000001</v>
      </c>
      <c r="I2681">
        <v>1326.4013672000001</v>
      </c>
      <c r="J2681">
        <v>1324.1619873</v>
      </c>
      <c r="K2681">
        <v>2750</v>
      </c>
      <c r="L2681">
        <v>0</v>
      </c>
      <c r="M2681">
        <v>0</v>
      </c>
      <c r="N2681">
        <v>2750</v>
      </c>
    </row>
    <row r="2682" spans="1:14" x14ac:dyDescent="0.25">
      <c r="A2682">
        <v>1536.7679009999999</v>
      </c>
      <c r="B2682" s="1">
        <f>DATE(2014,7,15) + TIME(18,25,46)</f>
        <v>41835.767893518518</v>
      </c>
      <c r="C2682">
        <v>80</v>
      </c>
      <c r="D2682">
        <v>79.978279114000003</v>
      </c>
      <c r="E2682">
        <v>60</v>
      </c>
      <c r="F2682">
        <v>57.086688995000003</v>
      </c>
      <c r="G2682">
        <v>1340.0014647999999</v>
      </c>
      <c r="H2682">
        <v>1337.6845702999999</v>
      </c>
      <c r="I2682">
        <v>1326.3787841999999</v>
      </c>
      <c r="J2682">
        <v>1324.1287841999999</v>
      </c>
      <c r="K2682">
        <v>2750</v>
      </c>
      <c r="L2682">
        <v>0</v>
      </c>
      <c r="M2682">
        <v>0</v>
      </c>
      <c r="N2682">
        <v>2750</v>
      </c>
    </row>
    <row r="2683" spans="1:14" x14ac:dyDescent="0.25">
      <c r="A2683">
        <v>1537.5939450000001</v>
      </c>
      <c r="B2683" s="1">
        <f>DATE(2014,7,16) + TIME(14,15,16)</f>
        <v>41836.593935185185</v>
      </c>
      <c r="C2683">
        <v>80</v>
      </c>
      <c r="D2683">
        <v>79.978263854999994</v>
      </c>
      <c r="E2683">
        <v>60</v>
      </c>
      <c r="F2683">
        <v>57.052135468000003</v>
      </c>
      <c r="G2683">
        <v>1339.9951172000001</v>
      </c>
      <c r="H2683">
        <v>1337.6820068</v>
      </c>
      <c r="I2683">
        <v>1326.3571777</v>
      </c>
      <c r="J2683">
        <v>1324.0974120999999</v>
      </c>
      <c r="K2683">
        <v>2750</v>
      </c>
      <c r="L2683">
        <v>0</v>
      </c>
      <c r="M2683">
        <v>0</v>
      </c>
      <c r="N2683">
        <v>2750</v>
      </c>
    </row>
    <row r="2684" spans="1:14" x14ac:dyDescent="0.25">
      <c r="A2684">
        <v>1539.246034</v>
      </c>
      <c r="B2684" s="1">
        <f>DATE(2014,7,18) + TIME(5,54,17)</f>
        <v>41838.246030092596</v>
      </c>
      <c r="C2684">
        <v>80</v>
      </c>
      <c r="D2684">
        <v>79.978256225999999</v>
      </c>
      <c r="E2684">
        <v>60</v>
      </c>
      <c r="F2684">
        <v>57.017032622999999</v>
      </c>
      <c r="G2684">
        <v>1339.9919434000001</v>
      </c>
      <c r="H2684">
        <v>1337.6807861</v>
      </c>
      <c r="I2684">
        <v>1326.3424072</v>
      </c>
      <c r="J2684">
        <v>1324.0745850000001</v>
      </c>
      <c r="K2684">
        <v>2750</v>
      </c>
      <c r="L2684">
        <v>0</v>
      </c>
      <c r="M2684">
        <v>0</v>
      </c>
      <c r="N2684">
        <v>2750</v>
      </c>
    </row>
    <row r="2685" spans="1:14" x14ac:dyDescent="0.25">
      <c r="A2685">
        <v>1540.898846</v>
      </c>
      <c r="B2685" s="1">
        <f>DATE(2014,7,19) + TIME(21,34,20)</f>
        <v>41839.898842592593</v>
      </c>
      <c r="C2685">
        <v>80</v>
      </c>
      <c r="D2685">
        <v>79.978240967000005</v>
      </c>
      <c r="E2685">
        <v>60</v>
      </c>
      <c r="F2685">
        <v>56.975574493000003</v>
      </c>
      <c r="G2685">
        <v>1339.9857178</v>
      </c>
      <c r="H2685">
        <v>1337.6782227000001</v>
      </c>
      <c r="I2685">
        <v>1326.3218993999999</v>
      </c>
      <c r="J2685">
        <v>1324.0446777</v>
      </c>
      <c r="K2685">
        <v>2750</v>
      </c>
      <c r="L2685">
        <v>0</v>
      </c>
      <c r="M2685">
        <v>0</v>
      </c>
      <c r="N2685">
        <v>2750</v>
      </c>
    </row>
    <row r="2686" spans="1:14" x14ac:dyDescent="0.25">
      <c r="A2686">
        <v>1542.561416</v>
      </c>
      <c r="B2686" s="1">
        <f>DATE(2014,7,21) + TIME(13,28,26)</f>
        <v>41841.561412037037</v>
      </c>
      <c r="C2686">
        <v>80</v>
      </c>
      <c r="D2686">
        <v>79.978233337000006</v>
      </c>
      <c r="E2686">
        <v>60</v>
      </c>
      <c r="F2686">
        <v>56.932556151999997</v>
      </c>
      <c r="G2686">
        <v>1339.9797363</v>
      </c>
      <c r="H2686">
        <v>1337.6757812000001</v>
      </c>
      <c r="I2686">
        <v>1326.3005370999999</v>
      </c>
      <c r="J2686">
        <v>1324.0130615</v>
      </c>
      <c r="K2686">
        <v>2750</v>
      </c>
      <c r="L2686">
        <v>0</v>
      </c>
      <c r="M2686">
        <v>0</v>
      </c>
      <c r="N2686">
        <v>2750</v>
      </c>
    </row>
    <row r="2687" spans="1:14" x14ac:dyDescent="0.25">
      <c r="A2687">
        <v>1544.2409050000001</v>
      </c>
      <c r="B2687" s="1">
        <f>DATE(2014,7,23) + TIME(5,46,54)</f>
        <v>41843.240902777776</v>
      </c>
      <c r="C2687">
        <v>80</v>
      </c>
      <c r="D2687">
        <v>79.978218079000001</v>
      </c>
      <c r="E2687">
        <v>60</v>
      </c>
      <c r="F2687">
        <v>56.889232634999999</v>
      </c>
      <c r="G2687">
        <v>1339.9737548999999</v>
      </c>
      <c r="H2687">
        <v>1337.6732178</v>
      </c>
      <c r="I2687">
        <v>1326.2790527</v>
      </c>
      <c r="J2687">
        <v>1323.9813231999999</v>
      </c>
      <c r="K2687">
        <v>2750</v>
      </c>
      <c r="L2687">
        <v>0</v>
      </c>
      <c r="M2687">
        <v>0</v>
      </c>
      <c r="N2687">
        <v>2750</v>
      </c>
    </row>
    <row r="2688" spans="1:14" x14ac:dyDescent="0.25">
      <c r="A2688">
        <v>1545.944739</v>
      </c>
      <c r="B2688" s="1">
        <f>DATE(2014,7,24) + TIME(22,40,25)</f>
        <v>41844.944733796299</v>
      </c>
      <c r="C2688">
        <v>80</v>
      </c>
      <c r="D2688">
        <v>79.978210449000002</v>
      </c>
      <c r="E2688">
        <v>60</v>
      </c>
      <c r="F2688">
        <v>56.845920563</v>
      </c>
      <c r="G2688">
        <v>1339.9677733999999</v>
      </c>
      <c r="H2688">
        <v>1337.6707764</v>
      </c>
      <c r="I2688">
        <v>1326.2578125</v>
      </c>
      <c r="J2688">
        <v>1323.9495850000001</v>
      </c>
      <c r="K2688">
        <v>2750</v>
      </c>
      <c r="L2688">
        <v>0</v>
      </c>
      <c r="M2688">
        <v>0</v>
      </c>
      <c r="N2688">
        <v>2750</v>
      </c>
    </row>
    <row r="2689" spans="1:14" x14ac:dyDescent="0.25">
      <c r="A2689">
        <v>1547.680981</v>
      </c>
      <c r="B2689" s="1">
        <f>DATE(2014,7,26) + TIME(16,20,36)</f>
        <v>41846.680972222224</v>
      </c>
      <c r="C2689">
        <v>80</v>
      </c>
      <c r="D2689">
        <v>79.978195189999994</v>
      </c>
      <c r="E2689">
        <v>60</v>
      </c>
      <c r="F2689">
        <v>56.802700043000002</v>
      </c>
      <c r="G2689">
        <v>1339.9619141000001</v>
      </c>
      <c r="H2689">
        <v>1337.6683350000001</v>
      </c>
      <c r="I2689">
        <v>1326.2366943</v>
      </c>
      <c r="J2689">
        <v>1323.9180908000001</v>
      </c>
      <c r="K2689">
        <v>2750</v>
      </c>
      <c r="L2689">
        <v>0</v>
      </c>
      <c r="M2689">
        <v>0</v>
      </c>
      <c r="N2689">
        <v>2750</v>
      </c>
    </row>
    <row r="2690" spans="1:14" x14ac:dyDescent="0.25">
      <c r="A2690">
        <v>1549.4578590000001</v>
      </c>
      <c r="B2690" s="1">
        <f>DATE(2014,7,28) + TIME(10,59,19)</f>
        <v>41848.457858796297</v>
      </c>
      <c r="C2690">
        <v>80</v>
      </c>
      <c r="D2690">
        <v>79.978187560999999</v>
      </c>
      <c r="E2690">
        <v>60</v>
      </c>
      <c r="F2690">
        <v>56.759651183999999</v>
      </c>
      <c r="G2690">
        <v>1339.9560547000001</v>
      </c>
      <c r="H2690">
        <v>1337.6657714999999</v>
      </c>
      <c r="I2690">
        <v>1326.2156981999999</v>
      </c>
      <c r="J2690">
        <v>1323.8867187999999</v>
      </c>
      <c r="K2690">
        <v>2750</v>
      </c>
      <c r="L2690">
        <v>0</v>
      </c>
      <c r="M2690">
        <v>0</v>
      </c>
      <c r="N2690">
        <v>2750</v>
      </c>
    </row>
    <row r="2691" spans="1:14" x14ac:dyDescent="0.25">
      <c r="A2691">
        <v>1551.2843479999999</v>
      </c>
      <c r="B2691" s="1">
        <f>DATE(2014,7,30) + TIME(6,49,27)</f>
        <v>41850.28434027778</v>
      </c>
      <c r="C2691">
        <v>80</v>
      </c>
      <c r="D2691">
        <v>79.978172302000004</v>
      </c>
      <c r="E2691">
        <v>60</v>
      </c>
      <c r="F2691">
        <v>56.716911316000001</v>
      </c>
      <c r="G2691">
        <v>1339.9501952999999</v>
      </c>
      <c r="H2691">
        <v>1337.6632079999999</v>
      </c>
      <c r="I2691">
        <v>1326.1948242000001</v>
      </c>
      <c r="J2691">
        <v>1323.8551024999999</v>
      </c>
      <c r="K2691">
        <v>2750</v>
      </c>
      <c r="L2691">
        <v>0</v>
      </c>
      <c r="M2691">
        <v>0</v>
      </c>
      <c r="N2691">
        <v>2750</v>
      </c>
    </row>
    <row r="2692" spans="1:14" x14ac:dyDescent="0.25">
      <c r="A2692">
        <v>1553</v>
      </c>
      <c r="B2692" s="1">
        <f>DATE(2014,8,1) + TIME(0,0,0)</f>
        <v>41852</v>
      </c>
      <c r="C2692">
        <v>80</v>
      </c>
      <c r="D2692">
        <v>79.978164672999995</v>
      </c>
      <c r="E2692">
        <v>60</v>
      </c>
      <c r="F2692">
        <v>56.675743103000002</v>
      </c>
      <c r="G2692">
        <v>1339.9442139</v>
      </c>
      <c r="H2692">
        <v>1337.6606445</v>
      </c>
      <c r="I2692">
        <v>1326.1740723</v>
      </c>
      <c r="J2692">
        <v>1323.8237305</v>
      </c>
      <c r="K2692">
        <v>2750</v>
      </c>
      <c r="L2692">
        <v>0</v>
      </c>
      <c r="M2692">
        <v>0</v>
      </c>
      <c r="N2692">
        <v>2750</v>
      </c>
    </row>
    <row r="2693" spans="1:14" x14ac:dyDescent="0.25">
      <c r="A2693">
        <v>1554.885849</v>
      </c>
      <c r="B2693" s="1">
        <f>DATE(2014,8,2) + TIME(21,15,37)</f>
        <v>41853.885844907411</v>
      </c>
      <c r="C2693">
        <v>80</v>
      </c>
      <c r="D2693">
        <v>79.978157042999996</v>
      </c>
      <c r="E2693">
        <v>60</v>
      </c>
      <c r="F2693">
        <v>56.636920928999999</v>
      </c>
      <c r="G2693">
        <v>1339.9388428</v>
      </c>
      <c r="H2693">
        <v>1337.6582031</v>
      </c>
      <c r="I2693">
        <v>1326.1542969</v>
      </c>
      <c r="J2693">
        <v>1323.7937012</v>
      </c>
      <c r="K2693">
        <v>2750</v>
      </c>
      <c r="L2693">
        <v>0</v>
      </c>
      <c r="M2693">
        <v>0</v>
      </c>
      <c r="N2693">
        <v>2750</v>
      </c>
    </row>
    <row r="2694" spans="1:14" x14ac:dyDescent="0.25">
      <c r="A2694">
        <v>1556.917594</v>
      </c>
      <c r="B2694" s="1">
        <f>DATE(2014,8,4) + TIME(22,1,20)</f>
        <v>41855.917592592596</v>
      </c>
      <c r="C2694">
        <v>80</v>
      </c>
      <c r="D2694">
        <v>79.978149414000001</v>
      </c>
      <c r="E2694">
        <v>60</v>
      </c>
      <c r="F2694">
        <v>56.598529816000003</v>
      </c>
      <c r="G2694">
        <v>1339.9328613</v>
      </c>
      <c r="H2694">
        <v>1337.6555175999999</v>
      </c>
      <c r="I2694">
        <v>1326.1341553</v>
      </c>
      <c r="J2694">
        <v>1323.7628173999999</v>
      </c>
      <c r="K2694">
        <v>2750</v>
      </c>
      <c r="L2694">
        <v>0</v>
      </c>
      <c r="M2694">
        <v>0</v>
      </c>
      <c r="N2694">
        <v>2750</v>
      </c>
    </row>
    <row r="2695" spans="1:14" x14ac:dyDescent="0.25">
      <c r="A2695">
        <v>1559.0416749999999</v>
      </c>
      <c r="B2695" s="1">
        <f>DATE(2014,8,7) + TIME(1,0,0)</f>
        <v>41858.041666666664</v>
      </c>
      <c r="C2695">
        <v>80</v>
      </c>
      <c r="D2695">
        <v>79.978141785000005</v>
      </c>
      <c r="E2695">
        <v>60</v>
      </c>
      <c r="F2695">
        <v>56.561702728</v>
      </c>
      <c r="G2695">
        <v>1339.9266356999999</v>
      </c>
      <c r="H2695">
        <v>1337.6527100000001</v>
      </c>
      <c r="I2695">
        <v>1326.1131591999999</v>
      </c>
      <c r="J2695">
        <v>1323.7307129000001</v>
      </c>
      <c r="K2695">
        <v>2750</v>
      </c>
      <c r="L2695">
        <v>0</v>
      </c>
      <c r="M2695">
        <v>0</v>
      </c>
      <c r="N2695">
        <v>2750</v>
      </c>
    </row>
    <row r="2696" spans="1:14" x14ac:dyDescent="0.25">
      <c r="A2696">
        <v>1561.278337</v>
      </c>
      <c r="B2696" s="1">
        <f>DATE(2014,8,9) + TIME(6,40,48)</f>
        <v>41860.278333333335</v>
      </c>
      <c r="C2696">
        <v>80</v>
      </c>
      <c r="D2696">
        <v>79.978134155000006</v>
      </c>
      <c r="E2696">
        <v>60</v>
      </c>
      <c r="F2696">
        <v>56.528728485000002</v>
      </c>
      <c r="G2696">
        <v>1339.9202881000001</v>
      </c>
      <c r="H2696">
        <v>1337.6497803</v>
      </c>
      <c r="I2696">
        <v>1326.0919189000001</v>
      </c>
      <c r="J2696">
        <v>1323.697876</v>
      </c>
      <c r="K2696">
        <v>2750</v>
      </c>
      <c r="L2696">
        <v>0</v>
      </c>
      <c r="M2696">
        <v>0</v>
      </c>
      <c r="N2696">
        <v>2750</v>
      </c>
    </row>
    <row r="2697" spans="1:14" x14ac:dyDescent="0.25">
      <c r="A2697">
        <v>1563.6024070000001</v>
      </c>
      <c r="B2697" s="1">
        <f>DATE(2014,8,11) + TIME(14,27,27)</f>
        <v>41862.602395833332</v>
      </c>
      <c r="C2697">
        <v>80</v>
      </c>
      <c r="D2697">
        <v>79.978134155000006</v>
      </c>
      <c r="E2697">
        <v>60</v>
      </c>
      <c r="F2697">
        <v>56.502151488999999</v>
      </c>
      <c r="G2697">
        <v>1339.9135742000001</v>
      </c>
      <c r="H2697">
        <v>1337.6467285000001</v>
      </c>
      <c r="I2697">
        <v>1326.0705565999999</v>
      </c>
      <c r="J2697">
        <v>1323.6643065999999</v>
      </c>
      <c r="K2697">
        <v>2750</v>
      </c>
      <c r="L2697">
        <v>0</v>
      </c>
      <c r="M2697">
        <v>0</v>
      </c>
      <c r="N2697">
        <v>2750</v>
      </c>
    </row>
    <row r="2698" spans="1:14" x14ac:dyDescent="0.25">
      <c r="A2698">
        <v>1565.9995120000001</v>
      </c>
      <c r="B2698" s="1">
        <f>DATE(2014,8,13) + TIME(23,59,17)</f>
        <v>41864.999502314815</v>
      </c>
      <c r="C2698">
        <v>80</v>
      </c>
      <c r="D2698">
        <v>79.978126525999997</v>
      </c>
      <c r="E2698">
        <v>60</v>
      </c>
      <c r="F2698">
        <v>56.485382080000001</v>
      </c>
      <c r="G2698">
        <v>1339.9068603999999</v>
      </c>
      <c r="H2698">
        <v>1337.6435547000001</v>
      </c>
      <c r="I2698">
        <v>1326.0491943</v>
      </c>
      <c r="J2698">
        <v>1323.6307373</v>
      </c>
      <c r="K2698">
        <v>2750</v>
      </c>
      <c r="L2698">
        <v>0</v>
      </c>
      <c r="M2698">
        <v>0</v>
      </c>
      <c r="N2698">
        <v>2750</v>
      </c>
    </row>
    <row r="2699" spans="1:14" x14ac:dyDescent="0.25">
      <c r="A2699">
        <v>1568.4969000000001</v>
      </c>
      <c r="B2699" s="1">
        <f>DATE(2014,8,16) + TIME(11,55,32)</f>
        <v>41867.496898148151</v>
      </c>
      <c r="C2699">
        <v>80</v>
      </c>
      <c r="D2699">
        <v>79.978118895999998</v>
      </c>
      <c r="E2699">
        <v>60</v>
      </c>
      <c r="F2699">
        <v>56.482398987000003</v>
      </c>
      <c r="G2699">
        <v>1339.9000243999999</v>
      </c>
      <c r="H2699">
        <v>1337.6402588000001</v>
      </c>
      <c r="I2699">
        <v>1326.0281981999999</v>
      </c>
      <c r="J2699">
        <v>1323.5972899999999</v>
      </c>
      <c r="K2699">
        <v>2750</v>
      </c>
      <c r="L2699">
        <v>0</v>
      </c>
      <c r="M2699">
        <v>0</v>
      </c>
      <c r="N2699">
        <v>2750</v>
      </c>
    </row>
    <row r="2700" spans="1:14" x14ac:dyDescent="0.25">
      <c r="A2700">
        <v>1571.0611510000001</v>
      </c>
      <c r="B2700" s="1">
        <f>DATE(2014,8,19) + TIME(1,28,3)</f>
        <v>41870.061145833337</v>
      </c>
      <c r="C2700">
        <v>80</v>
      </c>
      <c r="D2700">
        <v>79.978118895999998</v>
      </c>
      <c r="E2700">
        <v>60</v>
      </c>
      <c r="F2700">
        <v>56.498428345000001</v>
      </c>
      <c r="G2700">
        <v>1339.8931885</v>
      </c>
      <c r="H2700">
        <v>1337.6368408000001</v>
      </c>
      <c r="I2700">
        <v>1326.0078125</v>
      </c>
      <c r="J2700">
        <v>1323.5643310999999</v>
      </c>
      <c r="K2700">
        <v>2750</v>
      </c>
      <c r="L2700">
        <v>0</v>
      </c>
      <c r="M2700">
        <v>0</v>
      </c>
      <c r="N2700">
        <v>2750</v>
      </c>
    </row>
    <row r="2701" spans="1:14" x14ac:dyDescent="0.25">
      <c r="A2701">
        <v>1573.7725499999999</v>
      </c>
      <c r="B2701" s="1">
        <f>DATE(2014,8,21) + TIME(18,32,28)</f>
        <v>41872.772546296299</v>
      </c>
      <c r="C2701">
        <v>80</v>
      </c>
      <c r="D2701">
        <v>79.978111267000003</v>
      </c>
      <c r="E2701">
        <v>60</v>
      </c>
      <c r="F2701">
        <v>56.539375305</v>
      </c>
      <c r="G2701">
        <v>1339.8861084</v>
      </c>
      <c r="H2701">
        <v>1337.6334228999999</v>
      </c>
      <c r="I2701">
        <v>1325.9880370999999</v>
      </c>
      <c r="J2701">
        <v>1323.5319824000001</v>
      </c>
      <c r="K2701">
        <v>2750</v>
      </c>
      <c r="L2701">
        <v>0</v>
      </c>
      <c r="M2701">
        <v>0</v>
      </c>
      <c r="N2701">
        <v>2750</v>
      </c>
    </row>
    <row r="2702" spans="1:14" x14ac:dyDescent="0.25">
      <c r="A2702">
        <v>1575.177997</v>
      </c>
      <c r="B2702" s="1">
        <f>DATE(2014,8,23) + TIME(4,16,18)</f>
        <v>41874.177986111114</v>
      </c>
      <c r="C2702">
        <v>80</v>
      </c>
      <c r="D2702">
        <v>79.978096007999994</v>
      </c>
      <c r="E2702">
        <v>60</v>
      </c>
      <c r="F2702">
        <v>56.603084564</v>
      </c>
      <c r="G2702">
        <v>1339.8789062000001</v>
      </c>
      <c r="H2702">
        <v>1337.6297606999999</v>
      </c>
      <c r="I2702">
        <v>1325.9700928</v>
      </c>
      <c r="J2702">
        <v>1323.5019531</v>
      </c>
      <c r="K2702">
        <v>2750</v>
      </c>
      <c r="L2702">
        <v>0</v>
      </c>
      <c r="M2702">
        <v>0</v>
      </c>
      <c r="N2702">
        <v>2750</v>
      </c>
    </row>
    <row r="2703" spans="1:14" x14ac:dyDescent="0.25">
      <c r="A2703">
        <v>1577.5769359999999</v>
      </c>
      <c r="B2703" s="1">
        <f>DATE(2014,8,25) + TIME(13,50,47)</f>
        <v>41876.576932870368</v>
      </c>
      <c r="C2703">
        <v>80</v>
      </c>
      <c r="D2703">
        <v>79.978103637999993</v>
      </c>
      <c r="E2703">
        <v>60</v>
      </c>
      <c r="F2703">
        <v>56.674697876000003</v>
      </c>
      <c r="G2703">
        <v>1339.8752440999999</v>
      </c>
      <c r="H2703">
        <v>1337.6279297000001</v>
      </c>
      <c r="I2703">
        <v>1325.9572754000001</v>
      </c>
      <c r="J2703">
        <v>1323.4808350000001</v>
      </c>
      <c r="K2703">
        <v>2750</v>
      </c>
      <c r="L2703">
        <v>0</v>
      </c>
      <c r="M2703">
        <v>0</v>
      </c>
      <c r="N2703">
        <v>2750</v>
      </c>
    </row>
    <row r="2704" spans="1:14" x14ac:dyDescent="0.25">
      <c r="A2704">
        <v>1580.226733</v>
      </c>
      <c r="B2704" s="1">
        <f>DATE(2014,8,28) + TIME(5,26,29)</f>
        <v>41879.226724537039</v>
      </c>
      <c r="C2704">
        <v>80</v>
      </c>
      <c r="D2704">
        <v>79.978103637999993</v>
      </c>
      <c r="E2704">
        <v>60</v>
      </c>
      <c r="F2704">
        <v>56.792331695999998</v>
      </c>
      <c r="G2704">
        <v>1339.8690185999999</v>
      </c>
      <c r="H2704">
        <v>1337.6247559000001</v>
      </c>
      <c r="I2704">
        <v>1325.9436035000001</v>
      </c>
      <c r="J2704">
        <v>1323.4577637</v>
      </c>
      <c r="K2704">
        <v>2750</v>
      </c>
      <c r="L2704">
        <v>0</v>
      </c>
      <c r="M2704">
        <v>0</v>
      </c>
      <c r="N2704">
        <v>2750</v>
      </c>
    </row>
    <row r="2705" spans="1:14" x14ac:dyDescent="0.25">
      <c r="A2705">
        <v>1583.050262</v>
      </c>
      <c r="B2705" s="1">
        <f>DATE(2014,8,31) + TIME(1,12,22)</f>
        <v>41882.050254629627</v>
      </c>
      <c r="C2705">
        <v>80</v>
      </c>
      <c r="D2705">
        <v>79.978103637999993</v>
      </c>
      <c r="E2705">
        <v>60</v>
      </c>
      <c r="F2705">
        <v>56.960983276</v>
      </c>
      <c r="G2705">
        <v>1339.8623047000001</v>
      </c>
      <c r="H2705">
        <v>1337.6213379000001</v>
      </c>
      <c r="I2705">
        <v>1325.9295654</v>
      </c>
      <c r="J2705">
        <v>1323.4335937999999</v>
      </c>
      <c r="K2705">
        <v>2750</v>
      </c>
      <c r="L2705">
        <v>0</v>
      </c>
      <c r="M2705">
        <v>0</v>
      </c>
      <c r="N2705">
        <v>2750</v>
      </c>
    </row>
    <row r="2706" spans="1:14" x14ac:dyDescent="0.25">
      <c r="A2706">
        <v>1584</v>
      </c>
      <c r="B2706" s="1">
        <f>DATE(2014,9,1) + TIME(0,0,0)</f>
        <v>41883</v>
      </c>
      <c r="C2706">
        <v>80</v>
      </c>
      <c r="D2706">
        <v>79.978088378999999</v>
      </c>
      <c r="E2706">
        <v>60</v>
      </c>
      <c r="F2706">
        <v>57.139530182000001</v>
      </c>
      <c r="G2706">
        <v>1339.8552245999999</v>
      </c>
      <c r="H2706">
        <v>1337.6176757999999</v>
      </c>
      <c r="I2706">
        <v>1325.9179687999999</v>
      </c>
      <c r="J2706">
        <v>1323.4121094</v>
      </c>
      <c r="K2706">
        <v>2750</v>
      </c>
      <c r="L2706">
        <v>0</v>
      </c>
      <c r="M2706">
        <v>0</v>
      </c>
      <c r="N2706">
        <v>2750</v>
      </c>
    </row>
    <row r="2707" spans="1:14" x14ac:dyDescent="0.25">
      <c r="A2707">
        <v>1586.85671</v>
      </c>
      <c r="B2707" s="1">
        <f>DATE(2014,9,3) + TIME(20,33,39)</f>
        <v>41885.85670138889</v>
      </c>
      <c r="C2707">
        <v>80</v>
      </c>
      <c r="D2707">
        <v>79.978103637999993</v>
      </c>
      <c r="E2707">
        <v>60</v>
      </c>
      <c r="F2707">
        <v>57.299175261999999</v>
      </c>
      <c r="G2707">
        <v>1339.8529053</v>
      </c>
      <c r="H2707">
        <v>1337.6164550999999</v>
      </c>
      <c r="I2707">
        <v>1325.9090576000001</v>
      </c>
      <c r="J2707">
        <v>1323.3994141000001</v>
      </c>
      <c r="K2707">
        <v>2750</v>
      </c>
      <c r="L2707">
        <v>0</v>
      </c>
      <c r="M2707">
        <v>0</v>
      </c>
      <c r="N2707">
        <v>2750</v>
      </c>
    </row>
    <row r="2708" spans="1:14" x14ac:dyDescent="0.25">
      <c r="A2708">
        <v>1589.8047750000001</v>
      </c>
      <c r="B2708" s="1">
        <f>DATE(2014,9,6) + TIME(19,18,52)</f>
        <v>41888.804768518516</v>
      </c>
      <c r="C2708">
        <v>80</v>
      </c>
      <c r="D2708">
        <v>79.978103637999993</v>
      </c>
      <c r="E2708">
        <v>60</v>
      </c>
      <c r="F2708">
        <v>57.562896729000002</v>
      </c>
      <c r="G2708">
        <v>1339.8459473</v>
      </c>
      <c r="H2708">
        <v>1337.612793</v>
      </c>
      <c r="I2708">
        <v>1325.8990478999999</v>
      </c>
      <c r="J2708">
        <v>1323.3811035000001</v>
      </c>
      <c r="K2708">
        <v>2750</v>
      </c>
      <c r="L2708">
        <v>0</v>
      </c>
      <c r="M2708">
        <v>0</v>
      </c>
      <c r="N2708">
        <v>2750</v>
      </c>
    </row>
    <row r="2709" spans="1:14" x14ac:dyDescent="0.25">
      <c r="A2709">
        <v>1592.8346200000001</v>
      </c>
      <c r="B2709" s="1">
        <f>DATE(2014,9,9) + TIME(20,1,51)</f>
        <v>41891.834618055553</v>
      </c>
      <c r="C2709">
        <v>80</v>
      </c>
      <c r="D2709">
        <v>79.978111267000003</v>
      </c>
      <c r="E2709">
        <v>60</v>
      </c>
      <c r="F2709">
        <v>57.904552459999998</v>
      </c>
      <c r="G2709">
        <v>1339.8389893000001</v>
      </c>
      <c r="H2709">
        <v>1337.6090088000001</v>
      </c>
      <c r="I2709">
        <v>1325.8886719</v>
      </c>
      <c r="J2709">
        <v>1323.3631591999999</v>
      </c>
      <c r="K2709">
        <v>2750</v>
      </c>
      <c r="L2709">
        <v>0</v>
      </c>
      <c r="M2709">
        <v>0</v>
      </c>
      <c r="N2709">
        <v>2750</v>
      </c>
    </row>
    <row r="2710" spans="1:14" x14ac:dyDescent="0.25">
      <c r="A2710">
        <v>1595.9760530000001</v>
      </c>
      <c r="B2710" s="1">
        <f>DATE(2014,9,12) + TIME(23,25,30)</f>
        <v>41894.976041666669</v>
      </c>
      <c r="C2710">
        <v>80</v>
      </c>
      <c r="D2710">
        <v>79.978111267000003</v>
      </c>
      <c r="E2710">
        <v>60</v>
      </c>
      <c r="F2710">
        <v>58.285522460999999</v>
      </c>
      <c r="G2710">
        <v>1339.8319091999999</v>
      </c>
      <c r="H2710">
        <v>1337.6052245999999</v>
      </c>
      <c r="I2710">
        <v>1325.8793945</v>
      </c>
      <c r="J2710">
        <v>1323.347168</v>
      </c>
      <c r="K2710">
        <v>2750</v>
      </c>
      <c r="L2710">
        <v>0</v>
      </c>
      <c r="M2710">
        <v>0</v>
      </c>
      <c r="N2710">
        <v>2750</v>
      </c>
    </row>
    <row r="2711" spans="1:14" x14ac:dyDescent="0.25">
      <c r="A2711">
        <v>1599.2341249999999</v>
      </c>
      <c r="B2711" s="1">
        <f>DATE(2014,9,16) + TIME(5,37,8)</f>
        <v>41898.234120370369</v>
      </c>
      <c r="C2711">
        <v>80</v>
      </c>
      <c r="D2711">
        <v>79.978118895999998</v>
      </c>
      <c r="E2711">
        <v>60</v>
      </c>
      <c r="F2711">
        <v>58.715145110999998</v>
      </c>
      <c r="G2711">
        <v>1339.8248291</v>
      </c>
      <c r="H2711">
        <v>1337.6013184000001</v>
      </c>
      <c r="I2711">
        <v>1325.8710937999999</v>
      </c>
      <c r="J2711">
        <v>1323.3332519999999</v>
      </c>
      <c r="K2711">
        <v>2750</v>
      </c>
      <c r="L2711">
        <v>0</v>
      </c>
      <c r="M2711">
        <v>0</v>
      </c>
      <c r="N2711">
        <v>2750</v>
      </c>
    </row>
    <row r="2712" spans="1:14" x14ac:dyDescent="0.25">
      <c r="A2712">
        <v>1602.6249499999999</v>
      </c>
      <c r="B2712" s="1">
        <f>DATE(2014,9,19) + TIME(14,59,55)</f>
        <v>41901.624942129631</v>
      </c>
      <c r="C2712">
        <v>80</v>
      </c>
      <c r="D2712">
        <v>79.978126525999997</v>
      </c>
      <c r="E2712">
        <v>60</v>
      </c>
      <c r="F2712">
        <v>59.163612366000002</v>
      </c>
      <c r="G2712">
        <v>1339.8176269999999</v>
      </c>
      <c r="H2712">
        <v>1337.5974120999999</v>
      </c>
      <c r="I2712">
        <v>1325.8641356999999</v>
      </c>
      <c r="J2712">
        <v>1323.3214111</v>
      </c>
      <c r="K2712">
        <v>2750</v>
      </c>
      <c r="L2712">
        <v>0</v>
      </c>
      <c r="M2712">
        <v>0</v>
      </c>
      <c r="N2712">
        <v>2750</v>
      </c>
    </row>
    <row r="2713" spans="1:14" x14ac:dyDescent="0.25">
      <c r="A2713">
        <v>1606.0969259999999</v>
      </c>
      <c r="B2713" s="1">
        <f>DATE(2014,9,23) + TIME(2,19,34)</f>
        <v>41905.096921296295</v>
      </c>
      <c r="C2713">
        <v>80</v>
      </c>
      <c r="D2713">
        <v>79.978126525999997</v>
      </c>
      <c r="E2713">
        <v>60</v>
      </c>
      <c r="F2713">
        <v>59.644149779999999</v>
      </c>
      <c r="G2713">
        <v>1339.8103027</v>
      </c>
      <c r="H2713">
        <v>1337.5933838000001</v>
      </c>
      <c r="I2713">
        <v>1325.8581543</v>
      </c>
      <c r="J2713">
        <v>1323.3114014</v>
      </c>
      <c r="K2713">
        <v>2750</v>
      </c>
      <c r="L2713">
        <v>0</v>
      </c>
      <c r="M2713">
        <v>0</v>
      </c>
      <c r="N2713">
        <v>2750</v>
      </c>
    </row>
    <row r="2714" spans="1:14" x14ac:dyDescent="0.25">
      <c r="A2714">
        <v>1609.7203059999999</v>
      </c>
      <c r="B2714" s="1">
        <f>DATE(2014,9,26) + TIME(17,17,14)</f>
        <v>41908.720300925925</v>
      </c>
      <c r="C2714">
        <v>80</v>
      </c>
      <c r="D2714">
        <v>79.978134155000006</v>
      </c>
      <c r="E2714">
        <v>60</v>
      </c>
      <c r="F2714">
        <v>60.111022949000002</v>
      </c>
      <c r="G2714">
        <v>1339.8029785000001</v>
      </c>
      <c r="H2714">
        <v>1337.5894774999999</v>
      </c>
      <c r="I2714">
        <v>1325.8532714999999</v>
      </c>
      <c r="J2714">
        <v>1323.3031006000001</v>
      </c>
      <c r="K2714">
        <v>2750</v>
      </c>
      <c r="L2714">
        <v>0</v>
      </c>
      <c r="M2714">
        <v>0</v>
      </c>
      <c r="N2714">
        <v>2750</v>
      </c>
    </row>
    <row r="2715" spans="1:14" x14ac:dyDescent="0.25">
      <c r="A2715">
        <v>1613.5625660000001</v>
      </c>
      <c r="B2715" s="1">
        <f>DATE(2014,9,30) + TIME(13,30,5)</f>
        <v>41912.562557870369</v>
      </c>
      <c r="C2715">
        <v>80</v>
      </c>
      <c r="D2715">
        <v>79.978149414000001</v>
      </c>
      <c r="E2715">
        <v>60</v>
      </c>
      <c r="F2715">
        <v>60.617782593000001</v>
      </c>
      <c r="G2715">
        <v>1339.7956543</v>
      </c>
      <c r="H2715">
        <v>1337.5853271000001</v>
      </c>
      <c r="I2715">
        <v>1325.848999</v>
      </c>
      <c r="J2715">
        <v>1323.2963867000001</v>
      </c>
      <c r="K2715">
        <v>2750</v>
      </c>
      <c r="L2715">
        <v>0</v>
      </c>
      <c r="M2715">
        <v>0</v>
      </c>
      <c r="N2715">
        <v>2750</v>
      </c>
    </row>
    <row r="2716" spans="1:14" x14ac:dyDescent="0.25">
      <c r="A2716">
        <v>1614</v>
      </c>
      <c r="B2716" s="1">
        <f>DATE(2014,10,1) + TIME(0,0,0)</f>
        <v>41913</v>
      </c>
      <c r="C2716">
        <v>80</v>
      </c>
      <c r="D2716">
        <v>79.978134155000006</v>
      </c>
      <c r="E2716">
        <v>60</v>
      </c>
      <c r="F2716">
        <v>60.854255676000001</v>
      </c>
      <c r="G2716">
        <v>1339.7882079999999</v>
      </c>
      <c r="H2716">
        <v>1337.5812988</v>
      </c>
      <c r="I2716">
        <v>1325.8513184000001</v>
      </c>
      <c r="J2716">
        <v>1323.2928466999999</v>
      </c>
      <c r="K2716">
        <v>2750</v>
      </c>
      <c r="L2716">
        <v>0</v>
      </c>
      <c r="M2716">
        <v>0</v>
      </c>
      <c r="N2716">
        <v>2750</v>
      </c>
    </row>
    <row r="2717" spans="1:14" x14ac:dyDescent="0.25">
      <c r="A2717">
        <v>1617.9273599999999</v>
      </c>
      <c r="B2717" s="1">
        <f>DATE(2014,10,4) + TIME(22,15,23)</f>
        <v>41916.927349537036</v>
      </c>
      <c r="C2717">
        <v>80</v>
      </c>
      <c r="D2717">
        <v>79.978157042999996</v>
      </c>
      <c r="E2717">
        <v>60</v>
      </c>
      <c r="F2717">
        <v>61.158821105999998</v>
      </c>
      <c r="G2717">
        <v>1339.7873535000001</v>
      </c>
      <c r="H2717">
        <v>1337.5806885</v>
      </c>
      <c r="I2717">
        <v>1325.8453368999999</v>
      </c>
      <c r="J2717">
        <v>1323.2915039</v>
      </c>
      <c r="K2717">
        <v>2750</v>
      </c>
      <c r="L2717">
        <v>0</v>
      </c>
      <c r="M2717">
        <v>0</v>
      </c>
      <c r="N2717">
        <v>2750</v>
      </c>
    </row>
    <row r="2718" spans="1:14" x14ac:dyDescent="0.25">
      <c r="A2718">
        <v>1621.958607</v>
      </c>
      <c r="B2718" s="1">
        <f>DATE(2014,10,8) + TIME(23,0,23)</f>
        <v>41920.958599537036</v>
      </c>
      <c r="C2718">
        <v>80</v>
      </c>
      <c r="D2718">
        <v>79.978172302000004</v>
      </c>
      <c r="E2718">
        <v>60</v>
      </c>
      <c r="F2718">
        <v>61.660072327000002</v>
      </c>
      <c r="G2718">
        <v>1339.7797852000001</v>
      </c>
      <c r="H2718">
        <v>1337.5765381000001</v>
      </c>
      <c r="I2718">
        <v>1325.8425293</v>
      </c>
      <c r="J2718">
        <v>1323.2858887</v>
      </c>
      <c r="K2718">
        <v>2750</v>
      </c>
      <c r="L2718">
        <v>0</v>
      </c>
      <c r="M2718">
        <v>0</v>
      </c>
      <c r="N2718">
        <v>2750</v>
      </c>
    </row>
    <row r="2719" spans="1:14" x14ac:dyDescent="0.25">
      <c r="A2719">
        <v>1624.0696359999999</v>
      </c>
      <c r="B2719" s="1">
        <f>DATE(2014,10,11) + TIME(1,40,16)</f>
        <v>41923.06962962963</v>
      </c>
      <c r="C2719">
        <v>80</v>
      </c>
      <c r="D2719">
        <v>79.978157042999996</v>
      </c>
      <c r="E2719">
        <v>60</v>
      </c>
      <c r="F2719">
        <v>62.064777374000002</v>
      </c>
      <c r="G2719">
        <v>1339.7724608999999</v>
      </c>
      <c r="H2719">
        <v>1337.5723877</v>
      </c>
      <c r="I2719">
        <v>1325.8416748</v>
      </c>
      <c r="J2719">
        <v>1323.2832031</v>
      </c>
      <c r="K2719">
        <v>2750</v>
      </c>
      <c r="L2719">
        <v>0</v>
      </c>
      <c r="M2719">
        <v>0</v>
      </c>
      <c r="N2719">
        <v>2750</v>
      </c>
    </row>
    <row r="2720" spans="1:14" x14ac:dyDescent="0.25">
      <c r="A2720">
        <v>1626.180664</v>
      </c>
      <c r="B2720" s="1">
        <f>DATE(2014,10,13) + TIME(4,20,9)</f>
        <v>41925.180659722224</v>
      </c>
      <c r="C2720">
        <v>80</v>
      </c>
      <c r="D2720">
        <v>79.978164672999995</v>
      </c>
      <c r="E2720">
        <v>60</v>
      </c>
      <c r="F2720">
        <v>62.318130492999998</v>
      </c>
      <c r="G2720">
        <v>1339.7687988</v>
      </c>
      <c r="H2720">
        <v>1337.5703125</v>
      </c>
      <c r="I2720">
        <v>1325.8404541</v>
      </c>
      <c r="J2720">
        <v>1323.2828368999999</v>
      </c>
      <c r="K2720">
        <v>2750</v>
      </c>
      <c r="L2720">
        <v>0</v>
      </c>
      <c r="M2720">
        <v>0</v>
      </c>
      <c r="N2720">
        <v>2750</v>
      </c>
    </row>
    <row r="2721" spans="1:14" x14ac:dyDescent="0.25">
      <c r="A2721">
        <v>1628.291692</v>
      </c>
      <c r="B2721" s="1">
        <f>DATE(2014,10,15) + TIME(7,0,2)</f>
        <v>41927.291689814818</v>
      </c>
      <c r="C2721">
        <v>80</v>
      </c>
      <c r="D2721">
        <v>79.978172302000004</v>
      </c>
      <c r="E2721">
        <v>60</v>
      </c>
      <c r="F2721">
        <v>62.534183501999998</v>
      </c>
      <c r="G2721">
        <v>1339.7651367000001</v>
      </c>
      <c r="H2721">
        <v>1337.5683594</v>
      </c>
      <c r="I2721">
        <v>1325.8394774999999</v>
      </c>
      <c r="J2721">
        <v>1323.2813721</v>
      </c>
      <c r="K2721">
        <v>2750</v>
      </c>
      <c r="L2721">
        <v>0</v>
      </c>
      <c r="M2721">
        <v>0</v>
      </c>
      <c r="N2721">
        <v>2750</v>
      </c>
    </row>
    <row r="2722" spans="1:14" x14ac:dyDescent="0.25">
      <c r="A2722">
        <v>1630.4027209999999</v>
      </c>
      <c r="B2722" s="1">
        <f>DATE(2014,10,17) + TIME(9,39,55)</f>
        <v>41929.402719907404</v>
      </c>
      <c r="C2722">
        <v>80</v>
      </c>
      <c r="D2722">
        <v>79.978179932000003</v>
      </c>
      <c r="E2722">
        <v>60</v>
      </c>
      <c r="F2722">
        <v>62.743770599000001</v>
      </c>
      <c r="G2722">
        <v>1339.7614745999999</v>
      </c>
      <c r="H2722">
        <v>1337.5662841999999</v>
      </c>
      <c r="I2722">
        <v>1325.8386230000001</v>
      </c>
      <c r="J2722">
        <v>1323.2800293</v>
      </c>
      <c r="K2722">
        <v>2750</v>
      </c>
      <c r="L2722">
        <v>0</v>
      </c>
      <c r="M2722">
        <v>0</v>
      </c>
      <c r="N2722">
        <v>2750</v>
      </c>
    </row>
    <row r="2723" spans="1:14" x14ac:dyDescent="0.25">
      <c r="A2723">
        <v>1632.513749</v>
      </c>
      <c r="B2723" s="1">
        <f>DATE(2014,10,19) + TIME(12,19,47)</f>
        <v>41931.513738425929</v>
      </c>
      <c r="C2723">
        <v>80</v>
      </c>
      <c r="D2723">
        <v>79.978187560999999</v>
      </c>
      <c r="E2723">
        <v>60</v>
      </c>
      <c r="F2723">
        <v>62.945404052999997</v>
      </c>
      <c r="G2723">
        <v>1339.7579346</v>
      </c>
      <c r="H2723">
        <v>1337.5643310999999</v>
      </c>
      <c r="I2723">
        <v>1325.8380127</v>
      </c>
      <c r="J2723">
        <v>1323.2789307</v>
      </c>
      <c r="K2723">
        <v>2750</v>
      </c>
      <c r="L2723">
        <v>0</v>
      </c>
      <c r="M2723">
        <v>0</v>
      </c>
      <c r="N2723">
        <v>2750</v>
      </c>
    </row>
    <row r="2724" spans="1:14" x14ac:dyDescent="0.25">
      <c r="A2724">
        <v>1634.624777</v>
      </c>
      <c r="B2724" s="1">
        <f>DATE(2014,10,21) + TIME(14,59,40)</f>
        <v>41933.624768518515</v>
      </c>
      <c r="C2724">
        <v>80</v>
      </c>
      <c r="D2724">
        <v>79.978195189999994</v>
      </c>
      <c r="E2724">
        <v>60</v>
      </c>
      <c r="F2724">
        <v>63.140964508000003</v>
      </c>
      <c r="G2724">
        <v>1339.7543945</v>
      </c>
      <c r="H2724">
        <v>1337.5622559000001</v>
      </c>
      <c r="I2724">
        <v>1325.8374022999999</v>
      </c>
      <c r="J2724">
        <v>1323.277832</v>
      </c>
      <c r="K2724">
        <v>2750</v>
      </c>
      <c r="L2724">
        <v>0</v>
      </c>
      <c r="M2724">
        <v>0</v>
      </c>
      <c r="N2724">
        <v>2750</v>
      </c>
    </row>
    <row r="2725" spans="1:14" x14ac:dyDescent="0.25">
      <c r="A2725">
        <v>1636.7358059999999</v>
      </c>
      <c r="B2725" s="1">
        <f>DATE(2014,10,23) + TIME(17,39,33)</f>
        <v>41935.735798611109</v>
      </c>
      <c r="C2725">
        <v>80</v>
      </c>
      <c r="D2725">
        <v>79.978195189999994</v>
      </c>
      <c r="E2725">
        <v>60</v>
      </c>
      <c r="F2725">
        <v>63.329387664999999</v>
      </c>
      <c r="G2725">
        <v>1339.7509766000001</v>
      </c>
      <c r="H2725">
        <v>1337.5603027</v>
      </c>
      <c r="I2725">
        <v>1325.8369141000001</v>
      </c>
      <c r="J2725">
        <v>1323.2768555</v>
      </c>
      <c r="K2725">
        <v>2750</v>
      </c>
      <c r="L2725">
        <v>0</v>
      </c>
      <c r="M2725">
        <v>0</v>
      </c>
      <c r="N2725">
        <v>2750</v>
      </c>
    </row>
    <row r="2726" spans="1:14" x14ac:dyDescent="0.25">
      <c r="A2726">
        <v>1640.957862</v>
      </c>
      <c r="B2726" s="1">
        <f>DATE(2014,10,27) + TIME(22,59,19)</f>
        <v>41939.957858796297</v>
      </c>
      <c r="C2726">
        <v>80</v>
      </c>
      <c r="D2726">
        <v>79.978225707999997</v>
      </c>
      <c r="E2726">
        <v>60</v>
      </c>
      <c r="F2726">
        <v>63.460639954000001</v>
      </c>
      <c r="G2726">
        <v>1339.7475586</v>
      </c>
      <c r="H2726">
        <v>1337.5584716999999</v>
      </c>
      <c r="I2726">
        <v>1325.8361815999999</v>
      </c>
      <c r="J2726">
        <v>1323.2751464999999</v>
      </c>
      <c r="K2726">
        <v>2750</v>
      </c>
      <c r="L2726">
        <v>0</v>
      </c>
      <c r="M2726">
        <v>0</v>
      </c>
      <c r="N2726">
        <v>2750</v>
      </c>
    </row>
    <row r="2727" spans="1:14" x14ac:dyDescent="0.25">
      <c r="A2727">
        <v>1642.9789310000001</v>
      </c>
      <c r="B2727" s="1">
        <f>DATE(2014,10,29) + TIME(23,29,39)</f>
        <v>41941.97892361111</v>
      </c>
      <c r="C2727">
        <v>80</v>
      </c>
      <c r="D2727">
        <v>79.978225707999997</v>
      </c>
      <c r="E2727">
        <v>60</v>
      </c>
      <c r="F2727">
        <v>63.892345427999999</v>
      </c>
      <c r="G2727">
        <v>1339.7407227000001</v>
      </c>
      <c r="H2727">
        <v>1337.5545654</v>
      </c>
      <c r="I2727">
        <v>1325.8355713000001</v>
      </c>
      <c r="J2727">
        <v>1323.2728271000001</v>
      </c>
      <c r="K2727">
        <v>2750</v>
      </c>
      <c r="L2727">
        <v>0</v>
      </c>
      <c r="M2727">
        <v>0</v>
      </c>
      <c r="N2727">
        <v>2750</v>
      </c>
    </row>
    <row r="2728" spans="1:14" x14ac:dyDescent="0.25">
      <c r="A2728">
        <v>1645</v>
      </c>
      <c r="B2728" s="1">
        <f>DATE(2014,11,1) + TIME(0,0,0)</f>
        <v>41944</v>
      </c>
      <c r="C2728">
        <v>80</v>
      </c>
      <c r="D2728">
        <v>79.978225707999997</v>
      </c>
      <c r="E2728">
        <v>60</v>
      </c>
      <c r="F2728">
        <v>64.050628661999994</v>
      </c>
      <c r="G2728">
        <v>1339.7376709</v>
      </c>
      <c r="H2728">
        <v>1337.5528564000001</v>
      </c>
      <c r="I2728">
        <v>1325.8356934000001</v>
      </c>
      <c r="J2728">
        <v>1323.2747803</v>
      </c>
      <c r="K2728">
        <v>2750</v>
      </c>
      <c r="L2728">
        <v>0</v>
      </c>
      <c r="M2728">
        <v>0</v>
      </c>
      <c r="N2728">
        <v>2750</v>
      </c>
    </row>
    <row r="2729" spans="1:14" x14ac:dyDescent="0.25">
      <c r="A2729">
        <v>1645.0000010000001</v>
      </c>
      <c r="B2729" s="1">
        <f>DATE(2014,11,1) + TIME(0,0,0)</f>
        <v>41944</v>
      </c>
      <c r="C2729">
        <v>80</v>
      </c>
      <c r="D2729">
        <v>79.978126525999997</v>
      </c>
      <c r="E2729">
        <v>60</v>
      </c>
      <c r="F2729">
        <v>64.050758361999996</v>
      </c>
      <c r="G2729">
        <v>1336.8594971</v>
      </c>
      <c r="H2729">
        <v>1336.0545654</v>
      </c>
      <c r="I2729">
        <v>1329.3239745999999</v>
      </c>
      <c r="J2729">
        <v>1326.8480225000001</v>
      </c>
      <c r="K2729">
        <v>0</v>
      </c>
      <c r="L2729">
        <v>2750</v>
      </c>
      <c r="M2729">
        <v>2750</v>
      </c>
      <c r="N2729">
        <v>0</v>
      </c>
    </row>
    <row r="2730" spans="1:14" x14ac:dyDescent="0.25">
      <c r="A2730">
        <v>1645.000004</v>
      </c>
      <c r="B2730" s="1">
        <f>DATE(2014,11,1) + TIME(0,0,0)</f>
        <v>41944</v>
      </c>
      <c r="C2730">
        <v>80</v>
      </c>
      <c r="D2730">
        <v>79.977996825999995</v>
      </c>
      <c r="E2730">
        <v>60</v>
      </c>
      <c r="F2730">
        <v>64.050926208000007</v>
      </c>
      <c r="G2730">
        <v>1335.9312743999999</v>
      </c>
      <c r="H2730">
        <v>1335.1101074000001</v>
      </c>
      <c r="I2730">
        <v>1330.6365966999999</v>
      </c>
      <c r="J2730">
        <v>1328.2620850000001</v>
      </c>
      <c r="K2730">
        <v>0</v>
      </c>
      <c r="L2730">
        <v>2750</v>
      </c>
      <c r="M2730">
        <v>2750</v>
      </c>
      <c r="N2730">
        <v>0</v>
      </c>
    </row>
    <row r="2731" spans="1:14" x14ac:dyDescent="0.25">
      <c r="A2731">
        <v>1645.0000130000001</v>
      </c>
      <c r="B2731" s="1">
        <f>DATE(2014,11,1) + TIME(0,0,1)</f>
        <v>41944.000011574077</v>
      </c>
      <c r="C2731">
        <v>80</v>
      </c>
      <c r="D2731">
        <v>79.977859496999997</v>
      </c>
      <c r="E2731">
        <v>60</v>
      </c>
      <c r="F2731">
        <v>64.051063537999994</v>
      </c>
      <c r="G2731">
        <v>1334.9680175999999</v>
      </c>
      <c r="H2731">
        <v>1334.1118164</v>
      </c>
      <c r="I2731">
        <v>1332.184082</v>
      </c>
      <c r="J2731">
        <v>1329.7913818</v>
      </c>
      <c r="K2731">
        <v>0</v>
      </c>
      <c r="L2731">
        <v>2750</v>
      </c>
      <c r="M2731">
        <v>2750</v>
      </c>
      <c r="N2731">
        <v>0</v>
      </c>
    </row>
    <row r="2732" spans="1:14" x14ac:dyDescent="0.25">
      <c r="A2732">
        <v>1645.0000399999999</v>
      </c>
      <c r="B2732" s="1">
        <f>DATE(2014,11,1) + TIME(0,0,3)</f>
        <v>41944.000034722223</v>
      </c>
      <c r="C2732">
        <v>80</v>
      </c>
      <c r="D2732">
        <v>79.977722168</v>
      </c>
      <c r="E2732">
        <v>60</v>
      </c>
      <c r="F2732">
        <v>64.051055907999995</v>
      </c>
      <c r="G2732">
        <v>1334.0170897999999</v>
      </c>
      <c r="H2732">
        <v>1333.1141356999999</v>
      </c>
      <c r="I2732">
        <v>1333.7364502</v>
      </c>
      <c r="J2732">
        <v>1331.2999268000001</v>
      </c>
      <c r="K2732">
        <v>0</v>
      </c>
      <c r="L2732">
        <v>2750</v>
      </c>
      <c r="M2732">
        <v>2750</v>
      </c>
      <c r="N2732">
        <v>0</v>
      </c>
    </row>
    <row r="2733" spans="1:14" x14ac:dyDescent="0.25">
      <c r="A2733">
        <v>1645.000121</v>
      </c>
      <c r="B2733" s="1">
        <f>DATE(2014,11,1) + TIME(0,0,10)</f>
        <v>41944.000115740739</v>
      </c>
      <c r="C2733">
        <v>80</v>
      </c>
      <c r="D2733">
        <v>79.977577209000003</v>
      </c>
      <c r="E2733">
        <v>60</v>
      </c>
      <c r="F2733">
        <v>64.050613403</v>
      </c>
      <c r="G2733">
        <v>1333.0334473</v>
      </c>
      <c r="H2733">
        <v>1332.0687256000001</v>
      </c>
      <c r="I2733">
        <v>1335.2585449000001</v>
      </c>
      <c r="J2733">
        <v>1332.7780762</v>
      </c>
      <c r="K2733">
        <v>0</v>
      </c>
      <c r="L2733">
        <v>2750</v>
      </c>
      <c r="M2733">
        <v>2750</v>
      </c>
      <c r="N2733">
        <v>0</v>
      </c>
    </row>
    <row r="2734" spans="1:14" x14ac:dyDescent="0.25">
      <c r="A2734">
        <v>1645.000364</v>
      </c>
      <c r="B2734" s="1">
        <f>DATE(2014,11,1) + TIME(0,0,31)</f>
        <v>41944.000358796293</v>
      </c>
      <c r="C2734">
        <v>80</v>
      </c>
      <c r="D2734">
        <v>79.977401732999994</v>
      </c>
      <c r="E2734">
        <v>60</v>
      </c>
      <c r="F2734">
        <v>64.048843383999994</v>
      </c>
      <c r="G2734">
        <v>1331.9936522999999</v>
      </c>
      <c r="H2734">
        <v>1330.9580077999999</v>
      </c>
      <c r="I2734">
        <v>1336.7467041</v>
      </c>
      <c r="J2734">
        <v>1334.2110596</v>
      </c>
      <c r="K2734">
        <v>0</v>
      </c>
      <c r="L2734">
        <v>2750</v>
      </c>
      <c r="M2734">
        <v>2750</v>
      </c>
      <c r="N2734">
        <v>0</v>
      </c>
    </row>
    <row r="2735" spans="1:14" x14ac:dyDescent="0.25">
      <c r="A2735">
        <v>1645.0010930000001</v>
      </c>
      <c r="B2735" s="1">
        <f>DATE(2014,11,1) + TIME(0,1,34)</f>
        <v>41944.001087962963</v>
      </c>
      <c r="C2735">
        <v>80</v>
      </c>
      <c r="D2735">
        <v>79.977172851999995</v>
      </c>
      <c r="E2735">
        <v>60</v>
      </c>
      <c r="F2735">
        <v>64.042999268000003</v>
      </c>
      <c r="G2735">
        <v>1330.9991454999999</v>
      </c>
      <c r="H2735">
        <v>1329.9017334</v>
      </c>
      <c r="I2735">
        <v>1338.0773925999999</v>
      </c>
      <c r="J2735">
        <v>1335.4805908000001</v>
      </c>
      <c r="K2735">
        <v>0</v>
      </c>
      <c r="L2735">
        <v>2750</v>
      </c>
      <c r="M2735">
        <v>2750</v>
      </c>
      <c r="N2735">
        <v>0</v>
      </c>
    </row>
    <row r="2736" spans="1:14" x14ac:dyDescent="0.25">
      <c r="A2736">
        <v>1645.0032799999999</v>
      </c>
      <c r="B2736" s="1">
        <f>DATE(2014,11,1) + TIME(0,4,43)</f>
        <v>41944.003275462965</v>
      </c>
      <c r="C2736">
        <v>80</v>
      </c>
      <c r="D2736">
        <v>79.976814270000006</v>
      </c>
      <c r="E2736">
        <v>60</v>
      </c>
      <c r="F2736">
        <v>64.024864196999999</v>
      </c>
      <c r="G2736">
        <v>1330.2575684000001</v>
      </c>
      <c r="H2736">
        <v>1329.1267089999999</v>
      </c>
      <c r="I2736">
        <v>1339.0252685999999</v>
      </c>
      <c r="J2736">
        <v>1336.3870850000001</v>
      </c>
      <c r="K2736">
        <v>0</v>
      </c>
      <c r="L2736">
        <v>2750</v>
      </c>
      <c r="M2736">
        <v>2750</v>
      </c>
      <c r="N2736">
        <v>0</v>
      </c>
    </row>
    <row r="2737" spans="1:14" x14ac:dyDescent="0.25">
      <c r="A2737">
        <v>1645.0098410000001</v>
      </c>
      <c r="B2737" s="1">
        <f>DATE(2014,11,1) + TIME(0,14,10)</f>
        <v>41944.009837962964</v>
      </c>
      <c r="C2737">
        <v>80</v>
      </c>
      <c r="D2737">
        <v>79.976005553999997</v>
      </c>
      <c r="E2737">
        <v>60</v>
      </c>
      <c r="F2737">
        <v>63.970664978000002</v>
      </c>
      <c r="G2737">
        <v>1329.8842772999999</v>
      </c>
      <c r="H2737">
        <v>1328.7430420000001</v>
      </c>
      <c r="I2737">
        <v>1339.4727783000001</v>
      </c>
      <c r="J2737">
        <v>1336.8205565999999</v>
      </c>
      <c r="K2737">
        <v>0</v>
      </c>
      <c r="L2737">
        <v>2750</v>
      </c>
      <c r="M2737">
        <v>2750</v>
      </c>
      <c r="N2737">
        <v>0</v>
      </c>
    </row>
    <row r="2738" spans="1:14" x14ac:dyDescent="0.25">
      <c r="A2738">
        <v>1645.029524</v>
      </c>
      <c r="B2738" s="1">
        <f>DATE(2014,11,1) + TIME(0,42,30)</f>
        <v>41944.029513888891</v>
      </c>
      <c r="C2738">
        <v>80</v>
      </c>
      <c r="D2738">
        <v>79.973747252999999</v>
      </c>
      <c r="E2738">
        <v>60</v>
      </c>
      <c r="F2738">
        <v>63.814807891999997</v>
      </c>
      <c r="G2738">
        <v>1329.7829589999999</v>
      </c>
      <c r="H2738">
        <v>1328.6390381000001</v>
      </c>
      <c r="I2738">
        <v>1339.5598144999999</v>
      </c>
      <c r="J2738">
        <v>1336.9107666</v>
      </c>
      <c r="K2738">
        <v>0</v>
      </c>
      <c r="L2738">
        <v>2750</v>
      </c>
      <c r="M2738">
        <v>2750</v>
      </c>
      <c r="N2738">
        <v>0</v>
      </c>
    </row>
    <row r="2739" spans="1:14" x14ac:dyDescent="0.25">
      <c r="A2739">
        <v>1645.059857</v>
      </c>
      <c r="B2739" s="1">
        <f>DATE(2014,11,1) + TIME(1,26,11)</f>
        <v>41944.059849537036</v>
      </c>
      <c r="C2739">
        <v>80</v>
      </c>
      <c r="D2739">
        <v>79.970352172999995</v>
      </c>
      <c r="E2739">
        <v>60</v>
      </c>
      <c r="F2739">
        <v>63.590049743999998</v>
      </c>
      <c r="G2739">
        <v>1329.7687988</v>
      </c>
      <c r="H2739">
        <v>1328.6229248</v>
      </c>
      <c r="I2739">
        <v>1339.5450439000001</v>
      </c>
      <c r="J2739">
        <v>1336.9029541</v>
      </c>
      <c r="K2739">
        <v>0</v>
      </c>
      <c r="L2739">
        <v>2750</v>
      </c>
      <c r="M2739">
        <v>2750</v>
      </c>
      <c r="N2739">
        <v>0</v>
      </c>
    </row>
    <row r="2740" spans="1:14" x14ac:dyDescent="0.25">
      <c r="A2740">
        <v>1645.090823</v>
      </c>
      <c r="B2740" s="1">
        <f>DATE(2014,11,1) + TIME(2,10,47)</f>
        <v>41944.090821759259</v>
      </c>
      <c r="C2740">
        <v>80</v>
      </c>
      <c r="D2740">
        <v>79.966911315999994</v>
      </c>
      <c r="E2740">
        <v>60</v>
      </c>
      <c r="F2740">
        <v>63.375324249000002</v>
      </c>
      <c r="G2740">
        <v>1329.7639160000001</v>
      </c>
      <c r="H2740">
        <v>1328.6159668</v>
      </c>
      <c r="I2740">
        <v>1339.5294189000001</v>
      </c>
      <c r="J2740">
        <v>1336.8918457</v>
      </c>
      <c r="K2740">
        <v>0</v>
      </c>
      <c r="L2740">
        <v>2750</v>
      </c>
      <c r="M2740">
        <v>2750</v>
      </c>
      <c r="N2740">
        <v>0</v>
      </c>
    </row>
    <row r="2741" spans="1:14" x14ac:dyDescent="0.25">
      <c r="A2741">
        <v>1645.122513</v>
      </c>
      <c r="B2741" s="1">
        <f>DATE(2014,11,1) + TIME(2,56,25)</f>
        <v>41944.122511574074</v>
      </c>
      <c r="C2741">
        <v>80</v>
      </c>
      <c r="D2741">
        <v>79.963417053000001</v>
      </c>
      <c r="E2741">
        <v>60</v>
      </c>
      <c r="F2741">
        <v>63.169853209999999</v>
      </c>
      <c r="G2741">
        <v>1329.7600098</v>
      </c>
      <c r="H2741">
        <v>1328.6098632999999</v>
      </c>
      <c r="I2741">
        <v>1339.5147704999999</v>
      </c>
      <c r="J2741">
        <v>1336.8813477000001</v>
      </c>
      <c r="K2741">
        <v>0</v>
      </c>
      <c r="L2741">
        <v>2750</v>
      </c>
      <c r="M2741">
        <v>2750</v>
      </c>
      <c r="N2741">
        <v>0</v>
      </c>
    </row>
    <row r="2742" spans="1:14" x14ac:dyDescent="0.25">
      <c r="A2742">
        <v>1645.154974</v>
      </c>
      <c r="B2742" s="1">
        <f>DATE(2014,11,1) + TIME(3,43,9)</f>
        <v>41944.154965277776</v>
      </c>
      <c r="C2742">
        <v>80</v>
      </c>
      <c r="D2742">
        <v>79.959869385000005</v>
      </c>
      <c r="E2742">
        <v>60</v>
      </c>
      <c r="F2742">
        <v>62.973236084</v>
      </c>
      <c r="G2742">
        <v>1329.7559814000001</v>
      </c>
      <c r="H2742">
        <v>1328.6037598</v>
      </c>
      <c r="I2742">
        <v>1339.5015868999999</v>
      </c>
      <c r="J2742">
        <v>1336.8717041</v>
      </c>
      <c r="K2742">
        <v>0</v>
      </c>
      <c r="L2742">
        <v>2750</v>
      </c>
      <c r="M2742">
        <v>2750</v>
      </c>
      <c r="N2742">
        <v>0</v>
      </c>
    </row>
    <row r="2743" spans="1:14" x14ac:dyDescent="0.25">
      <c r="A2743">
        <v>1645.188247</v>
      </c>
      <c r="B2743" s="1">
        <f>DATE(2014,11,1) + TIME(4,31,4)</f>
        <v>41944.188240740739</v>
      </c>
      <c r="C2743">
        <v>80</v>
      </c>
      <c r="D2743">
        <v>79.956268311000002</v>
      </c>
      <c r="E2743">
        <v>60</v>
      </c>
      <c r="F2743">
        <v>62.785167694000002</v>
      </c>
      <c r="G2743">
        <v>1329.7520752</v>
      </c>
      <c r="H2743">
        <v>1328.5976562000001</v>
      </c>
      <c r="I2743">
        <v>1339.4895019999999</v>
      </c>
      <c r="J2743">
        <v>1336.8629149999999</v>
      </c>
      <c r="K2743">
        <v>0</v>
      </c>
      <c r="L2743">
        <v>2750</v>
      </c>
      <c r="M2743">
        <v>2750</v>
      </c>
      <c r="N2743">
        <v>0</v>
      </c>
    </row>
    <row r="2744" spans="1:14" x14ac:dyDescent="0.25">
      <c r="A2744">
        <v>1645.222407</v>
      </c>
      <c r="B2744" s="1">
        <f>DATE(2014,11,1) + TIME(5,20,15)</f>
        <v>41944.222395833334</v>
      </c>
      <c r="C2744">
        <v>80</v>
      </c>
      <c r="D2744">
        <v>79.952598571999999</v>
      </c>
      <c r="E2744">
        <v>60</v>
      </c>
      <c r="F2744">
        <v>62.605182648000003</v>
      </c>
      <c r="G2744">
        <v>1329.7480469</v>
      </c>
      <c r="H2744">
        <v>1328.5915527</v>
      </c>
      <c r="I2744">
        <v>1339.4787598</v>
      </c>
      <c r="J2744">
        <v>1336.8549805</v>
      </c>
      <c r="K2744">
        <v>0</v>
      </c>
      <c r="L2744">
        <v>2750</v>
      </c>
      <c r="M2744">
        <v>2750</v>
      </c>
      <c r="N2744">
        <v>0</v>
      </c>
    </row>
    <row r="2745" spans="1:14" x14ac:dyDescent="0.25">
      <c r="A2745">
        <v>1645.257519</v>
      </c>
      <c r="B2745" s="1">
        <f>DATE(2014,11,1) + TIME(6,10,49)</f>
        <v>41944.257511574076</v>
      </c>
      <c r="C2745">
        <v>80</v>
      </c>
      <c r="D2745">
        <v>79.948867797999995</v>
      </c>
      <c r="E2745">
        <v>60</v>
      </c>
      <c r="F2745">
        <v>62.432964325</v>
      </c>
      <c r="G2745">
        <v>1329.7440185999999</v>
      </c>
      <c r="H2745">
        <v>1328.5852050999999</v>
      </c>
      <c r="I2745">
        <v>1339.4691161999999</v>
      </c>
      <c r="J2745">
        <v>1336.8479004000001</v>
      </c>
      <c r="K2745">
        <v>0</v>
      </c>
      <c r="L2745">
        <v>2750</v>
      </c>
      <c r="M2745">
        <v>2750</v>
      </c>
      <c r="N2745">
        <v>0</v>
      </c>
    </row>
    <row r="2746" spans="1:14" x14ac:dyDescent="0.25">
      <c r="A2746">
        <v>1645.2936529999999</v>
      </c>
      <c r="B2746" s="1">
        <f>DATE(2014,11,1) + TIME(7,2,51)</f>
        <v>41944.293645833335</v>
      </c>
      <c r="C2746">
        <v>80</v>
      </c>
      <c r="D2746">
        <v>79.945053100999999</v>
      </c>
      <c r="E2746">
        <v>60</v>
      </c>
      <c r="F2746">
        <v>62.268218994000001</v>
      </c>
      <c r="G2746">
        <v>1329.7398682</v>
      </c>
      <c r="H2746">
        <v>1328.5789795000001</v>
      </c>
      <c r="I2746">
        <v>1339.4605713000001</v>
      </c>
      <c r="J2746">
        <v>1336.8415527</v>
      </c>
      <c r="K2746">
        <v>0</v>
      </c>
      <c r="L2746">
        <v>2750</v>
      </c>
      <c r="M2746">
        <v>2750</v>
      </c>
      <c r="N2746">
        <v>0</v>
      </c>
    </row>
    <row r="2747" spans="1:14" x14ac:dyDescent="0.25">
      <c r="A2747">
        <v>1645.330856</v>
      </c>
      <c r="B2747" s="1">
        <f>DATE(2014,11,1) + TIME(7,56,25)</f>
        <v>41944.33084490741</v>
      </c>
      <c r="C2747">
        <v>80</v>
      </c>
      <c r="D2747">
        <v>79.941162109000004</v>
      </c>
      <c r="E2747">
        <v>60</v>
      </c>
      <c r="F2747">
        <v>62.110782622999999</v>
      </c>
      <c r="G2747">
        <v>1329.7357178</v>
      </c>
      <c r="H2747">
        <v>1328.5725098</v>
      </c>
      <c r="I2747">
        <v>1339.4532471</v>
      </c>
      <c r="J2747">
        <v>1336.8359375</v>
      </c>
      <c r="K2747">
        <v>0</v>
      </c>
      <c r="L2747">
        <v>2750</v>
      </c>
      <c r="M2747">
        <v>2750</v>
      </c>
      <c r="N2747">
        <v>0</v>
      </c>
    </row>
    <row r="2748" spans="1:14" x14ac:dyDescent="0.25">
      <c r="A2748">
        <v>1645.369209</v>
      </c>
      <c r="B2748" s="1">
        <f>DATE(2014,11,1) + TIME(8,51,39)</f>
        <v>41944.369201388887</v>
      </c>
      <c r="C2748">
        <v>80</v>
      </c>
      <c r="D2748">
        <v>79.937187195000007</v>
      </c>
      <c r="E2748">
        <v>60</v>
      </c>
      <c r="F2748">
        <v>61.960399627999998</v>
      </c>
      <c r="G2748">
        <v>1329.7314452999999</v>
      </c>
      <c r="H2748">
        <v>1328.5660399999999</v>
      </c>
      <c r="I2748">
        <v>1339.4467772999999</v>
      </c>
      <c r="J2748">
        <v>1336.8310547000001</v>
      </c>
      <c r="K2748">
        <v>0</v>
      </c>
      <c r="L2748">
        <v>2750</v>
      </c>
      <c r="M2748">
        <v>2750</v>
      </c>
      <c r="N2748">
        <v>0</v>
      </c>
    </row>
    <row r="2749" spans="1:14" x14ac:dyDescent="0.25">
      <c r="A2749">
        <v>1645.4087979999999</v>
      </c>
      <c r="B2749" s="1">
        <f>DATE(2014,11,1) + TIME(9,48,40)</f>
        <v>41944.408796296295</v>
      </c>
      <c r="C2749">
        <v>80</v>
      </c>
      <c r="D2749">
        <v>79.933128357000001</v>
      </c>
      <c r="E2749">
        <v>60</v>
      </c>
      <c r="F2749">
        <v>61.816837311</v>
      </c>
      <c r="G2749">
        <v>1329.7271728999999</v>
      </c>
      <c r="H2749">
        <v>1328.5594481999999</v>
      </c>
      <c r="I2749">
        <v>1339.4414062000001</v>
      </c>
      <c r="J2749">
        <v>1336.8269043</v>
      </c>
      <c r="K2749">
        <v>0</v>
      </c>
      <c r="L2749">
        <v>2750</v>
      </c>
      <c r="M2749">
        <v>2750</v>
      </c>
      <c r="N2749">
        <v>0</v>
      </c>
    </row>
    <row r="2750" spans="1:14" x14ac:dyDescent="0.25">
      <c r="A2750">
        <v>1645.4497180000001</v>
      </c>
      <c r="B2750" s="1">
        <f>DATE(2014,11,1) + TIME(10,47,35)</f>
        <v>41944.44971064815</v>
      </c>
      <c r="C2750">
        <v>80</v>
      </c>
      <c r="D2750">
        <v>79.928962708</v>
      </c>
      <c r="E2750">
        <v>60</v>
      </c>
      <c r="F2750">
        <v>61.679882050000003</v>
      </c>
      <c r="G2750">
        <v>1329.7227783000001</v>
      </c>
      <c r="H2750">
        <v>1328.5527344</v>
      </c>
      <c r="I2750">
        <v>1339.4368896000001</v>
      </c>
      <c r="J2750">
        <v>1336.8232422000001</v>
      </c>
      <c r="K2750">
        <v>0</v>
      </c>
      <c r="L2750">
        <v>2750</v>
      </c>
      <c r="M2750">
        <v>2750</v>
      </c>
      <c r="N2750">
        <v>0</v>
      </c>
    </row>
    <row r="2751" spans="1:14" x14ac:dyDescent="0.25">
      <c r="A2751">
        <v>1645.4920669999999</v>
      </c>
      <c r="B2751" s="1">
        <f>DATE(2014,11,1) + TIME(11,48,34)</f>
        <v>41944.492060185185</v>
      </c>
      <c r="C2751">
        <v>80</v>
      </c>
      <c r="D2751">
        <v>79.924697875999996</v>
      </c>
      <c r="E2751">
        <v>60</v>
      </c>
      <c r="F2751">
        <v>61.549358368</v>
      </c>
      <c r="G2751">
        <v>1329.7183838000001</v>
      </c>
      <c r="H2751">
        <v>1328.5458983999999</v>
      </c>
      <c r="I2751">
        <v>1339.4333495999999</v>
      </c>
      <c r="J2751">
        <v>1336.8203125</v>
      </c>
      <c r="K2751">
        <v>0</v>
      </c>
      <c r="L2751">
        <v>2750</v>
      </c>
      <c r="M2751">
        <v>2750</v>
      </c>
      <c r="N2751">
        <v>0</v>
      </c>
    </row>
    <row r="2752" spans="1:14" x14ac:dyDescent="0.25">
      <c r="A2752">
        <v>1645.535961</v>
      </c>
      <c r="B2752" s="1">
        <f>DATE(2014,11,1) + TIME(12,51,47)</f>
        <v>41944.535960648151</v>
      </c>
      <c r="C2752">
        <v>80</v>
      </c>
      <c r="D2752">
        <v>79.920318604000002</v>
      </c>
      <c r="E2752">
        <v>60</v>
      </c>
      <c r="F2752">
        <v>61.42508316</v>
      </c>
      <c r="G2752">
        <v>1329.7137451000001</v>
      </c>
      <c r="H2752">
        <v>1328.5389404</v>
      </c>
      <c r="I2752">
        <v>1339.4305420000001</v>
      </c>
      <c r="J2752">
        <v>1336.8178711</v>
      </c>
      <c r="K2752">
        <v>0</v>
      </c>
      <c r="L2752">
        <v>2750</v>
      </c>
      <c r="M2752">
        <v>2750</v>
      </c>
      <c r="N2752">
        <v>0</v>
      </c>
    </row>
    <row r="2753" spans="1:14" x14ac:dyDescent="0.25">
      <c r="A2753">
        <v>1645.5815299999999</v>
      </c>
      <c r="B2753" s="1">
        <f>DATE(2014,11,1) + TIME(13,57,24)</f>
        <v>41944.58152777778</v>
      </c>
      <c r="C2753">
        <v>80</v>
      </c>
      <c r="D2753">
        <v>79.915809631000002</v>
      </c>
      <c r="E2753">
        <v>60</v>
      </c>
      <c r="F2753">
        <v>61.306880950999997</v>
      </c>
      <c r="G2753">
        <v>1329.7091064000001</v>
      </c>
      <c r="H2753">
        <v>1328.5317382999999</v>
      </c>
      <c r="I2753">
        <v>1339.4285889</v>
      </c>
      <c r="J2753">
        <v>1336.8160399999999</v>
      </c>
      <c r="K2753">
        <v>0</v>
      </c>
      <c r="L2753">
        <v>2750</v>
      </c>
      <c r="M2753">
        <v>2750</v>
      </c>
      <c r="N2753">
        <v>0</v>
      </c>
    </row>
    <row r="2754" spans="1:14" x14ac:dyDescent="0.25">
      <c r="A2754">
        <v>1645.6289119999999</v>
      </c>
      <c r="B2754" s="1">
        <f>DATE(2014,11,1) + TIME(15,5,37)</f>
        <v>41944.628900462965</v>
      </c>
      <c r="C2754">
        <v>80</v>
      </c>
      <c r="D2754">
        <v>79.911170959000003</v>
      </c>
      <c r="E2754">
        <v>60</v>
      </c>
      <c r="F2754">
        <v>61.19461441</v>
      </c>
      <c r="G2754">
        <v>1329.7043457</v>
      </c>
      <c r="H2754">
        <v>1328.5245361</v>
      </c>
      <c r="I2754">
        <v>1339.4272461</v>
      </c>
      <c r="J2754">
        <v>1336.8146973</v>
      </c>
      <c r="K2754">
        <v>0</v>
      </c>
      <c r="L2754">
        <v>2750</v>
      </c>
      <c r="M2754">
        <v>2750</v>
      </c>
      <c r="N2754">
        <v>0</v>
      </c>
    </row>
    <row r="2755" spans="1:14" x14ac:dyDescent="0.25">
      <c r="A2755">
        <v>1645.6782599999999</v>
      </c>
      <c r="B2755" s="1">
        <f>DATE(2014,11,1) + TIME(16,16,41)</f>
        <v>41944.678252314814</v>
      </c>
      <c r="C2755">
        <v>80</v>
      </c>
      <c r="D2755">
        <v>79.906387328999998</v>
      </c>
      <c r="E2755">
        <v>60</v>
      </c>
      <c r="F2755">
        <v>61.088153839</v>
      </c>
      <c r="G2755">
        <v>1329.6995850000001</v>
      </c>
      <c r="H2755">
        <v>1328.5170897999999</v>
      </c>
      <c r="I2755">
        <v>1339.4267577999999</v>
      </c>
      <c r="J2755">
        <v>1336.8138428</v>
      </c>
      <c r="K2755">
        <v>0</v>
      </c>
      <c r="L2755">
        <v>2750</v>
      </c>
      <c r="M2755">
        <v>2750</v>
      </c>
      <c r="N2755">
        <v>0</v>
      </c>
    </row>
    <row r="2756" spans="1:14" x14ac:dyDescent="0.25">
      <c r="A2756">
        <v>1645.7297450000001</v>
      </c>
      <c r="B2756" s="1">
        <f>DATE(2014,11,1) + TIME(17,30,49)</f>
        <v>41944.729733796295</v>
      </c>
      <c r="C2756">
        <v>80</v>
      </c>
      <c r="D2756">
        <v>79.901451111</v>
      </c>
      <c r="E2756">
        <v>60</v>
      </c>
      <c r="F2756">
        <v>60.987373351999999</v>
      </c>
      <c r="G2756">
        <v>1329.6945800999999</v>
      </c>
      <c r="H2756">
        <v>1328.5095214999999</v>
      </c>
      <c r="I2756">
        <v>1339.4267577999999</v>
      </c>
      <c r="J2756">
        <v>1336.8133545000001</v>
      </c>
      <c r="K2756">
        <v>0</v>
      </c>
      <c r="L2756">
        <v>2750</v>
      </c>
      <c r="M2756">
        <v>2750</v>
      </c>
      <c r="N2756">
        <v>0</v>
      </c>
    </row>
    <row r="2757" spans="1:14" x14ac:dyDescent="0.25">
      <c r="A2757">
        <v>1645.783559</v>
      </c>
      <c r="B2757" s="1">
        <f>DATE(2014,11,1) + TIME(18,48,19)</f>
        <v>41944.783553240741</v>
      </c>
      <c r="C2757">
        <v>80</v>
      </c>
      <c r="D2757">
        <v>79.896339416999993</v>
      </c>
      <c r="E2757">
        <v>60</v>
      </c>
      <c r="F2757">
        <v>60.892166138</v>
      </c>
      <c r="G2757">
        <v>1329.6894531</v>
      </c>
      <c r="H2757">
        <v>1328.5017089999999</v>
      </c>
      <c r="I2757">
        <v>1339.4273682</v>
      </c>
      <c r="J2757">
        <v>1336.8133545000001</v>
      </c>
      <c r="K2757">
        <v>0</v>
      </c>
      <c r="L2757">
        <v>2750</v>
      </c>
      <c r="M2757">
        <v>2750</v>
      </c>
      <c r="N2757">
        <v>0</v>
      </c>
    </row>
    <row r="2758" spans="1:14" x14ac:dyDescent="0.25">
      <c r="A2758">
        <v>1645.8399139999999</v>
      </c>
      <c r="B2758" s="1">
        <f>DATE(2014,11,1) + TIME(20,9,28)</f>
        <v>41944.839907407404</v>
      </c>
      <c r="C2758">
        <v>80</v>
      </c>
      <c r="D2758">
        <v>79.891036987000007</v>
      </c>
      <c r="E2758">
        <v>60</v>
      </c>
      <c r="F2758">
        <v>60.802429199000002</v>
      </c>
      <c r="G2758">
        <v>1329.684082</v>
      </c>
      <c r="H2758">
        <v>1328.4936522999999</v>
      </c>
      <c r="I2758">
        <v>1339.4285889</v>
      </c>
      <c r="J2758">
        <v>1336.8137207</v>
      </c>
      <c r="K2758">
        <v>0</v>
      </c>
      <c r="L2758">
        <v>2750</v>
      </c>
      <c r="M2758">
        <v>2750</v>
      </c>
      <c r="N2758">
        <v>0</v>
      </c>
    </row>
    <row r="2759" spans="1:14" x14ac:dyDescent="0.25">
      <c r="A2759">
        <v>1645.8990530000001</v>
      </c>
      <c r="B2759" s="1">
        <f>DATE(2014,11,1) + TIME(21,34,38)</f>
        <v>41944.899050925924</v>
      </c>
      <c r="C2759">
        <v>80</v>
      </c>
      <c r="D2759">
        <v>79.885543823000006</v>
      </c>
      <c r="E2759">
        <v>60</v>
      </c>
      <c r="F2759">
        <v>60.718070984000001</v>
      </c>
      <c r="G2759">
        <v>1329.6787108999999</v>
      </c>
      <c r="H2759">
        <v>1328.4853516000001</v>
      </c>
      <c r="I2759">
        <v>1339.4302978999999</v>
      </c>
      <c r="J2759">
        <v>1336.8144531</v>
      </c>
      <c r="K2759">
        <v>0</v>
      </c>
      <c r="L2759">
        <v>2750</v>
      </c>
      <c r="M2759">
        <v>2750</v>
      </c>
      <c r="N2759">
        <v>0</v>
      </c>
    </row>
    <row r="2760" spans="1:14" x14ac:dyDescent="0.25">
      <c r="A2760">
        <v>1645.9612480000001</v>
      </c>
      <c r="B2760" s="1">
        <f>DATE(2014,11,1) + TIME(23,4,11)</f>
        <v>41944.961238425924</v>
      </c>
      <c r="C2760">
        <v>80</v>
      </c>
      <c r="D2760">
        <v>79.879821777000004</v>
      </c>
      <c r="E2760">
        <v>60</v>
      </c>
      <c r="F2760">
        <v>60.638996124000002</v>
      </c>
      <c r="G2760">
        <v>1329.6730957</v>
      </c>
      <c r="H2760">
        <v>1328.4769286999999</v>
      </c>
      <c r="I2760">
        <v>1339.4323730000001</v>
      </c>
      <c r="J2760">
        <v>1336.8155518000001</v>
      </c>
      <c r="K2760">
        <v>0</v>
      </c>
      <c r="L2760">
        <v>2750</v>
      </c>
      <c r="M2760">
        <v>2750</v>
      </c>
      <c r="N2760">
        <v>0</v>
      </c>
    </row>
    <row r="2761" spans="1:14" x14ac:dyDescent="0.25">
      <c r="A2761">
        <v>1646.0268040000001</v>
      </c>
      <c r="B2761" s="1">
        <f>DATE(2014,11,2) + TIME(0,38,35)</f>
        <v>41945.02679398148</v>
      </c>
      <c r="C2761">
        <v>80</v>
      </c>
      <c r="D2761">
        <v>79.873855590999995</v>
      </c>
      <c r="E2761">
        <v>60</v>
      </c>
      <c r="F2761">
        <v>60.565128326</v>
      </c>
      <c r="G2761">
        <v>1329.6672363</v>
      </c>
      <c r="H2761">
        <v>1328.4680175999999</v>
      </c>
      <c r="I2761">
        <v>1339.4348144999999</v>
      </c>
      <c r="J2761">
        <v>1336.8168945</v>
      </c>
      <c r="K2761">
        <v>0</v>
      </c>
      <c r="L2761">
        <v>2750</v>
      </c>
      <c r="M2761">
        <v>2750</v>
      </c>
      <c r="N2761">
        <v>0</v>
      </c>
    </row>
    <row r="2762" spans="1:14" x14ac:dyDescent="0.25">
      <c r="A2762">
        <v>1646.0960689999999</v>
      </c>
      <c r="B2762" s="1">
        <f>DATE(2014,11,2) + TIME(2,18,20)</f>
        <v>41945.096064814818</v>
      </c>
      <c r="C2762">
        <v>80</v>
      </c>
      <c r="D2762">
        <v>79.867622374999996</v>
      </c>
      <c r="E2762">
        <v>60</v>
      </c>
      <c r="F2762">
        <v>60.496376038000001</v>
      </c>
      <c r="G2762">
        <v>1329.6612548999999</v>
      </c>
      <c r="H2762">
        <v>1328.4589844</v>
      </c>
      <c r="I2762">
        <v>1339.4375</v>
      </c>
      <c r="J2762">
        <v>1336.8184814000001</v>
      </c>
      <c r="K2762">
        <v>0</v>
      </c>
      <c r="L2762">
        <v>2750</v>
      </c>
      <c r="M2762">
        <v>2750</v>
      </c>
      <c r="N2762">
        <v>0</v>
      </c>
    </row>
    <row r="2763" spans="1:14" x14ac:dyDescent="0.25">
      <c r="A2763">
        <v>1646.1694620000001</v>
      </c>
      <c r="B2763" s="1">
        <f>DATE(2014,11,2) + TIME(4,4,1)</f>
        <v>41945.169456018521</v>
      </c>
      <c r="C2763">
        <v>80</v>
      </c>
      <c r="D2763">
        <v>79.861099242999998</v>
      </c>
      <c r="E2763">
        <v>60</v>
      </c>
      <c r="F2763">
        <v>60.43265152</v>
      </c>
      <c r="G2763">
        <v>1329.6549072</v>
      </c>
      <c r="H2763">
        <v>1328.4494629000001</v>
      </c>
      <c r="I2763">
        <v>1339.4405518000001</v>
      </c>
      <c r="J2763">
        <v>1336.8203125</v>
      </c>
      <c r="K2763">
        <v>0</v>
      </c>
      <c r="L2763">
        <v>2750</v>
      </c>
      <c r="M2763">
        <v>2750</v>
      </c>
      <c r="N2763">
        <v>0</v>
      </c>
    </row>
    <row r="2764" spans="1:14" x14ac:dyDescent="0.25">
      <c r="A2764">
        <v>1646.247453</v>
      </c>
      <c r="B2764" s="1">
        <f>DATE(2014,11,2) + TIME(5,56,19)</f>
        <v>41945.247442129628</v>
      </c>
      <c r="C2764">
        <v>80</v>
      </c>
      <c r="D2764">
        <v>79.854240417</v>
      </c>
      <c r="E2764">
        <v>60</v>
      </c>
      <c r="F2764">
        <v>60.373859406000001</v>
      </c>
      <c r="G2764">
        <v>1329.6484375</v>
      </c>
      <c r="H2764">
        <v>1328.4396973</v>
      </c>
      <c r="I2764">
        <v>1339.4437256000001</v>
      </c>
      <c r="J2764">
        <v>1336.8222656</v>
      </c>
      <c r="K2764">
        <v>0</v>
      </c>
      <c r="L2764">
        <v>2750</v>
      </c>
      <c r="M2764">
        <v>2750</v>
      </c>
      <c r="N2764">
        <v>0</v>
      </c>
    </row>
    <row r="2765" spans="1:14" x14ac:dyDescent="0.25">
      <c r="A2765">
        <v>1646.330596</v>
      </c>
      <c r="B2765" s="1">
        <f>DATE(2014,11,2) + TIME(7,56,3)</f>
        <v>41945.330590277779</v>
      </c>
      <c r="C2765">
        <v>80</v>
      </c>
      <c r="D2765">
        <v>79.847023010000001</v>
      </c>
      <c r="E2765">
        <v>60</v>
      </c>
      <c r="F2765">
        <v>60.319908142000003</v>
      </c>
      <c r="G2765">
        <v>1329.6416016000001</v>
      </c>
      <c r="H2765">
        <v>1328.4294434000001</v>
      </c>
      <c r="I2765">
        <v>1339.4470214999999</v>
      </c>
      <c r="J2765">
        <v>1336.8243408000001</v>
      </c>
      <c r="K2765">
        <v>0</v>
      </c>
      <c r="L2765">
        <v>2750</v>
      </c>
      <c r="M2765">
        <v>2750</v>
      </c>
      <c r="N2765">
        <v>0</v>
      </c>
    </row>
    <row r="2766" spans="1:14" x14ac:dyDescent="0.25">
      <c r="A2766">
        <v>1646.4195380000001</v>
      </c>
      <c r="B2766" s="1">
        <f>DATE(2014,11,2) + TIME(10,4,8)</f>
        <v>41945.419537037036</v>
      </c>
      <c r="C2766">
        <v>80</v>
      </c>
      <c r="D2766">
        <v>79.839401245000005</v>
      </c>
      <c r="E2766">
        <v>60</v>
      </c>
      <c r="F2766">
        <v>60.270694732999999</v>
      </c>
      <c r="G2766">
        <v>1329.6345214999999</v>
      </c>
      <c r="H2766">
        <v>1328.4187012</v>
      </c>
      <c r="I2766">
        <v>1339.4504394999999</v>
      </c>
      <c r="J2766">
        <v>1336.8265381000001</v>
      </c>
      <c r="K2766">
        <v>0</v>
      </c>
      <c r="L2766">
        <v>2750</v>
      </c>
      <c r="M2766">
        <v>2750</v>
      </c>
      <c r="N2766">
        <v>0</v>
      </c>
    </row>
    <row r="2767" spans="1:14" x14ac:dyDescent="0.25">
      <c r="A2767">
        <v>1646.5150510000001</v>
      </c>
      <c r="B2767" s="1">
        <f>DATE(2014,11,2) + TIME(12,21,40)</f>
        <v>41945.515046296299</v>
      </c>
      <c r="C2767">
        <v>80</v>
      </c>
      <c r="D2767">
        <v>79.831314086999996</v>
      </c>
      <c r="E2767">
        <v>60</v>
      </c>
      <c r="F2767">
        <v>60.226112366000002</v>
      </c>
      <c r="G2767">
        <v>1329.6269531</v>
      </c>
      <c r="H2767">
        <v>1328.4073486</v>
      </c>
      <c r="I2767">
        <v>1339.4537353999999</v>
      </c>
      <c r="J2767">
        <v>1336.8287353999999</v>
      </c>
      <c r="K2767">
        <v>0</v>
      </c>
      <c r="L2767">
        <v>2750</v>
      </c>
      <c r="M2767">
        <v>2750</v>
      </c>
      <c r="N2767">
        <v>0</v>
      </c>
    </row>
    <row r="2768" spans="1:14" x14ac:dyDescent="0.25">
      <c r="A2768">
        <v>1646.618058</v>
      </c>
      <c r="B2768" s="1">
        <f>DATE(2014,11,2) + TIME(14,50,0)</f>
        <v>41945.618055555555</v>
      </c>
      <c r="C2768">
        <v>80</v>
      </c>
      <c r="D2768">
        <v>79.822708129999995</v>
      </c>
      <c r="E2768">
        <v>60</v>
      </c>
      <c r="F2768">
        <v>60.186031342</v>
      </c>
      <c r="G2768">
        <v>1329.6191406</v>
      </c>
      <c r="H2768">
        <v>1328.3955077999999</v>
      </c>
      <c r="I2768">
        <v>1339.4569091999999</v>
      </c>
      <c r="J2768">
        <v>1336.8309326000001</v>
      </c>
      <c r="K2768">
        <v>0</v>
      </c>
      <c r="L2768">
        <v>2750</v>
      </c>
      <c r="M2768">
        <v>2750</v>
      </c>
      <c r="N2768">
        <v>0</v>
      </c>
    </row>
    <row r="2769" spans="1:14" x14ac:dyDescent="0.25">
      <c r="A2769">
        <v>1646.7296799999999</v>
      </c>
      <c r="B2769" s="1">
        <f>DATE(2014,11,2) + TIME(17,30,44)</f>
        <v>41945.729675925926</v>
      </c>
      <c r="C2769">
        <v>80</v>
      </c>
      <c r="D2769">
        <v>79.813514709000003</v>
      </c>
      <c r="E2769">
        <v>60</v>
      </c>
      <c r="F2769">
        <v>60.150318145999996</v>
      </c>
      <c r="G2769">
        <v>1329.6107178</v>
      </c>
      <c r="H2769">
        <v>1328.3829346</v>
      </c>
      <c r="I2769">
        <v>1339.4599608999999</v>
      </c>
      <c r="J2769">
        <v>1336.8331298999999</v>
      </c>
      <c r="K2769">
        <v>0</v>
      </c>
      <c r="L2769">
        <v>2750</v>
      </c>
      <c r="M2769">
        <v>2750</v>
      </c>
      <c r="N2769">
        <v>0</v>
      </c>
    </row>
    <row r="2770" spans="1:14" x14ac:dyDescent="0.25">
      <c r="A2770">
        <v>1646.848542</v>
      </c>
      <c r="B2770" s="1">
        <f>DATE(2014,11,2) + TIME(20,21,54)</f>
        <v>41945.848541666666</v>
      </c>
      <c r="C2770">
        <v>80</v>
      </c>
      <c r="D2770">
        <v>79.803840636999993</v>
      </c>
      <c r="E2770">
        <v>60</v>
      </c>
      <c r="F2770">
        <v>60.119400024000001</v>
      </c>
      <c r="G2770">
        <v>1329.6019286999999</v>
      </c>
      <c r="H2770">
        <v>1328.369751</v>
      </c>
      <c r="I2770">
        <v>1339.4630127</v>
      </c>
      <c r="J2770">
        <v>1336.8353271000001</v>
      </c>
      <c r="K2770">
        <v>0</v>
      </c>
      <c r="L2770">
        <v>2750</v>
      </c>
      <c r="M2770">
        <v>2750</v>
      </c>
      <c r="N2770">
        <v>0</v>
      </c>
    </row>
    <row r="2771" spans="1:14" x14ac:dyDescent="0.25">
      <c r="A2771">
        <v>1646.9730950000001</v>
      </c>
      <c r="B2771" s="1">
        <f>DATE(2014,11,2) + TIME(23,21,15)</f>
        <v>41945.973090277781</v>
      </c>
      <c r="C2771">
        <v>80</v>
      </c>
      <c r="D2771">
        <v>79.793792725000003</v>
      </c>
      <c r="E2771">
        <v>60</v>
      </c>
      <c r="F2771">
        <v>60.093284607000001</v>
      </c>
      <c r="G2771">
        <v>1329.5926514</v>
      </c>
      <c r="H2771">
        <v>1328.3560791</v>
      </c>
      <c r="I2771">
        <v>1339.4656981999999</v>
      </c>
      <c r="J2771">
        <v>1336.8374022999999</v>
      </c>
      <c r="K2771">
        <v>0</v>
      </c>
      <c r="L2771">
        <v>2750</v>
      </c>
      <c r="M2771">
        <v>2750</v>
      </c>
      <c r="N2771">
        <v>0</v>
      </c>
    </row>
    <row r="2772" spans="1:14" x14ac:dyDescent="0.25">
      <c r="A2772">
        <v>1647.103071</v>
      </c>
      <c r="B2772" s="1">
        <f>DATE(2014,11,3) + TIME(2,28,25)</f>
        <v>41946.103067129632</v>
      </c>
      <c r="C2772">
        <v>80</v>
      </c>
      <c r="D2772">
        <v>79.783401488999999</v>
      </c>
      <c r="E2772">
        <v>60</v>
      </c>
      <c r="F2772">
        <v>60.071502686000002</v>
      </c>
      <c r="G2772">
        <v>1329.5831298999999</v>
      </c>
      <c r="H2772">
        <v>1328.3419189000001</v>
      </c>
      <c r="I2772">
        <v>1339.4678954999999</v>
      </c>
      <c r="J2772">
        <v>1336.8392334</v>
      </c>
      <c r="K2772">
        <v>0</v>
      </c>
      <c r="L2772">
        <v>2750</v>
      </c>
      <c r="M2772">
        <v>2750</v>
      </c>
      <c r="N2772">
        <v>0</v>
      </c>
    </row>
    <row r="2773" spans="1:14" x14ac:dyDescent="0.25">
      <c r="A2773">
        <v>1647.2353169999999</v>
      </c>
      <c r="B2773" s="1">
        <f>DATE(2014,11,3) + TIME(5,38,51)</f>
        <v>41946.235312500001</v>
      </c>
      <c r="C2773">
        <v>80</v>
      </c>
      <c r="D2773">
        <v>79.772880553999997</v>
      </c>
      <c r="E2773">
        <v>60</v>
      </c>
      <c r="F2773">
        <v>60.053840637</v>
      </c>
      <c r="G2773">
        <v>1329.5734863</v>
      </c>
      <c r="H2773">
        <v>1328.3275146000001</v>
      </c>
      <c r="I2773">
        <v>1339.4697266000001</v>
      </c>
      <c r="J2773">
        <v>1336.8408202999999</v>
      </c>
      <c r="K2773">
        <v>0</v>
      </c>
      <c r="L2773">
        <v>2750</v>
      </c>
      <c r="M2773">
        <v>2750</v>
      </c>
      <c r="N2773">
        <v>0</v>
      </c>
    </row>
    <row r="2774" spans="1:14" x14ac:dyDescent="0.25">
      <c r="A2774">
        <v>1647.3706090000001</v>
      </c>
      <c r="B2774" s="1">
        <f>DATE(2014,11,3) + TIME(8,53,40)</f>
        <v>41946.37060185185</v>
      </c>
      <c r="C2774">
        <v>80</v>
      </c>
      <c r="D2774">
        <v>79.762168884000005</v>
      </c>
      <c r="E2774">
        <v>60</v>
      </c>
      <c r="F2774">
        <v>60.039508820000002</v>
      </c>
      <c r="G2774">
        <v>1329.5637207</v>
      </c>
      <c r="H2774">
        <v>1328.3131103999999</v>
      </c>
      <c r="I2774">
        <v>1339.4708252</v>
      </c>
      <c r="J2774">
        <v>1336.8419189000001</v>
      </c>
      <c r="K2774">
        <v>0</v>
      </c>
      <c r="L2774">
        <v>2750</v>
      </c>
      <c r="M2774">
        <v>2750</v>
      </c>
      <c r="N2774">
        <v>0</v>
      </c>
    </row>
    <row r="2775" spans="1:14" x14ac:dyDescent="0.25">
      <c r="A2775">
        <v>1647.5095249999999</v>
      </c>
      <c r="B2775" s="1">
        <f>DATE(2014,11,3) + TIME(12,13,42)</f>
        <v>41946.509513888886</v>
      </c>
      <c r="C2775">
        <v>80</v>
      </c>
      <c r="D2775">
        <v>79.751243591000005</v>
      </c>
      <c r="E2775">
        <v>60</v>
      </c>
      <c r="F2775">
        <v>60.027896880999997</v>
      </c>
      <c r="G2775">
        <v>1329.5538329999999</v>
      </c>
      <c r="H2775">
        <v>1328.2984618999999</v>
      </c>
      <c r="I2775">
        <v>1339.4711914</v>
      </c>
      <c r="J2775">
        <v>1336.8426514</v>
      </c>
      <c r="K2775">
        <v>0</v>
      </c>
      <c r="L2775">
        <v>2750</v>
      </c>
      <c r="M2775">
        <v>2750</v>
      </c>
      <c r="N2775">
        <v>0</v>
      </c>
    </row>
    <row r="2776" spans="1:14" x14ac:dyDescent="0.25">
      <c r="A2776">
        <v>1647.652697</v>
      </c>
      <c r="B2776" s="1">
        <f>DATE(2014,11,3) + TIME(15,39,53)</f>
        <v>41946.652696759258</v>
      </c>
      <c r="C2776">
        <v>80</v>
      </c>
      <c r="D2776">
        <v>79.740058899000005</v>
      </c>
      <c r="E2776">
        <v>60</v>
      </c>
      <c r="F2776">
        <v>60.018508910999998</v>
      </c>
      <c r="G2776">
        <v>1329.5439452999999</v>
      </c>
      <c r="H2776">
        <v>1328.2836914</v>
      </c>
      <c r="I2776">
        <v>1339.4710693</v>
      </c>
      <c r="J2776">
        <v>1336.8431396000001</v>
      </c>
      <c r="K2776">
        <v>0</v>
      </c>
      <c r="L2776">
        <v>2750</v>
      </c>
      <c r="M2776">
        <v>2750</v>
      </c>
      <c r="N2776">
        <v>0</v>
      </c>
    </row>
    <row r="2777" spans="1:14" x14ac:dyDescent="0.25">
      <c r="A2777">
        <v>1647.799274</v>
      </c>
      <c r="B2777" s="1">
        <f>DATE(2014,11,3) + TIME(19,10,57)</f>
        <v>41946.799270833333</v>
      </c>
      <c r="C2777">
        <v>80</v>
      </c>
      <c r="D2777">
        <v>79.728668213000006</v>
      </c>
      <c r="E2777">
        <v>60</v>
      </c>
      <c r="F2777">
        <v>60.011005402000002</v>
      </c>
      <c r="G2777">
        <v>1329.5338135</v>
      </c>
      <c r="H2777">
        <v>1328.2686768000001</v>
      </c>
      <c r="I2777">
        <v>1339.4703368999999</v>
      </c>
      <c r="J2777">
        <v>1336.8431396000001</v>
      </c>
      <c r="K2777">
        <v>0</v>
      </c>
      <c r="L2777">
        <v>2750</v>
      </c>
      <c r="M2777">
        <v>2750</v>
      </c>
      <c r="N2777">
        <v>0</v>
      </c>
    </row>
    <row r="2778" spans="1:14" x14ac:dyDescent="0.25">
      <c r="A2778">
        <v>1647.949265</v>
      </c>
      <c r="B2778" s="1">
        <f>DATE(2014,11,3) + TIME(22,46,56)</f>
        <v>41946.949259259258</v>
      </c>
      <c r="C2778">
        <v>80</v>
      </c>
      <c r="D2778">
        <v>79.717079162999994</v>
      </c>
      <c r="E2778">
        <v>60</v>
      </c>
      <c r="F2778">
        <v>60.005035399999997</v>
      </c>
      <c r="G2778">
        <v>1329.5235596</v>
      </c>
      <c r="H2778">
        <v>1328.2536620999999</v>
      </c>
      <c r="I2778">
        <v>1339.4691161999999</v>
      </c>
      <c r="J2778">
        <v>1336.8428954999999</v>
      </c>
      <c r="K2778">
        <v>0</v>
      </c>
      <c r="L2778">
        <v>2750</v>
      </c>
      <c r="M2778">
        <v>2750</v>
      </c>
      <c r="N2778">
        <v>0</v>
      </c>
    </row>
    <row r="2779" spans="1:14" x14ac:dyDescent="0.25">
      <c r="A2779">
        <v>1648.10319</v>
      </c>
      <c r="B2779" s="1">
        <f>DATE(2014,11,4) + TIME(2,28,35)</f>
        <v>41947.103182870371</v>
      </c>
      <c r="C2779">
        <v>80</v>
      </c>
      <c r="D2779">
        <v>79.705253600999995</v>
      </c>
      <c r="E2779">
        <v>60</v>
      </c>
      <c r="F2779">
        <v>60.000297545999999</v>
      </c>
      <c r="G2779">
        <v>1329.5131836</v>
      </c>
      <c r="H2779">
        <v>1328.2384033000001</v>
      </c>
      <c r="I2779">
        <v>1339.4674072</v>
      </c>
      <c r="J2779">
        <v>1336.8422852000001</v>
      </c>
      <c r="K2779">
        <v>0</v>
      </c>
      <c r="L2779">
        <v>2750</v>
      </c>
      <c r="M2779">
        <v>2750</v>
      </c>
      <c r="N2779">
        <v>0</v>
      </c>
    </row>
    <row r="2780" spans="1:14" x14ac:dyDescent="0.25">
      <c r="A2780">
        <v>1648.261647</v>
      </c>
      <c r="B2780" s="1">
        <f>DATE(2014,11,4) + TIME(6,16,46)</f>
        <v>41947.261643518519</v>
      </c>
      <c r="C2780">
        <v>80</v>
      </c>
      <c r="D2780">
        <v>79.693153381000002</v>
      </c>
      <c r="E2780">
        <v>60</v>
      </c>
      <c r="F2780">
        <v>59.996543883999998</v>
      </c>
      <c r="G2780">
        <v>1329.5026855000001</v>
      </c>
      <c r="H2780">
        <v>1328.2229004000001</v>
      </c>
      <c r="I2780">
        <v>1339.4652100000001</v>
      </c>
      <c r="J2780">
        <v>1336.8415527</v>
      </c>
      <c r="K2780">
        <v>0</v>
      </c>
      <c r="L2780">
        <v>2750</v>
      </c>
      <c r="M2780">
        <v>2750</v>
      </c>
      <c r="N2780">
        <v>0</v>
      </c>
    </row>
    <row r="2781" spans="1:14" x14ac:dyDescent="0.25">
      <c r="A2781">
        <v>1648.4252750000001</v>
      </c>
      <c r="B2781" s="1">
        <f>DATE(2014,11,4) + TIME(10,12,23)</f>
        <v>41947.425266203703</v>
      </c>
      <c r="C2781">
        <v>80</v>
      </c>
      <c r="D2781">
        <v>79.680747986</v>
      </c>
      <c r="E2781">
        <v>60</v>
      </c>
      <c r="F2781">
        <v>59.993579865000001</v>
      </c>
      <c r="G2781">
        <v>1329.4920654</v>
      </c>
      <c r="H2781">
        <v>1328.2072754000001</v>
      </c>
      <c r="I2781">
        <v>1339.4626464999999</v>
      </c>
      <c r="J2781">
        <v>1336.8404541</v>
      </c>
      <c r="K2781">
        <v>0</v>
      </c>
      <c r="L2781">
        <v>2750</v>
      </c>
      <c r="M2781">
        <v>2750</v>
      </c>
      <c r="N2781">
        <v>0</v>
      </c>
    </row>
    <row r="2782" spans="1:14" x14ac:dyDescent="0.25">
      <c r="A2782">
        <v>1648.5947289999999</v>
      </c>
      <c r="B2782" s="1">
        <f>DATE(2014,11,4) + TIME(14,16,24)</f>
        <v>41947.594722222224</v>
      </c>
      <c r="C2782">
        <v>80</v>
      </c>
      <c r="D2782">
        <v>79.667991638000004</v>
      </c>
      <c r="E2782">
        <v>60</v>
      </c>
      <c r="F2782">
        <v>59.991252899000003</v>
      </c>
      <c r="G2782">
        <v>1329.4812012</v>
      </c>
      <c r="H2782">
        <v>1328.1912841999999</v>
      </c>
      <c r="I2782">
        <v>1339.4595947</v>
      </c>
      <c r="J2782">
        <v>1336.8391113</v>
      </c>
      <c r="K2782">
        <v>0</v>
      </c>
      <c r="L2782">
        <v>2750</v>
      </c>
      <c r="M2782">
        <v>2750</v>
      </c>
      <c r="N2782">
        <v>0</v>
      </c>
    </row>
    <row r="2783" spans="1:14" x14ac:dyDescent="0.25">
      <c r="A2783">
        <v>1648.77081</v>
      </c>
      <c r="B2783" s="1">
        <f>DATE(2014,11,4) + TIME(18,29,57)</f>
        <v>41947.770798611113</v>
      </c>
      <c r="C2783">
        <v>80</v>
      </c>
      <c r="D2783">
        <v>79.654838561999995</v>
      </c>
      <c r="E2783">
        <v>60</v>
      </c>
      <c r="F2783">
        <v>59.989429473999998</v>
      </c>
      <c r="G2783">
        <v>1329.4700928</v>
      </c>
      <c r="H2783">
        <v>1328.1749268000001</v>
      </c>
      <c r="I2783">
        <v>1339.4562988</v>
      </c>
      <c r="J2783">
        <v>1336.8375243999999</v>
      </c>
      <c r="K2783">
        <v>0</v>
      </c>
      <c r="L2783">
        <v>2750</v>
      </c>
      <c r="M2783">
        <v>2750</v>
      </c>
      <c r="N2783">
        <v>0</v>
      </c>
    </row>
    <row r="2784" spans="1:14" x14ac:dyDescent="0.25">
      <c r="A2784">
        <v>1648.9543960000001</v>
      </c>
      <c r="B2784" s="1">
        <f>DATE(2014,11,4) + TIME(22,54,19)</f>
        <v>41947.954386574071</v>
      </c>
      <c r="C2784">
        <v>80</v>
      </c>
      <c r="D2784">
        <v>79.641235351999995</v>
      </c>
      <c r="E2784">
        <v>60</v>
      </c>
      <c r="F2784">
        <v>59.988006591999998</v>
      </c>
      <c r="G2784">
        <v>1329.4586182</v>
      </c>
      <c r="H2784">
        <v>1328.1582031</v>
      </c>
      <c r="I2784">
        <v>1339.4525146000001</v>
      </c>
      <c r="J2784">
        <v>1336.8356934000001</v>
      </c>
      <c r="K2784">
        <v>0</v>
      </c>
      <c r="L2784">
        <v>2750</v>
      </c>
      <c r="M2784">
        <v>2750</v>
      </c>
      <c r="N2784">
        <v>0</v>
      </c>
    </row>
    <row r="2785" spans="1:14" x14ac:dyDescent="0.25">
      <c r="A2785">
        <v>1649.146504</v>
      </c>
      <c r="B2785" s="1">
        <f>DATE(2014,11,5) + TIME(3,30,57)</f>
        <v>41948.146493055552</v>
      </c>
      <c r="C2785">
        <v>80</v>
      </c>
      <c r="D2785">
        <v>79.627120972</v>
      </c>
      <c r="E2785">
        <v>60</v>
      </c>
      <c r="F2785">
        <v>59.986904144</v>
      </c>
      <c r="G2785">
        <v>1329.4468993999999</v>
      </c>
      <c r="H2785">
        <v>1328.1409911999999</v>
      </c>
      <c r="I2785">
        <v>1339.4484863</v>
      </c>
      <c r="J2785">
        <v>1336.8337402</v>
      </c>
      <c r="K2785">
        <v>0</v>
      </c>
      <c r="L2785">
        <v>2750</v>
      </c>
      <c r="M2785">
        <v>2750</v>
      </c>
      <c r="N2785">
        <v>0</v>
      </c>
    </row>
    <row r="2786" spans="1:14" x14ac:dyDescent="0.25">
      <c r="A2786">
        <v>1649.3483140000001</v>
      </c>
      <c r="B2786" s="1">
        <f>DATE(2014,11,5) + TIME(8,21,34)</f>
        <v>41948.348310185182</v>
      </c>
      <c r="C2786">
        <v>80</v>
      </c>
      <c r="D2786">
        <v>79.612434386999993</v>
      </c>
      <c r="E2786">
        <v>60</v>
      </c>
      <c r="F2786">
        <v>59.986053466999998</v>
      </c>
      <c r="G2786">
        <v>1329.4348144999999</v>
      </c>
      <c r="H2786">
        <v>1328.1232910000001</v>
      </c>
      <c r="I2786">
        <v>1339.4440918</v>
      </c>
      <c r="J2786">
        <v>1336.831543</v>
      </c>
      <c r="K2786">
        <v>0</v>
      </c>
      <c r="L2786">
        <v>2750</v>
      </c>
      <c r="M2786">
        <v>2750</v>
      </c>
      <c r="N2786">
        <v>0</v>
      </c>
    </row>
    <row r="2787" spans="1:14" x14ac:dyDescent="0.25">
      <c r="A2787">
        <v>1649.559581</v>
      </c>
      <c r="B2787" s="1">
        <f>DATE(2014,11,5) + TIME(13,25,47)</f>
        <v>41948.559571759259</v>
      </c>
      <c r="C2787">
        <v>80</v>
      </c>
      <c r="D2787">
        <v>79.597175598000007</v>
      </c>
      <c r="E2787">
        <v>60</v>
      </c>
      <c r="F2787">
        <v>59.985404967999997</v>
      </c>
      <c r="G2787">
        <v>1329.4222411999999</v>
      </c>
      <c r="H2787">
        <v>1328.1049805</v>
      </c>
      <c r="I2787">
        <v>1339.4394531</v>
      </c>
      <c r="J2787">
        <v>1336.8292236</v>
      </c>
      <c r="K2787">
        <v>0</v>
      </c>
      <c r="L2787">
        <v>2750</v>
      </c>
      <c r="M2787">
        <v>2750</v>
      </c>
      <c r="N2787">
        <v>0</v>
      </c>
    </row>
    <row r="2788" spans="1:14" x14ac:dyDescent="0.25">
      <c r="A2788">
        <v>1649.779131</v>
      </c>
      <c r="B2788" s="1">
        <f>DATE(2014,11,5) + TIME(18,41,56)</f>
        <v>41948.779120370367</v>
      </c>
      <c r="C2788">
        <v>80</v>
      </c>
      <c r="D2788">
        <v>79.581420898000005</v>
      </c>
      <c r="E2788">
        <v>60</v>
      </c>
      <c r="F2788">
        <v>59.984916687000002</v>
      </c>
      <c r="G2788">
        <v>1329.4093018000001</v>
      </c>
      <c r="H2788">
        <v>1328.0860596</v>
      </c>
      <c r="I2788">
        <v>1339.4344481999999</v>
      </c>
      <c r="J2788">
        <v>1336.8266602000001</v>
      </c>
      <c r="K2788">
        <v>0</v>
      </c>
      <c r="L2788">
        <v>2750</v>
      </c>
      <c r="M2788">
        <v>2750</v>
      </c>
      <c r="N2788">
        <v>0</v>
      </c>
    </row>
    <row r="2789" spans="1:14" x14ac:dyDescent="0.25">
      <c r="A2789">
        <v>1650.0081110000001</v>
      </c>
      <c r="B2789" s="1">
        <f>DATE(2014,11,6) + TIME(0,11,40)</f>
        <v>41949.008101851854</v>
      </c>
      <c r="C2789">
        <v>80</v>
      </c>
      <c r="D2789">
        <v>79.565109253000003</v>
      </c>
      <c r="E2789">
        <v>60</v>
      </c>
      <c r="F2789">
        <v>59.984546661000003</v>
      </c>
      <c r="G2789">
        <v>1329.3959961</v>
      </c>
      <c r="H2789">
        <v>1328.0667725000001</v>
      </c>
      <c r="I2789">
        <v>1339.4293213000001</v>
      </c>
      <c r="J2789">
        <v>1336.8239745999999</v>
      </c>
      <c r="K2789">
        <v>0</v>
      </c>
      <c r="L2789">
        <v>2750</v>
      </c>
      <c r="M2789">
        <v>2750</v>
      </c>
      <c r="N2789">
        <v>0</v>
      </c>
    </row>
    <row r="2790" spans="1:14" x14ac:dyDescent="0.25">
      <c r="A2790">
        <v>1650.247687</v>
      </c>
      <c r="B2790" s="1">
        <f>DATE(2014,11,6) + TIME(5,56,40)</f>
        <v>41949.247685185182</v>
      </c>
      <c r="C2790">
        <v>80</v>
      </c>
      <c r="D2790">
        <v>79.548179626000007</v>
      </c>
      <c r="E2790">
        <v>60</v>
      </c>
      <c r="F2790">
        <v>59.984264373999999</v>
      </c>
      <c r="G2790">
        <v>1329.3823242000001</v>
      </c>
      <c r="H2790">
        <v>1328.046875</v>
      </c>
      <c r="I2790">
        <v>1339.4238281</v>
      </c>
      <c r="J2790">
        <v>1336.8212891000001</v>
      </c>
      <c r="K2790">
        <v>0</v>
      </c>
      <c r="L2790">
        <v>2750</v>
      </c>
      <c r="M2790">
        <v>2750</v>
      </c>
      <c r="N2790">
        <v>0</v>
      </c>
    </row>
    <row r="2791" spans="1:14" x14ac:dyDescent="0.25">
      <c r="A2791">
        <v>1650.4992339999999</v>
      </c>
      <c r="B2791" s="1">
        <f>DATE(2014,11,6) + TIME(11,58,53)</f>
        <v>41949.499224537038</v>
      </c>
      <c r="C2791">
        <v>80</v>
      </c>
      <c r="D2791">
        <v>79.530555724999999</v>
      </c>
      <c r="E2791">
        <v>60</v>
      </c>
      <c r="F2791">
        <v>59.984054565000001</v>
      </c>
      <c r="G2791">
        <v>1329.3681641000001</v>
      </c>
      <c r="H2791">
        <v>1328.0262451000001</v>
      </c>
      <c r="I2791">
        <v>1339.4182129000001</v>
      </c>
      <c r="J2791">
        <v>1336.8183594</v>
      </c>
      <c r="K2791">
        <v>0</v>
      </c>
      <c r="L2791">
        <v>2750</v>
      </c>
      <c r="M2791">
        <v>2750</v>
      </c>
      <c r="N2791">
        <v>0</v>
      </c>
    </row>
    <row r="2792" spans="1:14" x14ac:dyDescent="0.25">
      <c r="A2792">
        <v>1650.7643700000001</v>
      </c>
      <c r="B2792" s="1">
        <f>DATE(2014,11,6) + TIME(18,20,41)</f>
        <v>41949.764363425929</v>
      </c>
      <c r="C2792">
        <v>80</v>
      </c>
      <c r="D2792">
        <v>79.512153624999996</v>
      </c>
      <c r="E2792">
        <v>60</v>
      </c>
      <c r="F2792">
        <v>59.983890533</v>
      </c>
      <c r="G2792">
        <v>1329.3535156</v>
      </c>
      <c r="H2792">
        <v>1328.0050048999999</v>
      </c>
      <c r="I2792">
        <v>1339.4123535000001</v>
      </c>
      <c r="J2792">
        <v>1336.8153076000001</v>
      </c>
      <c r="K2792">
        <v>0</v>
      </c>
      <c r="L2792">
        <v>2750</v>
      </c>
      <c r="M2792">
        <v>2750</v>
      </c>
      <c r="N2792">
        <v>0</v>
      </c>
    </row>
    <row r="2793" spans="1:14" x14ac:dyDescent="0.25">
      <c r="A2793">
        <v>1651.037358</v>
      </c>
      <c r="B2793" s="1">
        <f>DATE(2014,11,7) + TIME(0,53,47)</f>
        <v>41950.037349537037</v>
      </c>
      <c r="C2793">
        <v>80</v>
      </c>
      <c r="D2793">
        <v>79.493270874000004</v>
      </c>
      <c r="E2793">
        <v>60</v>
      </c>
      <c r="F2793">
        <v>59.983768462999997</v>
      </c>
      <c r="G2793">
        <v>1329.3383789</v>
      </c>
      <c r="H2793">
        <v>1327.9830322</v>
      </c>
      <c r="I2793">
        <v>1339.40625</v>
      </c>
      <c r="J2793">
        <v>1336.8121338000001</v>
      </c>
      <c r="K2793">
        <v>0</v>
      </c>
      <c r="L2793">
        <v>2750</v>
      </c>
      <c r="M2793">
        <v>2750</v>
      </c>
      <c r="N2793">
        <v>0</v>
      </c>
    </row>
    <row r="2794" spans="1:14" x14ac:dyDescent="0.25">
      <c r="A2794">
        <v>1651.3119389999999</v>
      </c>
      <c r="B2794" s="1">
        <f>DATE(2014,11,7) + TIME(7,29,11)</f>
        <v>41950.311932870369</v>
      </c>
      <c r="C2794">
        <v>80</v>
      </c>
      <c r="D2794">
        <v>79.474227905000006</v>
      </c>
      <c r="E2794">
        <v>60</v>
      </c>
      <c r="F2794">
        <v>59.98367691</v>
      </c>
      <c r="G2794">
        <v>1329.3229980000001</v>
      </c>
      <c r="H2794">
        <v>1327.9606934000001</v>
      </c>
      <c r="I2794">
        <v>1339.4001464999999</v>
      </c>
      <c r="J2794">
        <v>1336.8089600000001</v>
      </c>
      <c r="K2794">
        <v>0</v>
      </c>
      <c r="L2794">
        <v>2750</v>
      </c>
      <c r="M2794">
        <v>2750</v>
      </c>
      <c r="N2794">
        <v>0</v>
      </c>
    </row>
    <row r="2795" spans="1:14" x14ac:dyDescent="0.25">
      <c r="A2795">
        <v>1651.5893510000001</v>
      </c>
      <c r="B2795" s="1">
        <f>DATE(2014,11,7) + TIME(14,8,39)</f>
        <v>41950.58934027778</v>
      </c>
      <c r="C2795">
        <v>80</v>
      </c>
      <c r="D2795">
        <v>79.455017089999998</v>
      </c>
      <c r="E2795">
        <v>60</v>
      </c>
      <c r="F2795">
        <v>59.983604431000003</v>
      </c>
      <c r="G2795">
        <v>1329.3074951000001</v>
      </c>
      <c r="H2795">
        <v>1327.9383545000001</v>
      </c>
      <c r="I2795">
        <v>1339.394043</v>
      </c>
      <c r="J2795">
        <v>1336.8057861</v>
      </c>
      <c r="K2795">
        <v>0</v>
      </c>
      <c r="L2795">
        <v>2750</v>
      </c>
      <c r="M2795">
        <v>2750</v>
      </c>
      <c r="N2795">
        <v>0</v>
      </c>
    </row>
    <row r="2796" spans="1:14" x14ac:dyDescent="0.25">
      <c r="A2796">
        <v>1651.871216</v>
      </c>
      <c r="B2796" s="1">
        <f>DATE(2014,11,7) + TIME(20,54,33)</f>
        <v>41950.871215277781</v>
      </c>
      <c r="C2796">
        <v>80</v>
      </c>
      <c r="D2796">
        <v>79.435592650999993</v>
      </c>
      <c r="E2796">
        <v>60</v>
      </c>
      <c r="F2796">
        <v>59.983547211000001</v>
      </c>
      <c r="G2796">
        <v>1329.2921143000001</v>
      </c>
      <c r="H2796">
        <v>1327.9160156</v>
      </c>
      <c r="I2796">
        <v>1339.3880615</v>
      </c>
      <c r="J2796">
        <v>1336.8027344</v>
      </c>
      <c r="K2796">
        <v>0</v>
      </c>
      <c r="L2796">
        <v>2750</v>
      </c>
      <c r="M2796">
        <v>2750</v>
      </c>
      <c r="N2796">
        <v>0</v>
      </c>
    </row>
    <row r="2797" spans="1:14" x14ac:dyDescent="0.25">
      <c r="A2797">
        <v>1652.1588119999999</v>
      </c>
      <c r="B2797" s="1">
        <f>DATE(2014,11,8) + TIME(3,48,41)</f>
        <v>41951.158807870372</v>
      </c>
      <c r="C2797">
        <v>80</v>
      </c>
      <c r="D2797">
        <v>79.415885924999998</v>
      </c>
      <c r="E2797">
        <v>60</v>
      </c>
      <c r="F2797">
        <v>59.983497620000001</v>
      </c>
      <c r="G2797">
        <v>1329.2764893000001</v>
      </c>
      <c r="H2797">
        <v>1327.8936768000001</v>
      </c>
      <c r="I2797">
        <v>1339.3822021000001</v>
      </c>
      <c r="J2797">
        <v>1336.7996826000001</v>
      </c>
      <c r="K2797">
        <v>0</v>
      </c>
      <c r="L2797">
        <v>2750</v>
      </c>
      <c r="M2797">
        <v>2750</v>
      </c>
      <c r="N2797">
        <v>0</v>
      </c>
    </row>
    <row r="2798" spans="1:14" x14ac:dyDescent="0.25">
      <c r="A2798">
        <v>1652.4533699999999</v>
      </c>
      <c r="B2798" s="1">
        <f>DATE(2014,11,8) + TIME(10,52,51)</f>
        <v>41951.453368055554</v>
      </c>
      <c r="C2798">
        <v>80</v>
      </c>
      <c r="D2798">
        <v>79.395866393999995</v>
      </c>
      <c r="E2798">
        <v>60</v>
      </c>
      <c r="F2798">
        <v>59.983459473000003</v>
      </c>
      <c r="G2798">
        <v>1329.2608643000001</v>
      </c>
      <c r="H2798">
        <v>1327.8709716999999</v>
      </c>
      <c r="I2798">
        <v>1339.3762207</v>
      </c>
      <c r="J2798">
        <v>1336.7966309000001</v>
      </c>
      <c r="K2798">
        <v>0</v>
      </c>
      <c r="L2798">
        <v>2750</v>
      </c>
      <c r="M2798">
        <v>2750</v>
      </c>
      <c r="N2798">
        <v>0</v>
      </c>
    </row>
    <row r="2799" spans="1:14" x14ac:dyDescent="0.25">
      <c r="A2799">
        <v>1652.7563270000001</v>
      </c>
      <c r="B2799" s="1">
        <f>DATE(2014,11,8) + TIME(18,9,6)</f>
        <v>41951.756319444445</v>
      </c>
      <c r="C2799">
        <v>80</v>
      </c>
      <c r="D2799">
        <v>79.375450134000005</v>
      </c>
      <c r="E2799">
        <v>60</v>
      </c>
      <c r="F2799">
        <v>59.983421325999998</v>
      </c>
      <c r="G2799">
        <v>1329.2449951000001</v>
      </c>
      <c r="H2799">
        <v>1327.8481445</v>
      </c>
      <c r="I2799">
        <v>1339.3703613</v>
      </c>
      <c r="J2799">
        <v>1336.7935791</v>
      </c>
      <c r="K2799">
        <v>0</v>
      </c>
      <c r="L2799">
        <v>2750</v>
      </c>
      <c r="M2799">
        <v>2750</v>
      </c>
      <c r="N2799">
        <v>0</v>
      </c>
    </row>
    <row r="2800" spans="1:14" x14ac:dyDescent="0.25">
      <c r="A2800">
        <v>1653.069217</v>
      </c>
      <c r="B2800" s="1">
        <f>DATE(2014,11,9) + TIME(1,39,40)</f>
        <v>41952.069212962961</v>
      </c>
      <c r="C2800">
        <v>80</v>
      </c>
      <c r="D2800">
        <v>79.354568481000001</v>
      </c>
      <c r="E2800">
        <v>60</v>
      </c>
      <c r="F2800">
        <v>59.983390808000003</v>
      </c>
      <c r="G2800">
        <v>1329.2288818</v>
      </c>
      <c r="H2800">
        <v>1327.8248291</v>
      </c>
      <c r="I2800">
        <v>1339.3645019999999</v>
      </c>
      <c r="J2800">
        <v>1336.7905272999999</v>
      </c>
      <c r="K2800">
        <v>0</v>
      </c>
      <c r="L2800">
        <v>2750</v>
      </c>
      <c r="M2800">
        <v>2750</v>
      </c>
      <c r="N2800">
        <v>0</v>
      </c>
    </row>
    <row r="2801" spans="1:14" x14ac:dyDescent="0.25">
      <c r="A2801">
        <v>1653.393744</v>
      </c>
      <c r="B2801" s="1">
        <f>DATE(2014,11,9) + TIME(9,26,59)</f>
        <v>41952.393738425926</v>
      </c>
      <c r="C2801">
        <v>80</v>
      </c>
      <c r="D2801">
        <v>79.333137511999993</v>
      </c>
      <c r="E2801">
        <v>60</v>
      </c>
      <c r="F2801">
        <v>59.983364105</v>
      </c>
      <c r="G2801">
        <v>1329.2124022999999</v>
      </c>
      <c r="H2801">
        <v>1327.8012695</v>
      </c>
      <c r="I2801">
        <v>1339.3585204999999</v>
      </c>
      <c r="J2801">
        <v>1336.7874756000001</v>
      </c>
      <c r="K2801">
        <v>0</v>
      </c>
      <c r="L2801">
        <v>2750</v>
      </c>
      <c r="M2801">
        <v>2750</v>
      </c>
      <c r="N2801">
        <v>0</v>
      </c>
    </row>
    <row r="2802" spans="1:14" x14ac:dyDescent="0.25">
      <c r="A2802">
        <v>1653.7286160000001</v>
      </c>
      <c r="B2802" s="1">
        <f>DATE(2014,11,9) + TIME(17,29,12)</f>
        <v>41952.72861111111</v>
      </c>
      <c r="C2802">
        <v>80</v>
      </c>
      <c r="D2802">
        <v>79.311195373999993</v>
      </c>
      <c r="E2802">
        <v>60</v>
      </c>
      <c r="F2802">
        <v>59.983337401999997</v>
      </c>
      <c r="G2802">
        <v>1329.1955565999999</v>
      </c>
      <c r="H2802">
        <v>1327.7770995999999</v>
      </c>
      <c r="I2802">
        <v>1339.3525391000001</v>
      </c>
      <c r="J2802">
        <v>1336.7844238</v>
      </c>
      <c r="K2802">
        <v>0</v>
      </c>
      <c r="L2802">
        <v>2750</v>
      </c>
      <c r="M2802">
        <v>2750</v>
      </c>
      <c r="N2802">
        <v>0</v>
      </c>
    </row>
    <row r="2803" spans="1:14" x14ac:dyDescent="0.25">
      <c r="A2803">
        <v>1654.0691300000001</v>
      </c>
      <c r="B2803" s="1">
        <f>DATE(2014,11,10) + TIME(1,39,32)</f>
        <v>41953.069120370368</v>
      </c>
      <c r="C2803">
        <v>80</v>
      </c>
      <c r="D2803">
        <v>79.288963318</v>
      </c>
      <c r="E2803">
        <v>60</v>
      </c>
      <c r="F2803">
        <v>59.983314514</v>
      </c>
      <c r="G2803">
        <v>1329.1784668</v>
      </c>
      <c r="H2803">
        <v>1327.7524414</v>
      </c>
      <c r="I2803">
        <v>1339.3465576000001</v>
      </c>
      <c r="J2803">
        <v>1336.7813721</v>
      </c>
      <c r="K2803">
        <v>0</v>
      </c>
      <c r="L2803">
        <v>2750</v>
      </c>
      <c r="M2803">
        <v>2750</v>
      </c>
      <c r="N2803">
        <v>0</v>
      </c>
    </row>
    <row r="2804" spans="1:14" x14ac:dyDescent="0.25">
      <c r="A2804">
        <v>1654.417191</v>
      </c>
      <c r="B2804" s="1">
        <f>DATE(2014,11,10) + TIME(10,0,45)</f>
        <v>41953.417187500003</v>
      </c>
      <c r="C2804">
        <v>80</v>
      </c>
      <c r="D2804">
        <v>79.266387938999998</v>
      </c>
      <c r="E2804">
        <v>60</v>
      </c>
      <c r="F2804">
        <v>59.983291626000003</v>
      </c>
      <c r="G2804">
        <v>1329.1611327999999</v>
      </c>
      <c r="H2804">
        <v>1327.7277832</v>
      </c>
      <c r="I2804">
        <v>1339.3406981999999</v>
      </c>
      <c r="J2804">
        <v>1336.7784423999999</v>
      </c>
      <c r="K2804">
        <v>0</v>
      </c>
      <c r="L2804">
        <v>2750</v>
      </c>
      <c r="M2804">
        <v>2750</v>
      </c>
      <c r="N2804">
        <v>0</v>
      </c>
    </row>
    <row r="2805" spans="1:14" x14ac:dyDescent="0.25">
      <c r="A2805">
        <v>1654.7742000000001</v>
      </c>
      <c r="B2805" s="1">
        <f>DATE(2014,11,10) + TIME(18,34,50)</f>
        <v>41953.774189814816</v>
      </c>
      <c r="C2805">
        <v>80</v>
      </c>
      <c r="D2805">
        <v>79.243408203000001</v>
      </c>
      <c r="E2805">
        <v>60</v>
      </c>
      <c r="F2805">
        <v>59.983272552000003</v>
      </c>
      <c r="G2805">
        <v>1329.1436768000001</v>
      </c>
      <c r="H2805">
        <v>1327.7027588000001</v>
      </c>
      <c r="I2805">
        <v>1339.3348389</v>
      </c>
      <c r="J2805">
        <v>1336.7753906</v>
      </c>
      <c r="K2805">
        <v>0</v>
      </c>
      <c r="L2805">
        <v>2750</v>
      </c>
      <c r="M2805">
        <v>2750</v>
      </c>
      <c r="N2805">
        <v>0</v>
      </c>
    </row>
    <row r="2806" spans="1:14" x14ac:dyDescent="0.25">
      <c r="A2806">
        <v>1655.1416300000001</v>
      </c>
      <c r="B2806" s="1">
        <f>DATE(2014,11,11) + TIME(3,23,56)</f>
        <v>41954.14162037037</v>
      </c>
      <c r="C2806">
        <v>80</v>
      </c>
      <c r="D2806">
        <v>79.219978333</v>
      </c>
      <c r="E2806">
        <v>60</v>
      </c>
      <c r="F2806">
        <v>59.983249663999999</v>
      </c>
      <c r="G2806">
        <v>1329.1259766000001</v>
      </c>
      <c r="H2806">
        <v>1327.6773682</v>
      </c>
      <c r="I2806">
        <v>1339.3289795000001</v>
      </c>
      <c r="J2806">
        <v>1336.7724608999999</v>
      </c>
      <c r="K2806">
        <v>0</v>
      </c>
      <c r="L2806">
        <v>2750</v>
      </c>
      <c r="M2806">
        <v>2750</v>
      </c>
      <c r="N2806">
        <v>0</v>
      </c>
    </row>
    <row r="2807" spans="1:14" x14ac:dyDescent="0.25">
      <c r="A2807">
        <v>1655.5212449999999</v>
      </c>
      <c r="B2807" s="1">
        <f>DATE(2014,11,11) + TIME(12,30,35)</f>
        <v>41954.521238425928</v>
      </c>
      <c r="C2807">
        <v>80</v>
      </c>
      <c r="D2807">
        <v>79.196014403999996</v>
      </c>
      <c r="E2807">
        <v>60</v>
      </c>
      <c r="F2807">
        <v>59.983230591000002</v>
      </c>
      <c r="G2807">
        <v>1329.1080322</v>
      </c>
      <c r="H2807">
        <v>1327.6516113</v>
      </c>
      <c r="I2807">
        <v>1339.3231201000001</v>
      </c>
      <c r="J2807">
        <v>1336.7696533000001</v>
      </c>
      <c r="K2807">
        <v>0</v>
      </c>
      <c r="L2807">
        <v>2750</v>
      </c>
      <c r="M2807">
        <v>2750</v>
      </c>
      <c r="N2807">
        <v>0</v>
      </c>
    </row>
    <row r="2808" spans="1:14" x14ac:dyDescent="0.25">
      <c r="A2808">
        <v>1655.9149809999999</v>
      </c>
      <c r="B2808" s="1">
        <f>DATE(2014,11,11) + TIME(21,57,34)</f>
        <v>41954.914976851855</v>
      </c>
      <c r="C2808">
        <v>80</v>
      </c>
      <c r="D2808">
        <v>79.171424865999995</v>
      </c>
      <c r="E2808">
        <v>60</v>
      </c>
      <c r="F2808">
        <v>59.983211517000001</v>
      </c>
      <c r="G2808">
        <v>1329.0895995999999</v>
      </c>
      <c r="H2808">
        <v>1327.6253661999999</v>
      </c>
      <c r="I2808">
        <v>1339.3172606999999</v>
      </c>
      <c r="J2808">
        <v>1336.7667236</v>
      </c>
      <c r="K2808">
        <v>0</v>
      </c>
      <c r="L2808">
        <v>2750</v>
      </c>
      <c r="M2808">
        <v>2750</v>
      </c>
      <c r="N2808">
        <v>0</v>
      </c>
    </row>
    <row r="2809" spans="1:14" x14ac:dyDescent="0.25">
      <c r="A2809">
        <v>1656.3250499999999</v>
      </c>
      <c r="B2809" s="1">
        <f>DATE(2014,11,12) + TIME(7,48,4)</f>
        <v>41955.325046296297</v>
      </c>
      <c r="C2809">
        <v>80</v>
      </c>
      <c r="D2809">
        <v>79.146102905000006</v>
      </c>
      <c r="E2809">
        <v>60</v>
      </c>
      <c r="F2809">
        <v>59.983192443999997</v>
      </c>
      <c r="G2809">
        <v>1329.0706786999999</v>
      </c>
      <c r="H2809">
        <v>1327.5985106999999</v>
      </c>
      <c r="I2809">
        <v>1339.3114014</v>
      </c>
      <c r="J2809">
        <v>1336.7637939000001</v>
      </c>
      <c r="K2809">
        <v>0</v>
      </c>
      <c r="L2809">
        <v>2750</v>
      </c>
      <c r="M2809">
        <v>2750</v>
      </c>
      <c r="N2809">
        <v>0</v>
      </c>
    </row>
    <row r="2810" spans="1:14" x14ac:dyDescent="0.25">
      <c r="A2810">
        <v>1656.7540590000001</v>
      </c>
      <c r="B2810" s="1">
        <f>DATE(2014,11,12) + TIME(18,5,50)</f>
        <v>41955.754050925927</v>
      </c>
      <c r="C2810">
        <v>80</v>
      </c>
      <c r="D2810">
        <v>79.119941710999996</v>
      </c>
      <c r="E2810">
        <v>60</v>
      </c>
      <c r="F2810">
        <v>59.983173370000003</v>
      </c>
      <c r="G2810">
        <v>1329.0513916</v>
      </c>
      <c r="H2810">
        <v>1327.5709228999999</v>
      </c>
      <c r="I2810">
        <v>1339.3054199000001</v>
      </c>
      <c r="J2810">
        <v>1336.7608643000001</v>
      </c>
      <c r="K2810">
        <v>0</v>
      </c>
      <c r="L2810">
        <v>2750</v>
      </c>
      <c r="M2810">
        <v>2750</v>
      </c>
      <c r="N2810">
        <v>0</v>
      </c>
    </row>
    <row r="2811" spans="1:14" x14ac:dyDescent="0.25">
      <c r="A2811">
        <v>1657.1900559999999</v>
      </c>
      <c r="B2811" s="1">
        <f>DATE(2014,11,13) + TIME(4,33,40)</f>
        <v>41956.190046296295</v>
      </c>
      <c r="C2811">
        <v>80</v>
      </c>
      <c r="D2811">
        <v>79.093345642000003</v>
      </c>
      <c r="E2811">
        <v>60</v>
      </c>
      <c r="F2811">
        <v>59.983158111999998</v>
      </c>
      <c r="G2811">
        <v>1329.0314940999999</v>
      </c>
      <c r="H2811">
        <v>1327.5426024999999</v>
      </c>
      <c r="I2811">
        <v>1339.2994385</v>
      </c>
      <c r="J2811">
        <v>1336.7579346</v>
      </c>
      <c r="K2811">
        <v>0</v>
      </c>
      <c r="L2811">
        <v>2750</v>
      </c>
      <c r="M2811">
        <v>2750</v>
      </c>
      <c r="N2811">
        <v>0</v>
      </c>
    </row>
    <row r="2812" spans="1:14" x14ac:dyDescent="0.25">
      <c r="A2812">
        <v>1657.6348459999999</v>
      </c>
      <c r="B2812" s="1">
        <f>DATE(2014,11,13) + TIME(15,14,10)</f>
        <v>41956.634837962964</v>
      </c>
      <c r="C2812">
        <v>80</v>
      </c>
      <c r="D2812">
        <v>79.066337584999999</v>
      </c>
      <c r="E2812">
        <v>60</v>
      </c>
      <c r="F2812">
        <v>59.983139037999997</v>
      </c>
      <c r="G2812">
        <v>1329.0113524999999</v>
      </c>
      <c r="H2812">
        <v>1327.5140381000001</v>
      </c>
      <c r="I2812">
        <v>1339.293457</v>
      </c>
      <c r="J2812">
        <v>1336.7550048999999</v>
      </c>
      <c r="K2812">
        <v>0</v>
      </c>
      <c r="L2812">
        <v>2750</v>
      </c>
      <c r="M2812">
        <v>2750</v>
      </c>
      <c r="N2812">
        <v>0</v>
      </c>
    </row>
    <row r="2813" spans="1:14" x14ac:dyDescent="0.25">
      <c r="A2813">
        <v>1658.0894599999999</v>
      </c>
      <c r="B2813" s="1">
        <f>DATE(2014,11,14) + TIME(2,8,49)</f>
        <v>41957.089456018519</v>
      </c>
      <c r="C2813">
        <v>80</v>
      </c>
      <c r="D2813">
        <v>79.038909911999994</v>
      </c>
      <c r="E2813">
        <v>60</v>
      </c>
      <c r="F2813">
        <v>59.983119965</v>
      </c>
      <c r="G2813">
        <v>1328.9909668</v>
      </c>
      <c r="H2813">
        <v>1327.4852295000001</v>
      </c>
      <c r="I2813">
        <v>1339.2875977000001</v>
      </c>
      <c r="J2813">
        <v>1336.7521973</v>
      </c>
      <c r="K2813">
        <v>0</v>
      </c>
      <c r="L2813">
        <v>2750</v>
      </c>
      <c r="M2813">
        <v>2750</v>
      </c>
      <c r="N2813">
        <v>0</v>
      </c>
    </row>
    <row r="2814" spans="1:14" x14ac:dyDescent="0.25">
      <c r="A2814">
        <v>1658.554511</v>
      </c>
      <c r="B2814" s="1">
        <f>DATE(2014,11,14) + TIME(13,18,29)</f>
        <v>41957.554502314815</v>
      </c>
      <c r="C2814">
        <v>80</v>
      </c>
      <c r="D2814">
        <v>79.011070251000007</v>
      </c>
      <c r="E2814">
        <v>60</v>
      </c>
      <c r="F2814">
        <v>59.983104705999999</v>
      </c>
      <c r="G2814">
        <v>1328.9704589999999</v>
      </c>
      <c r="H2814">
        <v>1327.4560547000001</v>
      </c>
      <c r="I2814">
        <v>1339.2817382999999</v>
      </c>
      <c r="J2814">
        <v>1336.7493896000001</v>
      </c>
      <c r="K2814">
        <v>0</v>
      </c>
      <c r="L2814">
        <v>2750</v>
      </c>
      <c r="M2814">
        <v>2750</v>
      </c>
      <c r="N2814">
        <v>0</v>
      </c>
    </row>
    <row r="2815" spans="1:14" x14ac:dyDescent="0.25">
      <c r="A2815">
        <v>1659.0323020000001</v>
      </c>
      <c r="B2815" s="1">
        <f>DATE(2014,11,15) + TIME(0,46,30)</f>
        <v>41958.03229166667</v>
      </c>
      <c r="C2815">
        <v>80</v>
      </c>
      <c r="D2815">
        <v>78.982749939000001</v>
      </c>
      <c r="E2815">
        <v>60</v>
      </c>
      <c r="F2815">
        <v>59.983085631999998</v>
      </c>
      <c r="G2815">
        <v>1328.949707</v>
      </c>
      <c r="H2815">
        <v>1327.4266356999999</v>
      </c>
      <c r="I2815">
        <v>1339.276001</v>
      </c>
      <c r="J2815">
        <v>1336.7467041</v>
      </c>
      <c r="K2815">
        <v>0</v>
      </c>
      <c r="L2815">
        <v>2750</v>
      </c>
      <c r="M2815">
        <v>2750</v>
      </c>
      <c r="N2815">
        <v>0</v>
      </c>
    </row>
    <row r="2816" spans="1:14" x14ac:dyDescent="0.25">
      <c r="A2816">
        <v>1659.5243359999999</v>
      </c>
      <c r="B2816" s="1">
        <f>DATE(2014,11,15) + TIME(12,35,2)</f>
        <v>41958.524328703701</v>
      </c>
      <c r="C2816">
        <v>80</v>
      </c>
      <c r="D2816">
        <v>78.953880310000002</v>
      </c>
      <c r="E2816">
        <v>60</v>
      </c>
      <c r="F2816">
        <v>59.983066559000001</v>
      </c>
      <c r="G2816">
        <v>1328.9285889</v>
      </c>
      <c r="H2816">
        <v>1327.3968506000001</v>
      </c>
      <c r="I2816">
        <v>1339.2702637</v>
      </c>
      <c r="J2816">
        <v>1336.7440185999999</v>
      </c>
      <c r="K2816">
        <v>0</v>
      </c>
      <c r="L2816">
        <v>2750</v>
      </c>
      <c r="M2816">
        <v>2750</v>
      </c>
      <c r="N2816">
        <v>0</v>
      </c>
    </row>
    <row r="2817" spans="1:14" x14ac:dyDescent="0.25">
      <c r="A2817">
        <v>1660.020945</v>
      </c>
      <c r="B2817" s="1">
        <f>DATE(2014,11,16) + TIME(0,30,9)</f>
        <v>41959.020937499998</v>
      </c>
      <c r="C2817">
        <v>80</v>
      </c>
      <c r="D2817">
        <v>78.924758910999998</v>
      </c>
      <c r="E2817">
        <v>60</v>
      </c>
      <c r="F2817">
        <v>59.9830513</v>
      </c>
      <c r="G2817">
        <v>1328.9072266000001</v>
      </c>
      <c r="H2817">
        <v>1327.3665771000001</v>
      </c>
      <c r="I2817">
        <v>1339.2645264</v>
      </c>
      <c r="J2817">
        <v>1336.7413329999999</v>
      </c>
      <c r="K2817">
        <v>0</v>
      </c>
      <c r="L2817">
        <v>2750</v>
      </c>
      <c r="M2817">
        <v>2750</v>
      </c>
      <c r="N2817">
        <v>0</v>
      </c>
    </row>
    <row r="2818" spans="1:14" x14ac:dyDescent="0.25">
      <c r="A2818">
        <v>1660.524887</v>
      </c>
      <c r="B2818" s="1">
        <f>DATE(2014,11,16) + TIME(12,35,50)</f>
        <v>41959.524884259263</v>
      </c>
      <c r="C2818">
        <v>80</v>
      </c>
      <c r="D2818">
        <v>78.895401000999996</v>
      </c>
      <c r="E2818">
        <v>60</v>
      </c>
      <c r="F2818">
        <v>59.983032227000002</v>
      </c>
      <c r="G2818">
        <v>1328.8857422000001</v>
      </c>
      <c r="H2818">
        <v>1327.3363036999999</v>
      </c>
      <c r="I2818">
        <v>1339.2589111</v>
      </c>
      <c r="J2818">
        <v>1336.7386475000001</v>
      </c>
      <c r="K2818">
        <v>0</v>
      </c>
      <c r="L2818">
        <v>2750</v>
      </c>
      <c r="M2818">
        <v>2750</v>
      </c>
      <c r="N2818">
        <v>0</v>
      </c>
    </row>
    <row r="2819" spans="1:14" x14ac:dyDescent="0.25">
      <c r="A2819">
        <v>1661.038292</v>
      </c>
      <c r="B2819" s="1">
        <f>DATE(2014,11,17) + TIME(0,55,8)</f>
        <v>41960.038287037038</v>
      </c>
      <c r="C2819">
        <v>80</v>
      </c>
      <c r="D2819">
        <v>78.865745544000006</v>
      </c>
      <c r="E2819">
        <v>60</v>
      </c>
      <c r="F2819">
        <v>59.983016968000001</v>
      </c>
      <c r="G2819">
        <v>1328.8642577999999</v>
      </c>
      <c r="H2819">
        <v>1327.3059082</v>
      </c>
      <c r="I2819">
        <v>1339.2532959</v>
      </c>
      <c r="J2819">
        <v>1336.7362060999999</v>
      </c>
      <c r="K2819">
        <v>0</v>
      </c>
      <c r="L2819">
        <v>2750</v>
      </c>
      <c r="M2819">
        <v>2750</v>
      </c>
      <c r="N2819">
        <v>0</v>
      </c>
    </row>
    <row r="2820" spans="1:14" x14ac:dyDescent="0.25">
      <c r="A2820">
        <v>1661.563445</v>
      </c>
      <c r="B2820" s="1">
        <f>DATE(2014,11,17) + TIME(13,31,21)</f>
        <v>41960.563437500001</v>
      </c>
      <c r="C2820">
        <v>80</v>
      </c>
      <c r="D2820">
        <v>78.835716247999997</v>
      </c>
      <c r="E2820">
        <v>60</v>
      </c>
      <c r="F2820">
        <v>59.983001709</v>
      </c>
      <c r="G2820">
        <v>1328.8425293</v>
      </c>
      <c r="H2820">
        <v>1327.2753906</v>
      </c>
      <c r="I2820">
        <v>1339.2478027</v>
      </c>
      <c r="J2820">
        <v>1336.7336425999999</v>
      </c>
      <c r="K2820">
        <v>0</v>
      </c>
      <c r="L2820">
        <v>2750</v>
      </c>
      <c r="M2820">
        <v>2750</v>
      </c>
      <c r="N2820">
        <v>0</v>
      </c>
    </row>
    <row r="2821" spans="1:14" x14ac:dyDescent="0.25">
      <c r="A2821">
        <v>1662.1027260000001</v>
      </c>
      <c r="B2821" s="1">
        <f>DATE(2014,11,18) + TIME(2,27,55)</f>
        <v>41961.102719907409</v>
      </c>
      <c r="C2821">
        <v>80</v>
      </c>
      <c r="D2821">
        <v>78.805213928000001</v>
      </c>
      <c r="E2821">
        <v>60</v>
      </c>
      <c r="F2821">
        <v>59.982982634999999</v>
      </c>
      <c r="G2821">
        <v>1328.8206786999999</v>
      </c>
      <c r="H2821">
        <v>1327.2445068</v>
      </c>
      <c r="I2821">
        <v>1339.2424315999999</v>
      </c>
      <c r="J2821">
        <v>1336.7312012</v>
      </c>
      <c r="K2821">
        <v>0</v>
      </c>
      <c r="L2821">
        <v>2750</v>
      </c>
      <c r="M2821">
        <v>2750</v>
      </c>
      <c r="N2821">
        <v>0</v>
      </c>
    </row>
    <row r="2822" spans="1:14" x14ac:dyDescent="0.25">
      <c r="A2822">
        <v>1662.658942</v>
      </c>
      <c r="B2822" s="1">
        <f>DATE(2014,11,18) + TIME(15,48,52)</f>
        <v>41961.658935185187</v>
      </c>
      <c r="C2822">
        <v>80</v>
      </c>
      <c r="D2822">
        <v>78.774116516000007</v>
      </c>
      <c r="E2822">
        <v>60</v>
      </c>
      <c r="F2822">
        <v>59.982967377000001</v>
      </c>
      <c r="G2822">
        <v>1328.7984618999999</v>
      </c>
      <c r="H2822">
        <v>1327.2133789</v>
      </c>
      <c r="I2822">
        <v>1339.2369385</v>
      </c>
      <c r="J2822">
        <v>1336.7287598</v>
      </c>
      <c r="K2822">
        <v>0</v>
      </c>
      <c r="L2822">
        <v>2750</v>
      </c>
      <c r="M2822">
        <v>2750</v>
      </c>
      <c r="N2822">
        <v>0</v>
      </c>
    </row>
    <row r="2823" spans="1:14" x14ac:dyDescent="0.25">
      <c r="A2823">
        <v>1663.2351309999999</v>
      </c>
      <c r="B2823" s="1">
        <f>DATE(2014,11,19) + TIME(5,38,35)</f>
        <v>41962.235127314816</v>
      </c>
      <c r="C2823">
        <v>80</v>
      </c>
      <c r="D2823">
        <v>78.742279053000004</v>
      </c>
      <c r="E2823">
        <v>60</v>
      </c>
      <c r="F2823">
        <v>59.982948303000001</v>
      </c>
      <c r="G2823">
        <v>1328.7758789</v>
      </c>
      <c r="H2823">
        <v>1327.1816406</v>
      </c>
      <c r="I2823">
        <v>1339.2315673999999</v>
      </c>
      <c r="J2823">
        <v>1336.7263184000001</v>
      </c>
      <c r="K2823">
        <v>0</v>
      </c>
      <c r="L2823">
        <v>2750</v>
      </c>
      <c r="M2823">
        <v>2750</v>
      </c>
      <c r="N2823">
        <v>0</v>
      </c>
    </row>
    <row r="2824" spans="1:14" x14ac:dyDescent="0.25">
      <c r="A2824">
        <v>1663.833243</v>
      </c>
      <c r="B2824" s="1">
        <f>DATE(2014,11,19) + TIME(19,59,52)</f>
        <v>41962.833240740743</v>
      </c>
      <c r="C2824">
        <v>80</v>
      </c>
      <c r="D2824">
        <v>78.709594726999995</v>
      </c>
      <c r="E2824">
        <v>60</v>
      </c>
      <c r="F2824">
        <v>59.982933043999999</v>
      </c>
      <c r="G2824">
        <v>1328.7528076000001</v>
      </c>
      <c r="H2824">
        <v>1327.1492920000001</v>
      </c>
      <c r="I2824">
        <v>1339.2260742000001</v>
      </c>
      <c r="J2824">
        <v>1336.7238769999999</v>
      </c>
      <c r="K2824">
        <v>0</v>
      </c>
      <c r="L2824">
        <v>2750</v>
      </c>
      <c r="M2824">
        <v>2750</v>
      </c>
      <c r="N2824">
        <v>0</v>
      </c>
    </row>
    <row r="2825" spans="1:14" x14ac:dyDescent="0.25">
      <c r="A2825">
        <v>1664.4417370000001</v>
      </c>
      <c r="B2825" s="1">
        <f>DATE(2014,11,20) + TIME(10,36,6)</f>
        <v>41963.441736111112</v>
      </c>
      <c r="C2825">
        <v>80</v>
      </c>
      <c r="D2825">
        <v>78.676322936999995</v>
      </c>
      <c r="E2825">
        <v>60</v>
      </c>
      <c r="F2825">
        <v>59.982917786000002</v>
      </c>
      <c r="G2825">
        <v>1328.7292480000001</v>
      </c>
      <c r="H2825">
        <v>1327.1162108999999</v>
      </c>
      <c r="I2825">
        <v>1339.2205810999999</v>
      </c>
      <c r="J2825">
        <v>1336.7214355000001</v>
      </c>
      <c r="K2825">
        <v>0</v>
      </c>
      <c r="L2825">
        <v>2750</v>
      </c>
      <c r="M2825">
        <v>2750</v>
      </c>
      <c r="N2825">
        <v>0</v>
      </c>
    </row>
    <row r="2826" spans="1:14" x14ac:dyDescent="0.25">
      <c r="A2826">
        <v>1665.0639080000001</v>
      </c>
      <c r="B2826" s="1">
        <f>DATE(2014,11,21) + TIME(1,32,1)</f>
        <v>41964.063900462963</v>
      </c>
      <c r="C2826">
        <v>80</v>
      </c>
      <c r="D2826">
        <v>78.642501831000004</v>
      </c>
      <c r="E2826">
        <v>60</v>
      </c>
      <c r="F2826">
        <v>59.982898712000001</v>
      </c>
      <c r="G2826">
        <v>1328.7054443</v>
      </c>
      <c r="H2826">
        <v>1327.0830077999999</v>
      </c>
      <c r="I2826">
        <v>1339.2150879000001</v>
      </c>
      <c r="J2826">
        <v>1336.7191161999999</v>
      </c>
      <c r="K2826">
        <v>0</v>
      </c>
      <c r="L2826">
        <v>2750</v>
      </c>
      <c r="M2826">
        <v>2750</v>
      </c>
      <c r="N2826">
        <v>0</v>
      </c>
    </row>
    <row r="2827" spans="1:14" x14ac:dyDescent="0.25">
      <c r="A2827">
        <v>1665.7032819999999</v>
      </c>
      <c r="B2827" s="1">
        <f>DATE(2014,11,21) + TIME(16,52,43)</f>
        <v>41964.703275462962</v>
      </c>
      <c r="C2827">
        <v>80</v>
      </c>
      <c r="D2827">
        <v>78.608055114999999</v>
      </c>
      <c r="E2827">
        <v>60</v>
      </c>
      <c r="F2827">
        <v>59.982883452999999</v>
      </c>
      <c r="G2827">
        <v>1328.6813964999999</v>
      </c>
      <c r="H2827">
        <v>1327.0493164</v>
      </c>
      <c r="I2827">
        <v>1339.2097168</v>
      </c>
      <c r="J2827">
        <v>1336.7167969</v>
      </c>
      <c r="K2827">
        <v>0</v>
      </c>
      <c r="L2827">
        <v>2750</v>
      </c>
      <c r="M2827">
        <v>2750</v>
      </c>
      <c r="N2827">
        <v>0</v>
      </c>
    </row>
    <row r="2828" spans="1:14" x14ac:dyDescent="0.25">
      <c r="A2828">
        <v>1666.363652</v>
      </c>
      <c r="B2828" s="1">
        <f>DATE(2014,11,22) + TIME(8,43,39)</f>
        <v>41965.363645833335</v>
      </c>
      <c r="C2828">
        <v>80</v>
      </c>
      <c r="D2828">
        <v>78.572845459000007</v>
      </c>
      <c r="E2828">
        <v>60</v>
      </c>
      <c r="F2828">
        <v>59.982864380000002</v>
      </c>
      <c r="G2828">
        <v>1328.6569824000001</v>
      </c>
      <c r="H2828">
        <v>1327.0152588000001</v>
      </c>
      <c r="I2828">
        <v>1339.2042236</v>
      </c>
      <c r="J2828">
        <v>1336.7144774999999</v>
      </c>
      <c r="K2828">
        <v>0</v>
      </c>
      <c r="L2828">
        <v>2750</v>
      </c>
      <c r="M2828">
        <v>2750</v>
      </c>
      <c r="N2828">
        <v>0</v>
      </c>
    </row>
    <row r="2829" spans="1:14" x14ac:dyDescent="0.25">
      <c r="A2829">
        <v>1667.04926</v>
      </c>
      <c r="B2829" s="1">
        <f>DATE(2014,11,23) + TIME(1,10,56)</f>
        <v>41966.049259259256</v>
      </c>
      <c r="C2829">
        <v>80</v>
      </c>
      <c r="D2829">
        <v>78.536697387999993</v>
      </c>
      <c r="E2829">
        <v>60</v>
      </c>
      <c r="F2829">
        <v>59.982849121000001</v>
      </c>
      <c r="G2829">
        <v>1328.6320800999999</v>
      </c>
      <c r="H2829">
        <v>1326.9805908000001</v>
      </c>
      <c r="I2829">
        <v>1339.1988524999999</v>
      </c>
      <c r="J2829">
        <v>1336.7121582</v>
      </c>
      <c r="K2829">
        <v>0</v>
      </c>
      <c r="L2829">
        <v>2750</v>
      </c>
      <c r="M2829">
        <v>2750</v>
      </c>
      <c r="N2829">
        <v>0</v>
      </c>
    </row>
    <row r="2830" spans="1:14" x14ac:dyDescent="0.25">
      <c r="A2830">
        <v>1667.744706</v>
      </c>
      <c r="B2830" s="1">
        <f>DATE(2014,11,23) + TIME(17,52,22)</f>
        <v>41966.744699074072</v>
      </c>
      <c r="C2830">
        <v>80</v>
      </c>
      <c r="D2830">
        <v>78.499900818</v>
      </c>
      <c r="E2830">
        <v>60</v>
      </c>
      <c r="F2830">
        <v>59.982830047999997</v>
      </c>
      <c r="G2830">
        <v>1328.6066894999999</v>
      </c>
      <c r="H2830">
        <v>1326.9451904</v>
      </c>
      <c r="I2830">
        <v>1339.1933594</v>
      </c>
      <c r="J2830">
        <v>1336.7099608999999</v>
      </c>
      <c r="K2830">
        <v>0</v>
      </c>
      <c r="L2830">
        <v>2750</v>
      </c>
      <c r="M2830">
        <v>2750</v>
      </c>
      <c r="N2830">
        <v>0</v>
      </c>
    </row>
    <row r="2831" spans="1:14" x14ac:dyDescent="0.25">
      <c r="A2831">
        <v>1668.443053</v>
      </c>
      <c r="B2831" s="1">
        <f>DATE(2014,11,24) + TIME(10,37,59)</f>
        <v>41967.443043981482</v>
      </c>
      <c r="C2831">
        <v>80</v>
      </c>
      <c r="D2831">
        <v>78.462814331000004</v>
      </c>
      <c r="E2831">
        <v>60</v>
      </c>
      <c r="F2831">
        <v>59.982814789000003</v>
      </c>
      <c r="G2831">
        <v>1328.5811768000001</v>
      </c>
      <c r="H2831">
        <v>1326.9097899999999</v>
      </c>
      <c r="I2831">
        <v>1339.1879882999999</v>
      </c>
      <c r="J2831">
        <v>1336.7076416</v>
      </c>
      <c r="K2831">
        <v>0</v>
      </c>
      <c r="L2831">
        <v>2750</v>
      </c>
      <c r="M2831">
        <v>2750</v>
      </c>
      <c r="N2831">
        <v>0</v>
      </c>
    </row>
    <row r="2832" spans="1:14" x14ac:dyDescent="0.25">
      <c r="A2832">
        <v>1669.148152</v>
      </c>
      <c r="B2832" s="1">
        <f>DATE(2014,11,25) + TIME(3,33,20)</f>
        <v>41968.148148148146</v>
      </c>
      <c r="C2832">
        <v>80</v>
      </c>
      <c r="D2832">
        <v>78.425521850999999</v>
      </c>
      <c r="E2832">
        <v>60</v>
      </c>
      <c r="F2832">
        <v>59.982795715000002</v>
      </c>
      <c r="G2832">
        <v>1328.5557861</v>
      </c>
      <c r="H2832">
        <v>1326.8743896000001</v>
      </c>
      <c r="I2832">
        <v>1339.1826172000001</v>
      </c>
      <c r="J2832">
        <v>1336.7054443</v>
      </c>
      <c r="K2832">
        <v>0</v>
      </c>
      <c r="L2832">
        <v>2750</v>
      </c>
      <c r="M2832">
        <v>2750</v>
      </c>
      <c r="N2832">
        <v>0</v>
      </c>
    </row>
    <row r="2833" spans="1:14" x14ac:dyDescent="0.25">
      <c r="A2833">
        <v>1669.864812</v>
      </c>
      <c r="B2833" s="1">
        <f>DATE(2014,11,25) + TIME(20,45,19)</f>
        <v>41968.864803240744</v>
      </c>
      <c r="C2833">
        <v>80</v>
      </c>
      <c r="D2833">
        <v>78.387924193999993</v>
      </c>
      <c r="E2833">
        <v>60</v>
      </c>
      <c r="F2833">
        <v>59.982780456999997</v>
      </c>
      <c r="G2833">
        <v>1328.5303954999999</v>
      </c>
      <c r="H2833">
        <v>1326.8391113</v>
      </c>
      <c r="I2833">
        <v>1339.1774902</v>
      </c>
      <c r="J2833">
        <v>1336.7033690999999</v>
      </c>
      <c r="K2833">
        <v>0</v>
      </c>
      <c r="L2833">
        <v>2750</v>
      </c>
      <c r="M2833">
        <v>2750</v>
      </c>
      <c r="N2833">
        <v>0</v>
      </c>
    </row>
    <row r="2834" spans="1:14" x14ac:dyDescent="0.25">
      <c r="A2834">
        <v>1670.5963879999999</v>
      </c>
      <c r="B2834" s="1">
        <f>DATE(2014,11,26) + TIME(14,18,47)</f>
        <v>41969.596377314818</v>
      </c>
      <c r="C2834">
        <v>80</v>
      </c>
      <c r="D2834">
        <v>78.349876404</v>
      </c>
      <c r="E2834">
        <v>60</v>
      </c>
      <c r="F2834">
        <v>59.982765198000003</v>
      </c>
      <c r="G2834">
        <v>1328.5048827999999</v>
      </c>
      <c r="H2834">
        <v>1326.8038329999999</v>
      </c>
      <c r="I2834">
        <v>1339.1723632999999</v>
      </c>
      <c r="J2834">
        <v>1336.7012939000001</v>
      </c>
      <c r="K2834">
        <v>0</v>
      </c>
      <c r="L2834">
        <v>2750</v>
      </c>
      <c r="M2834">
        <v>2750</v>
      </c>
      <c r="N2834">
        <v>0</v>
      </c>
    </row>
    <row r="2835" spans="1:14" x14ac:dyDescent="0.25">
      <c r="A2835">
        <v>1671.346575</v>
      </c>
      <c r="B2835" s="1">
        <f>DATE(2014,11,27) + TIME(8,19,4)</f>
        <v>41970.346574074072</v>
      </c>
      <c r="C2835">
        <v>80</v>
      </c>
      <c r="D2835">
        <v>78.311210631999998</v>
      </c>
      <c r="E2835">
        <v>60</v>
      </c>
      <c r="F2835">
        <v>59.982746124000002</v>
      </c>
      <c r="G2835">
        <v>1328.4792480000001</v>
      </c>
      <c r="H2835">
        <v>1326.7683105000001</v>
      </c>
      <c r="I2835">
        <v>1339.1672363</v>
      </c>
      <c r="J2835">
        <v>1336.6993408000001</v>
      </c>
      <c r="K2835">
        <v>0</v>
      </c>
      <c r="L2835">
        <v>2750</v>
      </c>
      <c r="M2835">
        <v>2750</v>
      </c>
      <c r="N2835">
        <v>0</v>
      </c>
    </row>
    <row r="2836" spans="1:14" x14ac:dyDescent="0.25">
      <c r="A2836">
        <v>1672.1191899999999</v>
      </c>
      <c r="B2836" s="1">
        <f>DATE(2014,11,28) + TIME(2,51,38)</f>
        <v>41971.119189814817</v>
      </c>
      <c r="C2836">
        <v>80</v>
      </c>
      <c r="D2836">
        <v>78.271736145000006</v>
      </c>
      <c r="E2836">
        <v>60</v>
      </c>
      <c r="F2836">
        <v>59.982730865000001</v>
      </c>
      <c r="G2836">
        <v>1328.4533690999999</v>
      </c>
      <c r="H2836">
        <v>1326.7324219</v>
      </c>
      <c r="I2836">
        <v>1339.1622314000001</v>
      </c>
      <c r="J2836">
        <v>1336.6972656</v>
      </c>
      <c r="K2836">
        <v>0</v>
      </c>
      <c r="L2836">
        <v>2750</v>
      </c>
      <c r="M2836">
        <v>2750</v>
      </c>
      <c r="N2836">
        <v>0</v>
      </c>
    </row>
    <row r="2837" spans="1:14" x14ac:dyDescent="0.25">
      <c r="A2837">
        <v>1672.9188630000001</v>
      </c>
      <c r="B2837" s="1">
        <f>DATE(2014,11,28) + TIME(22,3,9)</f>
        <v>41971.918854166666</v>
      </c>
      <c r="C2837">
        <v>80</v>
      </c>
      <c r="D2837">
        <v>78.231231688999998</v>
      </c>
      <c r="E2837">
        <v>60</v>
      </c>
      <c r="F2837">
        <v>59.982715607000003</v>
      </c>
      <c r="G2837">
        <v>1328.427124</v>
      </c>
      <c r="H2837">
        <v>1326.6961670000001</v>
      </c>
      <c r="I2837">
        <v>1339.1571045000001</v>
      </c>
      <c r="J2837">
        <v>1336.6953125</v>
      </c>
      <c r="K2837">
        <v>0</v>
      </c>
      <c r="L2837">
        <v>2750</v>
      </c>
      <c r="M2837">
        <v>2750</v>
      </c>
      <c r="N2837">
        <v>0</v>
      </c>
    </row>
    <row r="2838" spans="1:14" x14ac:dyDescent="0.25">
      <c r="A2838">
        <v>1673.7507430000001</v>
      </c>
      <c r="B2838" s="1">
        <f>DATE(2014,11,29) + TIME(18,1,4)</f>
        <v>41972.750740740739</v>
      </c>
      <c r="C2838">
        <v>80</v>
      </c>
      <c r="D2838">
        <v>78.189468383999994</v>
      </c>
      <c r="E2838">
        <v>60</v>
      </c>
      <c r="F2838">
        <v>59.982696533000002</v>
      </c>
      <c r="G2838">
        <v>1328.4003906</v>
      </c>
      <c r="H2838">
        <v>1326.6591797000001</v>
      </c>
      <c r="I2838">
        <v>1339.1519774999999</v>
      </c>
      <c r="J2838">
        <v>1336.6933594</v>
      </c>
      <c r="K2838">
        <v>0</v>
      </c>
      <c r="L2838">
        <v>2750</v>
      </c>
      <c r="M2838">
        <v>2750</v>
      </c>
      <c r="N2838">
        <v>0</v>
      </c>
    </row>
    <row r="2839" spans="1:14" x14ac:dyDescent="0.25">
      <c r="A2839">
        <v>1674.610844</v>
      </c>
      <c r="B2839" s="1">
        <f>DATE(2014,11,30) + TIME(14,39,36)</f>
        <v>41973.610833333332</v>
      </c>
      <c r="C2839">
        <v>80</v>
      </c>
      <c r="D2839">
        <v>78.146369934000006</v>
      </c>
      <c r="E2839">
        <v>60</v>
      </c>
      <c r="F2839">
        <v>59.982681274000001</v>
      </c>
      <c r="G2839">
        <v>1328.3729248</v>
      </c>
      <c r="H2839">
        <v>1326.6214600000001</v>
      </c>
      <c r="I2839">
        <v>1339.1467285000001</v>
      </c>
      <c r="J2839">
        <v>1336.6914062000001</v>
      </c>
      <c r="K2839">
        <v>0</v>
      </c>
      <c r="L2839">
        <v>2750</v>
      </c>
      <c r="M2839">
        <v>2750</v>
      </c>
      <c r="N2839">
        <v>0</v>
      </c>
    </row>
    <row r="2840" spans="1:14" x14ac:dyDescent="0.25">
      <c r="A2840">
        <v>1675</v>
      </c>
      <c r="B2840" s="1">
        <f>DATE(2014,12,1) + TIME(0,0,0)</f>
        <v>41974</v>
      </c>
      <c r="C2840">
        <v>80</v>
      </c>
      <c r="D2840">
        <v>78.117088318</v>
      </c>
      <c r="E2840">
        <v>60</v>
      </c>
      <c r="F2840">
        <v>59.982669829999999</v>
      </c>
      <c r="G2840">
        <v>1328.3464355000001</v>
      </c>
      <c r="H2840">
        <v>1326.5858154</v>
      </c>
      <c r="I2840">
        <v>1339.1414795000001</v>
      </c>
      <c r="J2840">
        <v>1336.6893310999999</v>
      </c>
      <c r="K2840">
        <v>0</v>
      </c>
      <c r="L2840">
        <v>2750</v>
      </c>
      <c r="M2840">
        <v>2750</v>
      </c>
      <c r="N2840">
        <v>0</v>
      </c>
    </row>
    <row r="2841" spans="1:14" x14ac:dyDescent="0.25">
      <c r="A2841">
        <v>1675.8744260000001</v>
      </c>
      <c r="B2841" s="1">
        <f>DATE(2014,12,1) + TIME(20,59,10)</f>
        <v>41974.874421296299</v>
      </c>
      <c r="C2841">
        <v>80</v>
      </c>
      <c r="D2841">
        <v>78.078414917000003</v>
      </c>
      <c r="E2841">
        <v>60</v>
      </c>
      <c r="F2841">
        <v>59.982654572000001</v>
      </c>
      <c r="G2841">
        <v>1328.3297118999999</v>
      </c>
      <c r="H2841">
        <v>1326.5610352000001</v>
      </c>
      <c r="I2841">
        <v>1339.1392822</v>
      </c>
      <c r="J2841">
        <v>1336.6884766000001</v>
      </c>
      <c r="K2841">
        <v>0</v>
      </c>
      <c r="L2841">
        <v>2750</v>
      </c>
      <c r="M2841">
        <v>2750</v>
      </c>
      <c r="N2841">
        <v>0</v>
      </c>
    </row>
    <row r="2842" spans="1:14" x14ac:dyDescent="0.25">
      <c r="A2842">
        <v>1676.7839160000001</v>
      </c>
      <c r="B2842" s="1">
        <f>DATE(2014,12,2) + TIME(18,48,50)</f>
        <v>41975.783912037034</v>
      </c>
      <c r="C2842">
        <v>80</v>
      </c>
      <c r="D2842">
        <v>78.035308838000006</v>
      </c>
      <c r="E2842">
        <v>60</v>
      </c>
      <c r="F2842">
        <v>59.982639313</v>
      </c>
      <c r="G2842">
        <v>1328.3032227000001</v>
      </c>
      <c r="H2842">
        <v>1326.5251464999999</v>
      </c>
      <c r="I2842">
        <v>1339.1341553</v>
      </c>
      <c r="J2842">
        <v>1336.6866454999999</v>
      </c>
      <c r="K2842">
        <v>0</v>
      </c>
      <c r="L2842">
        <v>2750</v>
      </c>
      <c r="M2842">
        <v>2750</v>
      </c>
      <c r="N2842">
        <v>0</v>
      </c>
    </row>
    <row r="2843" spans="1:14" x14ac:dyDescent="0.25">
      <c r="A2843">
        <v>1677.6962510000001</v>
      </c>
      <c r="B2843" s="1">
        <f>DATE(2014,12,3) + TIME(16,42,36)</f>
        <v>41976.696250000001</v>
      </c>
      <c r="C2843">
        <v>80</v>
      </c>
      <c r="D2843">
        <v>77.989944457999997</v>
      </c>
      <c r="E2843">
        <v>60</v>
      </c>
      <c r="F2843">
        <v>59.982624053999999</v>
      </c>
      <c r="G2843">
        <v>1328.2753906</v>
      </c>
      <c r="H2843">
        <v>1326.4871826000001</v>
      </c>
      <c r="I2843">
        <v>1339.1289062000001</v>
      </c>
      <c r="J2843">
        <v>1336.6846923999999</v>
      </c>
      <c r="K2843">
        <v>0</v>
      </c>
      <c r="L2843">
        <v>2750</v>
      </c>
      <c r="M2843">
        <v>2750</v>
      </c>
      <c r="N2843">
        <v>0</v>
      </c>
    </row>
    <row r="2844" spans="1:14" x14ac:dyDescent="0.25">
      <c r="A2844">
        <v>1678.613531</v>
      </c>
      <c r="B2844" s="1">
        <f>DATE(2014,12,4) + TIME(14,43,29)</f>
        <v>41977.613530092596</v>
      </c>
      <c r="C2844">
        <v>80</v>
      </c>
      <c r="D2844">
        <v>77.943588257000002</v>
      </c>
      <c r="E2844">
        <v>60</v>
      </c>
      <c r="F2844">
        <v>59.982604979999998</v>
      </c>
      <c r="G2844">
        <v>1328.2471923999999</v>
      </c>
      <c r="H2844">
        <v>1326.4486084</v>
      </c>
      <c r="I2844">
        <v>1339.1239014</v>
      </c>
      <c r="J2844">
        <v>1336.6828613</v>
      </c>
      <c r="K2844">
        <v>0</v>
      </c>
      <c r="L2844">
        <v>2750</v>
      </c>
      <c r="M2844">
        <v>2750</v>
      </c>
      <c r="N2844">
        <v>0</v>
      </c>
    </row>
    <row r="2845" spans="1:14" x14ac:dyDescent="0.25">
      <c r="A2845">
        <v>1679.5444399999999</v>
      </c>
      <c r="B2845" s="1">
        <f>DATE(2014,12,5) + TIME(13,3,59)</f>
        <v>41978.544432870367</v>
      </c>
      <c r="C2845">
        <v>80</v>
      </c>
      <c r="D2845">
        <v>77.896514893000003</v>
      </c>
      <c r="E2845">
        <v>60</v>
      </c>
      <c r="F2845">
        <v>59.982589722</v>
      </c>
      <c r="G2845">
        <v>1328.2189940999999</v>
      </c>
      <c r="H2845">
        <v>1326.4100341999999</v>
      </c>
      <c r="I2845">
        <v>1339.1188964999999</v>
      </c>
      <c r="J2845">
        <v>1336.6810303</v>
      </c>
      <c r="K2845">
        <v>0</v>
      </c>
      <c r="L2845">
        <v>2750</v>
      </c>
      <c r="M2845">
        <v>2750</v>
      </c>
      <c r="N2845">
        <v>0</v>
      </c>
    </row>
    <row r="2846" spans="1:14" x14ac:dyDescent="0.25">
      <c r="A2846">
        <v>1680.493708</v>
      </c>
      <c r="B2846" s="1">
        <f>DATE(2014,12,6) + TIME(11,50,56)</f>
        <v>41979.493703703702</v>
      </c>
      <c r="C2846">
        <v>80</v>
      </c>
      <c r="D2846">
        <v>77.848648071</v>
      </c>
      <c r="E2846">
        <v>60</v>
      </c>
      <c r="F2846">
        <v>59.982574462999999</v>
      </c>
      <c r="G2846">
        <v>1328.1907959</v>
      </c>
      <c r="H2846">
        <v>1326.3713379000001</v>
      </c>
      <c r="I2846">
        <v>1339.1140137</v>
      </c>
      <c r="J2846">
        <v>1336.6793213000001</v>
      </c>
      <c r="K2846">
        <v>0</v>
      </c>
      <c r="L2846">
        <v>2750</v>
      </c>
      <c r="M2846">
        <v>2750</v>
      </c>
      <c r="N2846">
        <v>0</v>
      </c>
    </row>
    <row r="2847" spans="1:14" x14ac:dyDescent="0.25">
      <c r="A2847">
        <v>1681.466428</v>
      </c>
      <c r="B2847" s="1">
        <f>DATE(2014,12,7) + TIME(11,11,39)</f>
        <v>41980.466423611113</v>
      </c>
      <c r="C2847">
        <v>80</v>
      </c>
      <c r="D2847">
        <v>77.799789429</v>
      </c>
      <c r="E2847">
        <v>60</v>
      </c>
      <c r="F2847">
        <v>59.982559203999998</v>
      </c>
      <c r="G2847">
        <v>1328.1623535000001</v>
      </c>
      <c r="H2847">
        <v>1326.3325195</v>
      </c>
      <c r="I2847">
        <v>1339.1091309000001</v>
      </c>
      <c r="J2847">
        <v>1336.6776123</v>
      </c>
      <c r="K2847">
        <v>0</v>
      </c>
      <c r="L2847">
        <v>2750</v>
      </c>
      <c r="M2847">
        <v>2750</v>
      </c>
      <c r="N2847">
        <v>0</v>
      </c>
    </row>
    <row r="2848" spans="1:14" x14ac:dyDescent="0.25">
      <c r="A2848">
        <v>1682.468061</v>
      </c>
      <c r="B2848" s="1">
        <f>DATE(2014,12,8) + TIME(11,14,0)</f>
        <v>41981.468055555553</v>
      </c>
      <c r="C2848">
        <v>80</v>
      </c>
      <c r="D2848">
        <v>77.749687195000007</v>
      </c>
      <c r="E2848">
        <v>60</v>
      </c>
      <c r="F2848">
        <v>59.982543945000003</v>
      </c>
      <c r="G2848">
        <v>1328.1337891000001</v>
      </c>
      <c r="H2848">
        <v>1326.293457</v>
      </c>
      <c r="I2848">
        <v>1339.1043701000001</v>
      </c>
      <c r="J2848">
        <v>1336.6759033000001</v>
      </c>
      <c r="K2848">
        <v>0</v>
      </c>
      <c r="L2848">
        <v>2750</v>
      </c>
      <c r="M2848">
        <v>2750</v>
      </c>
      <c r="N2848">
        <v>0</v>
      </c>
    </row>
    <row r="2849" spans="1:14" x14ac:dyDescent="0.25">
      <c r="A2849">
        <v>1683.5049349999999</v>
      </c>
      <c r="B2849" s="1">
        <f>DATE(2014,12,9) + TIME(12,7,6)</f>
        <v>41982.504930555559</v>
      </c>
      <c r="C2849">
        <v>80</v>
      </c>
      <c r="D2849">
        <v>77.698028563999998</v>
      </c>
      <c r="E2849">
        <v>60</v>
      </c>
      <c r="F2849">
        <v>59.982524871999999</v>
      </c>
      <c r="G2849">
        <v>1328.1048584</v>
      </c>
      <c r="H2849">
        <v>1326.2540283000001</v>
      </c>
      <c r="I2849">
        <v>1339.0994873</v>
      </c>
      <c r="J2849">
        <v>1336.6741943</v>
      </c>
      <c r="K2849">
        <v>0</v>
      </c>
      <c r="L2849">
        <v>2750</v>
      </c>
      <c r="M2849">
        <v>2750</v>
      </c>
      <c r="N2849">
        <v>0</v>
      </c>
    </row>
    <row r="2850" spans="1:14" x14ac:dyDescent="0.25">
      <c r="A2850">
        <v>1684.5843460000001</v>
      </c>
      <c r="B2850" s="1">
        <f>DATE(2014,12,10) + TIME(14,1,27)</f>
        <v>41983.584340277775</v>
      </c>
      <c r="C2850">
        <v>80</v>
      </c>
      <c r="D2850">
        <v>77.644470214999998</v>
      </c>
      <c r="E2850">
        <v>60</v>
      </c>
      <c r="F2850">
        <v>59.982509612999998</v>
      </c>
      <c r="G2850">
        <v>1328.0753173999999</v>
      </c>
      <c r="H2850">
        <v>1326.2138672000001</v>
      </c>
      <c r="I2850">
        <v>1339.0944824000001</v>
      </c>
      <c r="J2850">
        <v>1336.6724853999999</v>
      </c>
      <c r="K2850">
        <v>0</v>
      </c>
      <c r="L2850">
        <v>2750</v>
      </c>
      <c r="M2850">
        <v>2750</v>
      </c>
      <c r="N2850">
        <v>0</v>
      </c>
    </row>
    <row r="2851" spans="1:14" x14ac:dyDescent="0.25">
      <c r="A2851">
        <v>1685.711182</v>
      </c>
      <c r="B2851" s="1">
        <f>DATE(2014,12,11) + TIME(17,4,6)</f>
        <v>41984.711180555554</v>
      </c>
      <c r="C2851">
        <v>80</v>
      </c>
      <c r="D2851">
        <v>77.588676453000005</v>
      </c>
      <c r="E2851">
        <v>60</v>
      </c>
      <c r="F2851">
        <v>59.982494354000004</v>
      </c>
      <c r="G2851">
        <v>1328.0451660000001</v>
      </c>
      <c r="H2851">
        <v>1326.1729736</v>
      </c>
      <c r="I2851">
        <v>1339.0894774999999</v>
      </c>
      <c r="J2851">
        <v>1336.6707764</v>
      </c>
      <c r="K2851">
        <v>0</v>
      </c>
      <c r="L2851">
        <v>2750</v>
      </c>
      <c r="M2851">
        <v>2750</v>
      </c>
      <c r="N2851">
        <v>0</v>
      </c>
    </row>
    <row r="2852" spans="1:14" x14ac:dyDescent="0.25">
      <c r="A2852">
        <v>1686.8714190000001</v>
      </c>
      <c r="B2852" s="1">
        <f>DATE(2014,12,12) + TIME(20,54,50)</f>
        <v>41985.871412037035</v>
      </c>
      <c r="C2852">
        <v>80</v>
      </c>
      <c r="D2852">
        <v>77.530632018999995</v>
      </c>
      <c r="E2852">
        <v>60</v>
      </c>
      <c r="F2852">
        <v>59.982475280999999</v>
      </c>
      <c r="G2852">
        <v>1328.0142822</v>
      </c>
      <c r="H2852">
        <v>1326.1309814000001</v>
      </c>
      <c r="I2852">
        <v>1339.0844727000001</v>
      </c>
      <c r="J2852">
        <v>1336.6690673999999</v>
      </c>
      <c r="K2852">
        <v>0</v>
      </c>
      <c r="L2852">
        <v>2750</v>
      </c>
      <c r="M2852">
        <v>2750</v>
      </c>
      <c r="N2852">
        <v>0</v>
      </c>
    </row>
    <row r="2853" spans="1:14" x14ac:dyDescent="0.25">
      <c r="A2853">
        <v>1687.4673640000001</v>
      </c>
      <c r="B2853" s="1">
        <f>DATE(2014,12,13) + TIME(11,13,0)</f>
        <v>41986.467361111114</v>
      </c>
      <c r="C2853">
        <v>80</v>
      </c>
      <c r="D2853">
        <v>77.485183715999995</v>
      </c>
      <c r="E2853">
        <v>60</v>
      </c>
      <c r="F2853">
        <v>59.982463836999997</v>
      </c>
      <c r="G2853">
        <v>1327.9840088000001</v>
      </c>
      <c r="H2853">
        <v>1326.0905762</v>
      </c>
      <c r="I2853">
        <v>1339.0792236</v>
      </c>
      <c r="J2853">
        <v>1336.6673584</v>
      </c>
      <c r="K2853">
        <v>0</v>
      </c>
      <c r="L2853">
        <v>2750</v>
      </c>
      <c r="M2853">
        <v>2750</v>
      </c>
      <c r="N2853">
        <v>0</v>
      </c>
    </row>
    <row r="2854" spans="1:14" x14ac:dyDescent="0.25">
      <c r="A2854">
        <v>1688.063308</v>
      </c>
      <c r="B2854" s="1">
        <f>DATE(2014,12,14) + TIME(1,31,9)</f>
        <v>41987.063298611109</v>
      </c>
      <c r="C2854">
        <v>80</v>
      </c>
      <c r="D2854">
        <v>77.447128296000002</v>
      </c>
      <c r="E2854">
        <v>60</v>
      </c>
      <c r="F2854">
        <v>59.982452393000003</v>
      </c>
      <c r="G2854">
        <v>1327.9643555</v>
      </c>
      <c r="H2854">
        <v>1326.0627440999999</v>
      </c>
      <c r="I2854">
        <v>1339.0766602000001</v>
      </c>
      <c r="J2854">
        <v>1336.6665039</v>
      </c>
      <c r="K2854">
        <v>0</v>
      </c>
      <c r="L2854">
        <v>2750</v>
      </c>
      <c r="M2854">
        <v>2750</v>
      </c>
      <c r="N2854">
        <v>0</v>
      </c>
    </row>
    <row r="2855" spans="1:14" x14ac:dyDescent="0.25">
      <c r="A2855">
        <v>1689.255197</v>
      </c>
      <c r="B2855" s="1">
        <f>DATE(2014,12,15) + TIME(6,7,29)</f>
        <v>41988.255196759259</v>
      </c>
      <c r="C2855">
        <v>80</v>
      </c>
      <c r="D2855">
        <v>77.401603699000006</v>
      </c>
      <c r="E2855">
        <v>60</v>
      </c>
      <c r="F2855">
        <v>59.982440947999997</v>
      </c>
      <c r="G2855">
        <v>1327.9458007999999</v>
      </c>
      <c r="H2855">
        <v>1326.0362548999999</v>
      </c>
      <c r="I2855">
        <v>1339.0742187999999</v>
      </c>
      <c r="J2855">
        <v>1336.6656493999999</v>
      </c>
      <c r="K2855">
        <v>0</v>
      </c>
      <c r="L2855">
        <v>2750</v>
      </c>
      <c r="M2855">
        <v>2750</v>
      </c>
      <c r="N2855">
        <v>0</v>
      </c>
    </row>
    <row r="2856" spans="1:14" x14ac:dyDescent="0.25">
      <c r="A2856">
        <v>1690.4485890000001</v>
      </c>
      <c r="B2856" s="1">
        <f>DATE(2014,12,16) + TIME(10,45,58)</f>
        <v>41989.448587962965</v>
      </c>
      <c r="C2856">
        <v>80</v>
      </c>
      <c r="D2856">
        <v>77.344635010000005</v>
      </c>
      <c r="E2856">
        <v>60</v>
      </c>
      <c r="F2856">
        <v>59.982425689999999</v>
      </c>
      <c r="G2856">
        <v>1327.9177245999999</v>
      </c>
      <c r="H2856">
        <v>1325.9993896000001</v>
      </c>
      <c r="I2856">
        <v>1339.0692139</v>
      </c>
      <c r="J2856">
        <v>1336.6640625</v>
      </c>
      <c r="K2856">
        <v>0</v>
      </c>
      <c r="L2856">
        <v>2750</v>
      </c>
      <c r="M2856">
        <v>2750</v>
      </c>
      <c r="N2856">
        <v>0</v>
      </c>
    </row>
    <row r="2857" spans="1:14" x14ac:dyDescent="0.25">
      <c r="A2857">
        <v>1691.660365</v>
      </c>
      <c r="B2857" s="1">
        <f>DATE(2014,12,17) + TIME(15,50,55)</f>
        <v>41990.660358796296</v>
      </c>
      <c r="C2857">
        <v>80</v>
      </c>
      <c r="D2857">
        <v>77.283493042000003</v>
      </c>
      <c r="E2857">
        <v>60</v>
      </c>
      <c r="F2857">
        <v>59.982410430999998</v>
      </c>
      <c r="G2857">
        <v>1327.8876952999999</v>
      </c>
      <c r="H2857">
        <v>1325.9592285000001</v>
      </c>
      <c r="I2857">
        <v>1339.0643310999999</v>
      </c>
      <c r="J2857">
        <v>1336.6624756000001</v>
      </c>
      <c r="K2857">
        <v>0</v>
      </c>
      <c r="L2857">
        <v>2750</v>
      </c>
      <c r="M2857">
        <v>2750</v>
      </c>
      <c r="N2857">
        <v>0</v>
      </c>
    </row>
    <row r="2858" spans="1:14" x14ac:dyDescent="0.25">
      <c r="A2858">
        <v>1692.8978380000001</v>
      </c>
      <c r="B2858" s="1">
        <f>DATE(2014,12,18) + TIME(21,32,53)</f>
        <v>41991.897835648146</v>
      </c>
      <c r="C2858">
        <v>80</v>
      </c>
      <c r="D2858">
        <v>77.220046996999997</v>
      </c>
      <c r="E2858">
        <v>60</v>
      </c>
      <c r="F2858">
        <v>59.982395171999997</v>
      </c>
      <c r="G2858">
        <v>1327.8570557</v>
      </c>
      <c r="H2858">
        <v>1325.9178466999999</v>
      </c>
      <c r="I2858">
        <v>1339.0595702999999</v>
      </c>
      <c r="J2858">
        <v>1336.6608887</v>
      </c>
      <c r="K2858">
        <v>0</v>
      </c>
      <c r="L2858">
        <v>2750</v>
      </c>
      <c r="M2858">
        <v>2750</v>
      </c>
      <c r="N2858">
        <v>0</v>
      </c>
    </row>
    <row r="2859" spans="1:14" x14ac:dyDescent="0.25">
      <c r="A2859">
        <v>1694.1684090000001</v>
      </c>
      <c r="B2859" s="1">
        <f>DATE(2014,12,20) + TIME(4,2,30)</f>
        <v>41993.168402777781</v>
      </c>
      <c r="C2859">
        <v>80</v>
      </c>
      <c r="D2859">
        <v>77.154632567999997</v>
      </c>
      <c r="E2859">
        <v>60</v>
      </c>
      <c r="F2859">
        <v>59.982379913000003</v>
      </c>
      <c r="G2859">
        <v>1327.8260498</v>
      </c>
      <c r="H2859">
        <v>1325.8760986</v>
      </c>
      <c r="I2859">
        <v>1339.0546875</v>
      </c>
      <c r="J2859">
        <v>1336.6593018000001</v>
      </c>
      <c r="K2859">
        <v>0</v>
      </c>
      <c r="L2859">
        <v>2750</v>
      </c>
      <c r="M2859">
        <v>2750</v>
      </c>
      <c r="N2859">
        <v>0</v>
      </c>
    </row>
    <row r="2860" spans="1:14" x14ac:dyDescent="0.25">
      <c r="A2860">
        <v>1695.4802079999999</v>
      </c>
      <c r="B2860" s="1">
        <f>DATE(2014,12,21) + TIME(11,31,29)</f>
        <v>41994.480196759258</v>
      </c>
      <c r="C2860">
        <v>80</v>
      </c>
      <c r="D2860">
        <v>77.087059021000002</v>
      </c>
      <c r="E2860">
        <v>60</v>
      </c>
      <c r="F2860">
        <v>59.982364654999998</v>
      </c>
      <c r="G2860">
        <v>1327.7946777</v>
      </c>
      <c r="H2860">
        <v>1325.8339844</v>
      </c>
      <c r="I2860">
        <v>1339.0499268000001</v>
      </c>
      <c r="J2860">
        <v>1336.6578368999999</v>
      </c>
      <c r="K2860">
        <v>0</v>
      </c>
      <c r="L2860">
        <v>2750</v>
      </c>
      <c r="M2860">
        <v>2750</v>
      </c>
      <c r="N2860">
        <v>0</v>
      </c>
    </row>
    <row r="2861" spans="1:14" x14ac:dyDescent="0.25">
      <c r="A2861">
        <v>1696.8329289999999</v>
      </c>
      <c r="B2861" s="1">
        <f>DATE(2014,12,22) + TIME(19,59,25)</f>
        <v>41995.832928240743</v>
      </c>
      <c r="C2861">
        <v>80</v>
      </c>
      <c r="D2861">
        <v>77.017066955999994</v>
      </c>
      <c r="E2861">
        <v>60</v>
      </c>
      <c r="F2861">
        <v>59.982349395999996</v>
      </c>
      <c r="G2861">
        <v>1327.7629394999999</v>
      </c>
      <c r="H2861">
        <v>1325.7912598</v>
      </c>
      <c r="I2861">
        <v>1339.0450439000001</v>
      </c>
      <c r="J2861">
        <v>1336.65625</v>
      </c>
      <c r="K2861">
        <v>0</v>
      </c>
      <c r="L2861">
        <v>2750</v>
      </c>
      <c r="M2861">
        <v>2750</v>
      </c>
      <c r="N2861">
        <v>0</v>
      </c>
    </row>
    <row r="2862" spans="1:14" x14ac:dyDescent="0.25">
      <c r="A2862">
        <v>1698.2287739999999</v>
      </c>
      <c r="B2862" s="1">
        <f>DATE(2014,12,24) + TIME(5,29,26)</f>
        <v>41997.228773148148</v>
      </c>
      <c r="C2862">
        <v>80</v>
      </c>
      <c r="D2862">
        <v>76.944519043</v>
      </c>
      <c r="E2862">
        <v>60</v>
      </c>
      <c r="F2862">
        <v>59.982334137000002</v>
      </c>
      <c r="G2862">
        <v>1327.7308350000001</v>
      </c>
      <c r="H2862">
        <v>1325.7479248</v>
      </c>
      <c r="I2862">
        <v>1339.0401611</v>
      </c>
      <c r="J2862">
        <v>1336.6547852000001</v>
      </c>
      <c r="K2862">
        <v>0</v>
      </c>
      <c r="L2862">
        <v>2750</v>
      </c>
      <c r="M2862">
        <v>2750</v>
      </c>
      <c r="N2862">
        <v>0</v>
      </c>
    </row>
    <row r="2863" spans="1:14" x14ac:dyDescent="0.25">
      <c r="A2863">
        <v>1699.677825</v>
      </c>
      <c r="B2863" s="1">
        <f>DATE(2014,12,25) + TIME(16,16,4)</f>
        <v>41998.677824074075</v>
      </c>
      <c r="C2863">
        <v>80</v>
      </c>
      <c r="D2863">
        <v>76.869155883999994</v>
      </c>
      <c r="E2863">
        <v>60</v>
      </c>
      <c r="F2863">
        <v>59.982318878000001</v>
      </c>
      <c r="G2863">
        <v>1327.6981201000001</v>
      </c>
      <c r="H2863">
        <v>1325.7041016000001</v>
      </c>
      <c r="I2863">
        <v>1339.0352783000001</v>
      </c>
      <c r="J2863">
        <v>1336.6531981999999</v>
      </c>
      <c r="K2863">
        <v>0</v>
      </c>
      <c r="L2863">
        <v>2750</v>
      </c>
      <c r="M2863">
        <v>2750</v>
      </c>
      <c r="N2863">
        <v>0</v>
      </c>
    </row>
    <row r="2864" spans="1:14" x14ac:dyDescent="0.25">
      <c r="A2864">
        <v>1701.1786649999999</v>
      </c>
      <c r="B2864" s="1">
        <f>DATE(2014,12,27) + TIME(4,17,16)</f>
        <v>42000.178657407407</v>
      </c>
      <c r="C2864">
        <v>80</v>
      </c>
      <c r="D2864">
        <v>76.790634155000006</v>
      </c>
      <c r="E2864">
        <v>60</v>
      </c>
      <c r="F2864">
        <v>59.982303619</v>
      </c>
      <c r="G2864">
        <v>1327.6649170000001</v>
      </c>
      <c r="H2864">
        <v>1325.6595459</v>
      </c>
      <c r="I2864">
        <v>1339.0302733999999</v>
      </c>
      <c r="J2864">
        <v>1336.6517334</v>
      </c>
      <c r="K2864">
        <v>0</v>
      </c>
      <c r="L2864">
        <v>2750</v>
      </c>
      <c r="M2864">
        <v>2750</v>
      </c>
      <c r="N2864">
        <v>0</v>
      </c>
    </row>
    <row r="2865" spans="1:14" x14ac:dyDescent="0.25">
      <c r="A2865">
        <v>1702.6945949999999</v>
      </c>
      <c r="B2865" s="1">
        <f>DATE(2014,12,28) + TIME(16,40,13)</f>
        <v>42001.694594907407</v>
      </c>
      <c r="C2865">
        <v>80</v>
      </c>
      <c r="D2865">
        <v>76.709358214999995</v>
      </c>
      <c r="E2865">
        <v>60</v>
      </c>
      <c r="F2865">
        <v>59.982288361000002</v>
      </c>
      <c r="G2865">
        <v>1327.6311035000001</v>
      </c>
      <c r="H2865">
        <v>1325.6143798999999</v>
      </c>
      <c r="I2865">
        <v>1339.0252685999999</v>
      </c>
      <c r="J2865">
        <v>1336.6501464999999</v>
      </c>
      <c r="K2865">
        <v>0</v>
      </c>
      <c r="L2865">
        <v>2750</v>
      </c>
      <c r="M2865">
        <v>2750</v>
      </c>
      <c r="N2865">
        <v>0</v>
      </c>
    </row>
    <row r="2866" spans="1:14" x14ac:dyDescent="0.25">
      <c r="A2866">
        <v>1704.2367750000001</v>
      </c>
      <c r="B2866" s="1">
        <f>DATE(2014,12,30) + TIME(5,40,57)</f>
        <v>42003.236770833333</v>
      </c>
      <c r="C2866">
        <v>80</v>
      </c>
      <c r="D2866">
        <v>76.626235961999996</v>
      </c>
      <c r="E2866">
        <v>60</v>
      </c>
      <c r="F2866">
        <v>59.982273102000001</v>
      </c>
      <c r="G2866">
        <v>1327.5972899999999</v>
      </c>
      <c r="H2866">
        <v>1325.5690918</v>
      </c>
      <c r="I2866">
        <v>1339.0202637</v>
      </c>
      <c r="J2866">
        <v>1336.6485596</v>
      </c>
      <c r="K2866">
        <v>0</v>
      </c>
      <c r="L2866">
        <v>2750</v>
      </c>
      <c r="M2866">
        <v>2750</v>
      </c>
      <c r="N2866">
        <v>0</v>
      </c>
    </row>
    <row r="2867" spans="1:14" x14ac:dyDescent="0.25">
      <c r="A2867">
        <v>1705.8168149999999</v>
      </c>
      <c r="B2867" s="1">
        <f>DATE(2014,12,31) + TIME(19,36,12)</f>
        <v>42004.816805555558</v>
      </c>
      <c r="C2867">
        <v>80</v>
      </c>
      <c r="D2867">
        <v>76.541030883999994</v>
      </c>
      <c r="E2867">
        <v>60</v>
      </c>
      <c r="F2867">
        <v>59.982257842999999</v>
      </c>
      <c r="G2867">
        <v>1327.5634766000001</v>
      </c>
      <c r="H2867">
        <v>1325.5238036999999</v>
      </c>
      <c r="I2867">
        <v>1339.0153809000001</v>
      </c>
      <c r="J2867">
        <v>1336.6470947</v>
      </c>
      <c r="K2867">
        <v>0</v>
      </c>
      <c r="L2867">
        <v>2750</v>
      </c>
      <c r="M2867">
        <v>2750</v>
      </c>
      <c r="N2867">
        <v>0</v>
      </c>
    </row>
    <row r="2868" spans="1:14" x14ac:dyDescent="0.25">
      <c r="A2868">
        <v>1706</v>
      </c>
      <c r="B2868" s="1">
        <f>DATE(2015,1,1) + TIME(0,0,0)</f>
        <v>42005</v>
      </c>
      <c r="C2868">
        <v>80</v>
      </c>
      <c r="D2868">
        <v>76.511047363000003</v>
      </c>
      <c r="E2868">
        <v>60</v>
      </c>
      <c r="F2868">
        <v>59.982250213999997</v>
      </c>
      <c r="G2868">
        <v>1327.5321045000001</v>
      </c>
      <c r="H2868">
        <v>1325.484375</v>
      </c>
      <c r="I2868">
        <v>1339.010376</v>
      </c>
      <c r="J2868">
        <v>1336.6455077999999</v>
      </c>
      <c r="K2868">
        <v>0</v>
      </c>
      <c r="L2868">
        <v>2750</v>
      </c>
      <c r="M2868">
        <v>2750</v>
      </c>
      <c r="N2868">
        <v>0</v>
      </c>
    </row>
    <row r="2869" spans="1:14" x14ac:dyDescent="0.25">
      <c r="A2869">
        <v>1707.614474</v>
      </c>
      <c r="B2869" s="1">
        <f>DATE(2015,1,2) + TIME(14,44,50)</f>
        <v>42006.61446759259</v>
      </c>
      <c r="C2869">
        <v>80</v>
      </c>
      <c r="D2869">
        <v>76.438301085999996</v>
      </c>
      <c r="E2869">
        <v>60</v>
      </c>
      <c r="F2869">
        <v>59.982238770000002</v>
      </c>
      <c r="G2869">
        <v>1327.5227050999999</v>
      </c>
      <c r="H2869">
        <v>1325.4680175999999</v>
      </c>
      <c r="I2869">
        <v>1339.0098877</v>
      </c>
      <c r="J2869">
        <v>1336.6453856999999</v>
      </c>
      <c r="K2869">
        <v>0</v>
      </c>
      <c r="L2869">
        <v>2750</v>
      </c>
      <c r="M2869">
        <v>2750</v>
      </c>
      <c r="N2869">
        <v>0</v>
      </c>
    </row>
    <row r="2870" spans="1:14" x14ac:dyDescent="0.25">
      <c r="A2870">
        <v>1709.2507780000001</v>
      </c>
      <c r="B2870" s="1">
        <f>DATE(2015,1,4) + TIME(6,1,7)</f>
        <v>42008.250775462962</v>
      </c>
      <c r="C2870">
        <v>80</v>
      </c>
      <c r="D2870">
        <v>76.352005004999995</v>
      </c>
      <c r="E2870">
        <v>60</v>
      </c>
      <c r="F2870">
        <v>59.982223511000001</v>
      </c>
      <c r="G2870">
        <v>1327.4908447</v>
      </c>
      <c r="H2870">
        <v>1325.4265137</v>
      </c>
      <c r="I2870">
        <v>1339.0050048999999</v>
      </c>
      <c r="J2870">
        <v>1336.6439209</v>
      </c>
      <c r="K2870">
        <v>0</v>
      </c>
      <c r="L2870">
        <v>2750</v>
      </c>
      <c r="M2870">
        <v>2750</v>
      </c>
      <c r="N2870">
        <v>0</v>
      </c>
    </row>
    <row r="2871" spans="1:14" x14ac:dyDescent="0.25">
      <c r="A2871">
        <v>1710.9199169999999</v>
      </c>
      <c r="B2871" s="1">
        <f>DATE(2015,1,5) + TIME(22,4,40)</f>
        <v>42009.919907407406</v>
      </c>
      <c r="C2871">
        <v>80</v>
      </c>
      <c r="D2871">
        <v>76.260848999000004</v>
      </c>
      <c r="E2871">
        <v>60</v>
      </c>
      <c r="F2871">
        <v>59.982208252</v>
      </c>
      <c r="G2871">
        <v>1327.4575195</v>
      </c>
      <c r="H2871">
        <v>1325.3823242000001</v>
      </c>
      <c r="I2871">
        <v>1339.0001221</v>
      </c>
      <c r="J2871">
        <v>1336.6424560999999</v>
      </c>
      <c r="K2871">
        <v>0</v>
      </c>
      <c r="L2871">
        <v>2750</v>
      </c>
      <c r="M2871">
        <v>2750</v>
      </c>
      <c r="N2871">
        <v>0</v>
      </c>
    </row>
    <row r="2872" spans="1:14" x14ac:dyDescent="0.25">
      <c r="A2872">
        <v>1712.639864</v>
      </c>
      <c r="B2872" s="1">
        <f>DATE(2015,1,7) + TIME(15,21,24)</f>
        <v>42011.639861111114</v>
      </c>
      <c r="C2872">
        <v>80</v>
      </c>
      <c r="D2872">
        <v>76.166450499999996</v>
      </c>
      <c r="E2872">
        <v>60</v>
      </c>
      <c r="F2872">
        <v>59.982196807999998</v>
      </c>
      <c r="G2872">
        <v>1327.4238281</v>
      </c>
      <c r="H2872">
        <v>1325.3375243999999</v>
      </c>
      <c r="I2872">
        <v>1338.9952393000001</v>
      </c>
      <c r="J2872">
        <v>1336.6409911999999</v>
      </c>
      <c r="K2872">
        <v>0</v>
      </c>
      <c r="L2872">
        <v>2750</v>
      </c>
      <c r="M2872">
        <v>2750</v>
      </c>
      <c r="N2872">
        <v>0</v>
      </c>
    </row>
    <row r="2873" spans="1:14" x14ac:dyDescent="0.25">
      <c r="A2873">
        <v>1714.402593</v>
      </c>
      <c r="B2873" s="1">
        <f>DATE(2015,1,9) + TIME(9,39,44)</f>
        <v>42013.402592592596</v>
      </c>
      <c r="C2873">
        <v>80</v>
      </c>
      <c r="D2873">
        <v>76.068748474000003</v>
      </c>
      <c r="E2873">
        <v>60</v>
      </c>
      <c r="F2873">
        <v>59.982181549000003</v>
      </c>
      <c r="G2873">
        <v>1327.3897704999999</v>
      </c>
      <c r="H2873">
        <v>1325.2921143000001</v>
      </c>
      <c r="I2873">
        <v>1338.9903564000001</v>
      </c>
      <c r="J2873">
        <v>1336.6395264</v>
      </c>
      <c r="K2873">
        <v>0</v>
      </c>
      <c r="L2873">
        <v>2750</v>
      </c>
      <c r="M2873">
        <v>2750</v>
      </c>
      <c r="N2873">
        <v>0</v>
      </c>
    </row>
    <row r="2874" spans="1:14" x14ac:dyDescent="0.25">
      <c r="A2874">
        <v>1716.2141260000001</v>
      </c>
      <c r="B2874" s="1">
        <f>DATE(2015,1,11) + TIME(5,8,20)</f>
        <v>42015.214120370372</v>
      </c>
      <c r="C2874">
        <v>80</v>
      </c>
      <c r="D2874">
        <v>75.967864989999995</v>
      </c>
      <c r="E2874">
        <v>60</v>
      </c>
      <c r="F2874">
        <v>59.982166290000002</v>
      </c>
      <c r="G2874">
        <v>1327.3553466999999</v>
      </c>
      <c r="H2874">
        <v>1325.246582</v>
      </c>
      <c r="I2874">
        <v>1338.9854736</v>
      </c>
      <c r="J2874">
        <v>1336.6380615</v>
      </c>
      <c r="K2874">
        <v>0</v>
      </c>
      <c r="L2874">
        <v>2750</v>
      </c>
      <c r="M2874">
        <v>2750</v>
      </c>
      <c r="N2874">
        <v>0</v>
      </c>
    </row>
    <row r="2875" spans="1:14" x14ac:dyDescent="0.25">
      <c r="A2875">
        <v>1718.103566</v>
      </c>
      <c r="B2875" s="1">
        <f>DATE(2015,1,13) + TIME(2,29,8)</f>
        <v>42017.103564814817</v>
      </c>
      <c r="C2875">
        <v>80</v>
      </c>
      <c r="D2875">
        <v>75.863258361999996</v>
      </c>
      <c r="E2875">
        <v>60</v>
      </c>
      <c r="F2875">
        <v>59.982154846</v>
      </c>
      <c r="G2875">
        <v>1327.3208007999999</v>
      </c>
      <c r="H2875">
        <v>1325.2005615</v>
      </c>
      <c r="I2875">
        <v>1338.9805908000001</v>
      </c>
      <c r="J2875">
        <v>1336.6365966999999</v>
      </c>
      <c r="K2875">
        <v>0</v>
      </c>
      <c r="L2875">
        <v>2750</v>
      </c>
      <c r="M2875">
        <v>2750</v>
      </c>
      <c r="N2875">
        <v>0</v>
      </c>
    </row>
    <row r="2876" spans="1:14" x14ac:dyDescent="0.25">
      <c r="A2876">
        <v>1720.0018749999999</v>
      </c>
      <c r="B2876" s="1">
        <f>DATE(2015,1,15) + TIME(0,2,42)</f>
        <v>42019.001875000002</v>
      </c>
      <c r="C2876">
        <v>80</v>
      </c>
      <c r="D2876">
        <v>75.754653931000007</v>
      </c>
      <c r="E2876">
        <v>60</v>
      </c>
      <c r="F2876">
        <v>59.982139586999999</v>
      </c>
      <c r="G2876">
        <v>1327.2855225000001</v>
      </c>
      <c r="H2876">
        <v>1325.1540527</v>
      </c>
      <c r="I2876">
        <v>1338.9757079999999</v>
      </c>
      <c r="J2876">
        <v>1336.6351318</v>
      </c>
      <c r="K2876">
        <v>0</v>
      </c>
      <c r="L2876">
        <v>2750</v>
      </c>
      <c r="M2876">
        <v>2750</v>
      </c>
      <c r="N2876">
        <v>0</v>
      </c>
    </row>
    <row r="2877" spans="1:14" x14ac:dyDescent="0.25">
      <c r="A2877">
        <v>1721.936344</v>
      </c>
      <c r="B2877" s="1">
        <f>DATE(2015,1,16) + TIME(22,28,20)</f>
        <v>42020.936342592591</v>
      </c>
      <c r="C2877">
        <v>80</v>
      </c>
      <c r="D2877">
        <v>75.643928528000004</v>
      </c>
      <c r="E2877">
        <v>60</v>
      </c>
      <c r="F2877">
        <v>59.982128142999997</v>
      </c>
      <c r="G2877">
        <v>1327.2504882999999</v>
      </c>
      <c r="H2877">
        <v>1325.1075439000001</v>
      </c>
      <c r="I2877">
        <v>1338.9708252</v>
      </c>
      <c r="J2877">
        <v>1336.6336670000001</v>
      </c>
      <c r="K2877">
        <v>0</v>
      </c>
      <c r="L2877">
        <v>2750</v>
      </c>
      <c r="M2877">
        <v>2750</v>
      </c>
      <c r="N2877">
        <v>0</v>
      </c>
    </row>
    <row r="2878" spans="1:14" x14ac:dyDescent="0.25">
      <c r="A2878">
        <v>1723.9304729999999</v>
      </c>
      <c r="B2878" s="1">
        <f>DATE(2015,1,18) + TIME(22,19,52)</f>
        <v>42022.930462962962</v>
      </c>
      <c r="C2878">
        <v>80</v>
      </c>
      <c r="D2878">
        <v>75.530296325999998</v>
      </c>
      <c r="E2878">
        <v>60</v>
      </c>
      <c r="F2878">
        <v>59.982112884999999</v>
      </c>
      <c r="G2878">
        <v>1327.2155762</v>
      </c>
      <c r="H2878">
        <v>1325.0611572</v>
      </c>
      <c r="I2878">
        <v>1338.9659423999999</v>
      </c>
      <c r="J2878">
        <v>1336.6322021000001</v>
      </c>
      <c r="K2878">
        <v>0</v>
      </c>
      <c r="L2878">
        <v>2750</v>
      </c>
      <c r="M2878">
        <v>2750</v>
      </c>
      <c r="N2878">
        <v>0</v>
      </c>
    </row>
    <row r="2879" spans="1:14" x14ac:dyDescent="0.25">
      <c r="A2879">
        <v>1726.002293</v>
      </c>
      <c r="B2879" s="1">
        <f>DATE(2015,1,21) + TIME(0,3,18)</f>
        <v>42025.002291666664</v>
      </c>
      <c r="C2879">
        <v>80</v>
      </c>
      <c r="D2879">
        <v>75.412559509000005</v>
      </c>
      <c r="E2879">
        <v>60</v>
      </c>
      <c r="F2879">
        <v>59.982101440000001</v>
      </c>
      <c r="G2879">
        <v>1327.1804199000001</v>
      </c>
      <c r="H2879">
        <v>1325.0146483999999</v>
      </c>
      <c r="I2879">
        <v>1338.9609375</v>
      </c>
      <c r="J2879">
        <v>1336.6306152</v>
      </c>
      <c r="K2879">
        <v>0</v>
      </c>
      <c r="L2879">
        <v>2750</v>
      </c>
      <c r="M2879">
        <v>2750</v>
      </c>
      <c r="N2879">
        <v>0</v>
      </c>
    </row>
    <row r="2880" spans="1:14" x14ac:dyDescent="0.25">
      <c r="A2880">
        <v>1728.1134810000001</v>
      </c>
      <c r="B2880" s="1">
        <f>DATE(2015,1,23) + TIME(2,43,24)</f>
        <v>42027.11347222222</v>
      </c>
      <c r="C2880">
        <v>80</v>
      </c>
      <c r="D2880">
        <v>75.290229796999995</v>
      </c>
      <c r="E2880">
        <v>60</v>
      </c>
      <c r="F2880">
        <v>59.982089995999999</v>
      </c>
      <c r="G2880">
        <v>1327.1446533000001</v>
      </c>
      <c r="H2880">
        <v>1324.9675293</v>
      </c>
      <c r="I2880">
        <v>1338.9560547000001</v>
      </c>
      <c r="J2880">
        <v>1336.6291504000001</v>
      </c>
      <c r="K2880">
        <v>0</v>
      </c>
      <c r="L2880">
        <v>2750</v>
      </c>
      <c r="M2880">
        <v>2750</v>
      </c>
      <c r="N2880">
        <v>0</v>
      </c>
    </row>
    <row r="2881" spans="1:14" x14ac:dyDescent="0.25">
      <c r="A2881">
        <v>1730.272837</v>
      </c>
      <c r="B2881" s="1">
        <f>DATE(2015,1,25) + TIME(6,32,53)</f>
        <v>42029.272835648146</v>
      </c>
      <c r="C2881">
        <v>80</v>
      </c>
      <c r="D2881">
        <v>75.164466857999997</v>
      </c>
      <c r="E2881">
        <v>60</v>
      </c>
      <c r="F2881">
        <v>59.982074738000001</v>
      </c>
      <c r="G2881">
        <v>1327.1088867000001</v>
      </c>
      <c r="H2881">
        <v>1324.9202881000001</v>
      </c>
      <c r="I2881">
        <v>1338.9510498</v>
      </c>
      <c r="J2881">
        <v>1336.6275635</v>
      </c>
      <c r="K2881">
        <v>0</v>
      </c>
      <c r="L2881">
        <v>2750</v>
      </c>
      <c r="M2881">
        <v>2750</v>
      </c>
      <c r="N2881">
        <v>0</v>
      </c>
    </row>
    <row r="2882" spans="1:14" x14ac:dyDescent="0.25">
      <c r="A2882">
        <v>1732.4635229999999</v>
      </c>
      <c r="B2882" s="1">
        <f>DATE(2015,1,27) + TIME(11,7,28)</f>
        <v>42031.463518518518</v>
      </c>
      <c r="C2882">
        <v>80</v>
      </c>
      <c r="D2882">
        <v>75.035339355000005</v>
      </c>
      <c r="E2882">
        <v>60</v>
      </c>
      <c r="F2882">
        <v>59.982063293000003</v>
      </c>
      <c r="G2882">
        <v>1327.0729980000001</v>
      </c>
      <c r="H2882">
        <v>1324.8729248</v>
      </c>
      <c r="I2882">
        <v>1338.9460449000001</v>
      </c>
      <c r="J2882">
        <v>1336.6260986</v>
      </c>
      <c r="K2882">
        <v>0</v>
      </c>
      <c r="L2882">
        <v>2750</v>
      </c>
      <c r="M2882">
        <v>2750</v>
      </c>
      <c r="N2882">
        <v>0</v>
      </c>
    </row>
    <row r="2883" spans="1:14" x14ac:dyDescent="0.25">
      <c r="A2883">
        <v>1734.7013710000001</v>
      </c>
      <c r="B2883" s="1">
        <f>DATE(2015,1,29) + TIME(16,49,58)</f>
        <v>42033.701365740744</v>
      </c>
      <c r="C2883">
        <v>80</v>
      </c>
      <c r="D2883">
        <v>74.903175353999998</v>
      </c>
      <c r="E2883">
        <v>60</v>
      </c>
      <c r="F2883">
        <v>59.982051849000001</v>
      </c>
      <c r="G2883">
        <v>1327.0372314000001</v>
      </c>
      <c r="H2883">
        <v>1324.8258057</v>
      </c>
      <c r="I2883">
        <v>1338.9411620999999</v>
      </c>
      <c r="J2883">
        <v>1336.6245117000001</v>
      </c>
      <c r="K2883">
        <v>0</v>
      </c>
      <c r="L2883">
        <v>2750</v>
      </c>
      <c r="M2883">
        <v>2750</v>
      </c>
      <c r="N2883">
        <v>0</v>
      </c>
    </row>
    <row r="2884" spans="1:14" x14ac:dyDescent="0.25">
      <c r="A2884">
        <v>1737</v>
      </c>
      <c r="B2884" s="1">
        <f>DATE(2015,2,1) + TIME(0,0,0)</f>
        <v>42036</v>
      </c>
      <c r="C2884">
        <v>80</v>
      </c>
      <c r="D2884">
        <v>74.767356872999997</v>
      </c>
      <c r="E2884">
        <v>60</v>
      </c>
      <c r="F2884">
        <v>59.982040404999999</v>
      </c>
      <c r="G2884">
        <v>1327.0015868999999</v>
      </c>
      <c r="H2884">
        <v>1324.7788086</v>
      </c>
      <c r="I2884">
        <v>1338.9362793</v>
      </c>
      <c r="J2884">
        <v>1336.6230469</v>
      </c>
      <c r="K2884">
        <v>0</v>
      </c>
      <c r="L2884">
        <v>2750</v>
      </c>
      <c r="M2884">
        <v>2750</v>
      </c>
      <c r="N2884">
        <v>0</v>
      </c>
    </row>
    <row r="2885" spans="1:14" x14ac:dyDescent="0.25">
      <c r="A2885">
        <v>1739.2984309999999</v>
      </c>
      <c r="B2885" s="1">
        <f>DATE(2015,2,3) + TIME(7,9,44)</f>
        <v>42038.298425925925</v>
      </c>
      <c r="C2885">
        <v>80</v>
      </c>
      <c r="D2885">
        <v>74.627876282000003</v>
      </c>
      <c r="E2885">
        <v>60</v>
      </c>
      <c r="F2885">
        <v>59.982028960999997</v>
      </c>
      <c r="G2885">
        <v>1326.9656981999999</v>
      </c>
      <c r="H2885">
        <v>1324.7316894999999</v>
      </c>
      <c r="I2885">
        <v>1338.9312743999999</v>
      </c>
      <c r="J2885">
        <v>1336.6214600000001</v>
      </c>
      <c r="K2885">
        <v>0</v>
      </c>
      <c r="L2885">
        <v>2750</v>
      </c>
      <c r="M2885">
        <v>2750</v>
      </c>
      <c r="N2885">
        <v>0</v>
      </c>
    </row>
    <row r="2886" spans="1:14" x14ac:dyDescent="0.25">
      <c r="A2886">
        <v>1741.7523309999999</v>
      </c>
      <c r="B2886" s="1">
        <f>DATE(2015,2,5) + TIME(18,3,21)</f>
        <v>42040.752326388887</v>
      </c>
      <c r="C2886">
        <v>80</v>
      </c>
      <c r="D2886">
        <v>74.485565186000002</v>
      </c>
      <c r="E2886">
        <v>60</v>
      </c>
      <c r="F2886">
        <v>59.982021332000002</v>
      </c>
      <c r="G2886">
        <v>1326.9304199000001</v>
      </c>
      <c r="H2886">
        <v>1324.6850586</v>
      </c>
      <c r="I2886">
        <v>1338.9265137</v>
      </c>
      <c r="J2886">
        <v>1336.6198730000001</v>
      </c>
      <c r="K2886">
        <v>0</v>
      </c>
      <c r="L2886">
        <v>2750</v>
      </c>
      <c r="M2886">
        <v>2750</v>
      </c>
      <c r="N2886">
        <v>0</v>
      </c>
    </row>
    <row r="2887" spans="1:14" x14ac:dyDescent="0.25">
      <c r="A2887">
        <v>1744.2580399999999</v>
      </c>
      <c r="B2887" s="1">
        <f>DATE(2015,2,8) + TIME(6,11,34)</f>
        <v>42043.258032407408</v>
      </c>
      <c r="C2887">
        <v>80</v>
      </c>
      <c r="D2887">
        <v>74.33531189</v>
      </c>
      <c r="E2887">
        <v>60</v>
      </c>
      <c r="F2887">
        <v>59.982009888</v>
      </c>
      <c r="G2887">
        <v>1326.8941649999999</v>
      </c>
      <c r="H2887">
        <v>1324.6375731999999</v>
      </c>
      <c r="I2887">
        <v>1338.9213867000001</v>
      </c>
      <c r="J2887">
        <v>1336.6182861</v>
      </c>
      <c r="K2887">
        <v>0</v>
      </c>
      <c r="L2887">
        <v>2750</v>
      </c>
      <c r="M2887">
        <v>2750</v>
      </c>
      <c r="N2887">
        <v>0</v>
      </c>
    </row>
    <row r="2888" spans="1:14" x14ac:dyDescent="0.25">
      <c r="A2888">
        <v>1746.83356</v>
      </c>
      <c r="B2888" s="1">
        <f>DATE(2015,2,10) + TIME(20,0,19)</f>
        <v>42045.833553240744</v>
      </c>
      <c r="C2888">
        <v>80</v>
      </c>
      <c r="D2888">
        <v>74.180183411000002</v>
      </c>
      <c r="E2888">
        <v>60</v>
      </c>
      <c r="F2888">
        <v>59.981998443999998</v>
      </c>
      <c r="G2888">
        <v>1326.8575439000001</v>
      </c>
      <c r="H2888">
        <v>1324.5895995999999</v>
      </c>
      <c r="I2888">
        <v>1338.9163818</v>
      </c>
      <c r="J2888">
        <v>1336.6165771000001</v>
      </c>
      <c r="K2888">
        <v>0</v>
      </c>
      <c r="L2888">
        <v>2750</v>
      </c>
      <c r="M2888">
        <v>2750</v>
      </c>
      <c r="N2888">
        <v>0</v>
      </c>
    </row>
    <row r="2889" spans="1:14" x14ac:dyDescent="0.25">
      <c r="A2889">
        <v>1749.498797</v>
      </c>
      <c r="B2889" s="1">
        <f>DATE(2015,2,13) + TIME(11,58,16)</f>
        <v>42048.498796296299</v>
      </c>
      <c r="C2889">
        <v>80</v>
      </c>
      <c r="D2889">
        <v>74.019767760999997</v>
      </c>
      <c r="E2889">
        <v>60</v>
      </c>
      <c r="F2889">
        <v>59.981990814</v>
      </c>
      <c r="G2889">
        <v>1326.8208007999999</v>
      </c>
      <c r="H2889">
        <v>1324.5413818</v>
      </c>
      <c r="I2889">
        <v>1338.9113769999999</v>
      </c>
      <c r="J2889">
        <v>1336.6149902</v>
      </c>
      <c r="K2889">
        <v>0</v>
      </c>
      <c r="L2889">
        <v>2750</v>
      </c>
      <c r="M2889">
        <v>2750</v>
      </c>
      <c r="N2889">
        <v>0</v>
      </c>
    </row>
    <row r="2890" spans="1:14" x14ac:dyDescent="0.25">
      <c r="A2890">
        <v>1752.256533</v>
      </c>
      <c r="B2890" s="1">
        <f>DATE(2015,2,16) + TIME(6,9,24)</f>
        <v>42051.256527777776</v>
      </c>
      <c r="C2890">
        <v>80</v>
      </c>
      <c r="D2890">
        <v>73.853027343999997</v>
      </c>
      <c r="E2890">
        <v>60</v>
      </c>
      <c r="F2890">
        <v>59.981979369999998</v>
      </c>
      <c r="G2890">
        <v>1326.7836914</v>
      </c>
      <c r="H2890">
        <v>1324.4927978999999</v>
      </c>
      <c r="I2890">
        <v>1338.9061279</v>
      </c>
      <c r="J2890">
        <v>1336.6132812000001</v>
      </c>
      <c r="K2890">
        <v>0</v>
      </c>
      <c r="L2890">
        <v>2750</v>
      </c>
      <c r="M2890">
        <v>2750</v>
      </c>
      <c r="N2890">
        <v>0</v>
      </c>
    </row>
    <row r="2891" spans="1:14" x14ac:dyDescent="0.25">
      <c r="A2891">
        <v>1755.042207</v>
      </c>
      <c r="B2891" s="1">
        <f>DATE(2015,2,19) + TIME(1,0,46)</f>
        <v>42054.042199074072</v>
      </c>
      <c r="C2891">
        <v>80</v>
      </c>
      <c r="D2891">
        <v>73.680236816000004</v>
      </c>
      <c r="E2891">
        <v>60</v>
      </c>
      <c r="F2891">
        <v>59.981971741000002</v>
      </c>
      <c r="G2891">
        <v>1326.7462158000001</v>
      </c>
      <c r="H2891">
        <v>1324.4437256000001</v>
      </c>
      <c r="I2891">
        <v>1338.901001</v>
      </c>
      <c r="J2891">
        <v>1336.6114502</v>
      </c>
      <c r="K2891">
        <v>0</v>
      </c>
      <c r="L2891">
        <v>2750</v>
      </c>
      <c r="M2891">
        <v>2750</v>
      </c>
      <c r="N2891">
        <v>0</v>
      </c>
    </row>
    <row r="2892" spans="1:14" x14ac:dyDescent="0.25">
      <c r="A2892">
        <v>1757.8695520000001</v>
      </c>
      <c r="B2892" s="1">
        <f>DATE(2015,2,21) + TIME(20,52,9)</f>
        <v>42056.86954861111</v>
      </c>
      <c r="C2892">
        <v>80</v>
      </c>
      <c r="D2892">
        <v>73.504074097</v>
      </c>
      <c r="E2892">
        <v>60</v>
      </c>
      <c r="F2892">
        <v>59.981964111000003</v>
      </c>
      <c r="G2892">
        <v>1326.7089844</v>
      </c>
      <c r="H2892">
        <v>1324.3948975000001</v>
      </c>
      <c r="I2892">
        <v>1338.895874</v>
      </c>
      <c r="J2892">
        <v>1336.6097411999999</v>
      </c>
      <c r="K2892">
        <v>0</v>
      </c>
      <c r="L2892">
        <v>2750</v>
      </c>
      <c r="M2892">
        <v>2750</v>
      </c>
      <c r="N2892">
        <v>0</v>
      </c>
    </row>
    <row r="2893" spans="1:14" x14ac:dyDescent="0.25">
      <c r="A2893">
        <v>1760.744966</v>
      </c>
      <c r="B2893" s="1">
        <f>DATE(2015,2,24) + TIME(17,52,45)</f>
        <v>42059.74496527778</v>
      </c>
      <c r="C2893">
        <v>80</v>
      </c>
      <c r="D2893">
        <v>73.324279785000002</v>
      </c>
      <c r="E2893">
        <v>60</v>
      </c>
      <c r="F2893">
        <v>59.981956482000001</v>
      </c>
      <c r="G2893">
        <v>1326.6721190999999</v>
      </c>
      <c r="H2893">
        <v>1324.3464355000001</v>
      </c>
      <c r="I2893">
        <v>1338.8907471</v>
      </c>
      <c r="J2893">
        <v>1336.6079102000001</v>
      </c>
      <c r="K2893">
        <v>0</v>
      </c>
      <c r="L2893">
        <v>2750</v>
      </c>
      <c r="M2893">
        <v>2750</v>
      </c>
      <c r="N2893">
        <v>0</v>
      </c>
    </row>
    <row r="2894" spans="1:14" x14ac:dyDescent="0.25">
      <c r="A2894">
        <v>1763.693266</v>
      </c>
      <c r="B2894" s="1">
        <f>DATE(2015,2,27) + TIME(16,38,18)</f>
        <v>42062.69326388889</v>
      </c>
      <c r="C2894">
        <v>80</v>
      </c>
      <c r="D2894">
        <v>73.140235900999997</v>
      </c>
      <c r="E2894">
        <v>60</v>
      </c>
      <c r="F2894">
        <v>59.981948852999999</v>
      </c>
      <c r="G2894">
        <v>1326.635376</v>
      </c>
      <c r="H2894">
        <v>1324.2984618999999</v>
      </c>
      <c r="I2894">
        <v>1338.8856201000001</v>
      </c>
      <c r="J2894">
        <v>1336.6062012</v>
      </c>
      <c r="K2894">
        <v>0</v>
      </c>
      <c r="L2894">
        <v>2750</v>
      </c>
      <c r="M2894">
        <v>2750</v>
      </c>
      <c r="N2894">
        <v>0</v>
      </c>
    </row>
    <row r="2895" spans="1:14" x14ac:dyDescent="0.25">
      <c r="A2895">
        <v>1765</v>
      </c>
      <c r="B2895" s="1">
        <f>DATE(2015,3,1) + TIME(0,0,0)</f>
        <v>42064</v>
      </c>
      <c r="C2895">
        <v>80</v>
      </c>
      <c r="D2895">
        <v>72.979652404999996</v>
      </c>
      <c r="E2895">
        <v>60</v>
      </c>
      <c r="F2895">
        <v>59.981933593999997</v>
      </c>
      <c r="G2895">
        <v>1326.5992432</v>
      </c>
      <c r="H2895">
        <v>1324.2521973</v>
      </c>
      <c r="I2895">
        <v>1338.8804932</v>
      </c>
      <c r="J2895">
        <v>1336.6042480000001</v>
      </c>
      <c r="K2895">
        <v>0</v>
      </c>
      <c r="L2895">
        <v>2750</v>
      </c>
      <c r="M2895">
        <v>2750</v>
      </c>
      <c r="N2895">
        <v>0</v>
      </c>
    </row>
    <row r="2896" spans="1:14" x14ac:dyDescent="0.25">
      <c r="A2896">
        <v>1768.046859</v>
      </c>
      <c r="B2896" s="1">
        <f>DATE(2015,3,4) + TIME(1,7,28)</f>
        <v>42067.046851851854</v>
      </c>
      <c r="C2896">
        <v>80</v>
      </c>
      <c r="D2896">
        <v>72.855323791999993</v>
      </c>
      <c r="E2896">
        <v>60</v>
      </c>
      <c r="F2896">
        <v>59.981937408</v>
      </c>
      <c r="G2896">
        <v>1326.5775146000001</v>
      </c>
      <c r="H2896">
        <v>1324.2197266000001</v>
      </c>
      <c r="I2896">
        <v>1338.8782959</v>
      </c>
      <c r="J2896">
        <v>1336.6035156</v>
      </c>
      <c r="K2896">
        <v>0</v>
      </c>
      <c r="L2896">
        <v>2750</v>
      </c>
      <c r="M2896">
        <v>2750</v>
      </c>
      <c r="N2896">
        <v>0</v>
      </c>
    </row>
    <row r="2897" spans="1:14" x14ac:dyDescent="0.25">
      <c r="A2897">
        <v>1771.30205</v>
      </c>
      <c r="B2897" s="1">
        <f>DATE(2015,3,7) + TIME(7,14,57)</f>
        <v>42070.302048611113</v>
      </c>
      <c r="C2897">
        <v>80</v>
      </c>
      <c r="D2897">
        <v>72.665725707999997</v>
      </c>
      <c r="E2897">
        <v>60</v>
      </c>
      <c r="F2897">
        <v>59.981933593999997</v>
      </c>
      <c r="G2897">
        <v>1326.5455322</v>
      </c>
      <c r="H2897">
        <v>1324.1802978999999</v>
      </c>
      <c r="I2897">
        <v>1338.8731689000001</v>
      </c>
      <c r="J2897">
        <v>1336.6016846</v>
      </c>
      <c r="K2897">
        <v>0</v>
      </c>
      <c r="L2897">
        <v>2750</v>
      </c>
      <c r="M2897">
        <v>2750</v>
      </c>
      <c r="N2897">
        <v>0</v>
      </c>
    </row>
    <row r="2898" spans="1:14" x14ac:dyDescent="0.25">
      <c r="A2898">
        <v>1774.6575700000001</v>
      </c>
      <c r="B2898" s="1">
        <f>DATE(2015,3,10) + TIME(15,46,54)</f>
        <v>42073.657569444447</v>
      </c>
      <c r="C2898">
        <v>80</v>
      </c>
      <c r="D2898">
        <v>72.455314635999997</v>
      </c>
      <c r="E2898">
        <v>60</v>
      </c>
      <c r="F2898">
        <v>59.981925963999998</v>
      </c>
      <c r="G2898">
        <v>1326.5086670000001</v>
      </c>
      <c r="H2898">
        <v>1324.1326904</v>
      </c>
      <c r="I2898">
        <v>1338.8679199000001</v>
      </c>
      <c r="J2898">
        <v>1336.5997314000001</v>
      </c>
      <c r="K2898">
        <v>0</v>
      </c>
      <c r="L2898">
        <v>2750</v>
      </c>
      <c r="M2898">
        <v>2750</v>
      </c>
      <c r="N2898">
        <v>0</v>
      </c>
    </row>
    <row r="2899" spans="1:14" x14ac:dyDescent="0.25">
      <c r="A2899">
        <v>1778.0694820000001</v>
      </c>
      <c r="B2899" s="1">
        <f>DATE(2015,3,14) + TIME(1,40,3)</f>
        <v>42077.069479166668</v>
      </c>
      <c r="C2899">
        <v>80</v>
      </c>
      <c r="D2899">
        <v>72.235740661999998</v>
      </c>
      <c r="E2899">
        <v>60</v>
      </c>
      <c r="F2899">
        <v>59.981922150000003</v>
      </c>
      <c r="G2899">
        <v>1326.4707031</v>
      </c>
      <c r="H2899">
        <v>1324.0832519999999</v>
      </c>
      <c r="I2899">
        <v>1338.8624268000001</v>
      </c>
      <c r="J2899">
        <v>1336.5976562000001</v>
      </c>
      <c r="K2899">
        <v>0</v>
      </c>
      <c r="L2899">
        <v>2750</v>
      </c>
      <c r="M2899">
        <v>2750</v>
      </c>
      <c r="N2899">
        <v>0</v>
      </c>
    </row>
    <row r="2900" spans="1:14" x14ac:dyDescent="0.25">
      <c r="A2900">
        <v>1781.559158</v>
      </c>
      <c r="B2900" s="1">
        <f>DATE(2015,3,17) + TIME(13,25,11)</f>
        <v>42080.559155092589</v>
      </c>
      <c r="C2900">
        <v>80</v>
      </c>
      <c r="D2900">
        <v>72.009910583000007</v>
      </c>
      <c r="E2900">
        <v>60</v>
      </c>
      <c r="F2900">
        <v>59.981918335000003</v>
      </c>
      <c r="G2900">
        <v>1326.4328613</v>
      </c>
      <c r="H2900">
        <v>1324.0338135</v>
      </c>
      <c r="I2900">
        <v>1338.8570557</v>
      </c>
      <c r="J2900">
        <v>1336.5955810999999</v>
      </c>
      <c r="K2900">
        <v>0</v>
      </c>
      <c r="L2900">
        <v>2750</v>
      </c>
      <c r="M2900">
        <v>2750</v>
      </c>
      <c r="N2900">
        <v>0</v>
      </c>
    </row>
    <row r="2901" spans="1:14" x14ac:dyDescent="0.25">
      <c r="A2901">
        <v>1785.154773</v>
      </c>
      <c r="B2901" s="1">
        <f>DATE(2015,3,21) + TIME(3,42,52)</f>
        <v>42084.154768518521</v>
      </c>
      <c r="C2901">
        <v>80</v>
      </c>
      <c r="D2901">
        <v>71.777465820000003</v>
      </c>
      <c r="E2901">
        <v>60</v>
      </c>
      <c r="F2901">
        <v>59.981914519999997</v>
      </c>
      <c r="G2901">
        <v>1326.3952637</v>
      </c>
      <c r="H2901">
        <v>1323.9846190999999</v>
      </c>
      <c r="I2901">
        <v>1338.8516846</v>
      </c>
      <c r="J2901">
        <v>1336.5935059000001</v>
      </c>
      <c r="K2901">
        <v>0</v>
      </c>
      <c r="L2901">
        <v>2750</v>
      </c>
      <c r="M2901">
        <v>2750</v>
      </c>
      <c r="N2901">
        <v>0</v>
      </c>
    </row>
    <row r="2902" spans="1:14" x14ac:dyDescent="0.25">
      <c r="A2902">
        <v>1788.78567</v>
      </c>
      <c r="B2902" s="1">
        <f>DATE(2015,3,24) + TIME(18,51,21)</f>
        <v>42087.78565972222</v>
      </c>
      <c r="C2902">
        <v>80</v>
      </c>
      <c r="D2902">
        <v>71.536193847999996</v>
      </c>
      <c r="E2902">
        <v>60</v>
      </c>
      <c r="F2902">
        <v>59.981910706000001</v>
      </c>
      <c r="G2902">
        <v>1326.3576660000001</v>
      </c>
      <c r="H2902">
        <v>1323.9354248</v>
      </c>
      <c r="I2902">
        <v>1338.8461914</v>
      </c>
      <c r="J2902">
        <v>1336.5913086</v>
      </c>
      <c r="K2902">
        <v>0</v>
      </c>
      <c r="L2902">
        <v>2750</v>
      </c>
      <c r="M2902">
        <v>2750</v>
      </c>
      <c r="N2902">
        <v>0</v>
      </c>
    </row>
    <row r="2903" spans="1:14" x14ac:dyDescent="0.25">
      <c r="A2903">
        <v>1792.485529</v>
      </c>
      <c r="B2903" s="1">
        <f>DATE(2015,3,28) + TIME(11,39,9)</f>
        <v>42091.485520833332</v>
      </c>
      <c r="C2903">
        <v>80</v>
      </c>
      <c r="D2903">
        <v>71.290840149000005</v>
      </c>
      <c r="E2903">
        <v>60</v>
      </c>
      <c r="F2903">
        <v>59.981906891000001</v>
      </c>
      <c r="G2903">
        <v>1326.3205565999999</v>
      </c>
      <c r="H2903">
        <v>1323.8868408000001</v>
      </c>
      <c r="I2903">
        <v>1338.8408202999999</v>
      </c>
      <c r="J2903">
        <v>1336.5891113</v>
      </c>
      <c r="K2903">
        <v>0</v>
      </c>
      <c r="L2903">
        <v>2750</v>
      </c>
      <c r="M2903">
        <v>2750</v>
      </c>
      <c r="N2903">
        <v>0</v>
      </c>
    </row>
    <row r="2904" spans="1:14" x14ac:dyDescent="0.25">
      <c r="A2904">
        <v>1796</v>
      </c>
      <c r="B2904" s="1">
        <f>DATE(2015,4,1) + TIME(0,0,0)</f>
        <v>42095</v>
      </c>
      <c r="C2904">
        <v>80</v>
      </c>
      <c r="D2904">
        <v>71.039260863999999</v>
      </c>
      <c r="E2904">
        <v>60</v>
      </c>
      <c r="F2904">
        <v>59.981903076000002</v>
      </c>
      <c r="G2904">
        <v>1326.2839355000001</v>
      </c>
      <c r="H2904">
        <v>1323.8388672000001</v>
      </c>
      <c r="I2904">
        <v>1338.8354492000001</v>
      </c>
      <c r="J2904">
        <v>1336.5869141000001</v>
      </c>
      <c r="K2904">
        <v>0</v>
      </c>
      <c r="L2904">
        <v>2750</v>
      </c>
      <c r="M2904">
        <v>2750</v>
      </c>
      <c r="N290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2022-06-27T11:57:33Z</dcterms:created>
  <dcterms:modified xsi:type="dcterms:W3CDTF">2022-06-27T11:58:25Z</dcterms:modified>
</cp:coreProperties>
</file>