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E6288A87-1696-4850-8184-A0ACDD904030}" xr6:coauthVersionLast="47" xr6:coauthVersionMax="47" xr10:uidLastSave="{00000000-0000-0000-0000-000000000000}"/>
  <bookViews>
    <workbookView xWindow="1515" yWindow="3210" windowWidth="21600" windowHeight="11385" xr2:uid="{6469982D-D25D-475C-A38C-F16E950E2AC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83" i="1" l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<sst xmlns="http://schemas.openxmlformats.org/spreadsheetml/2006/main" count="15" uniqueCount="15">
  <si>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MODEL\SCENARIOS\2022\Parameterstudy_perm_storV_dT\perm100_V1000_dt30.sr3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</si>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</sst>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48B11-B8F0-425C-989D-766FF5697E98}" name="Table1" displayName="Table1" ref="A3:N2683" totalsRowShown="0">
  <autoFilter ref="A3:N2683" xr:uid="{8EC48B11-B8F0-425C-989D-766FF5697E98}"/>
  <tableColumns count="14">
    <tableColumn id="1" xr3:uid="{ADB0F808-DD61-43CD-8DE7-7F61EDA7ABF2}" name="Time (day)"/>
    <tableColumn id="2" xr3:uid="{C1AE3681-2ECC-466C-AD3E-4DA5EEF29133}" name="Date" dataDxfId="0"/>
    <tableColumn id="3" xr3:uid="{9018002C-F32F-4BC5-BBCA-5E000064C05A}" name="Hot well INJ-Well bottom hole temperature (C)"/>
    <tableColumn id="4" xr3:uid="{0BB1894B-9FB1-42A8-B83B-66589A90A7CD}" name="Hot well PROD-Well bottom hole temperature (C)"/>
    <tableColumn id="5" xr3:uid="{0FF3701D-5D9A-4EC3-803E-3FEABB20BE1A}" name="Warm well INJ-Well bottom hole temperature (C)"/>
    <tableColumn id="6" xr3:uid="{17BB952A-B16A-47E3-814C-4DA87B001420}" name="Warm well PROD-Well bottom hole temperature (C)"/>
    <tableColumn id="7" xr3:uid="{15498760-BD31-4327-A1DD-CBB1B5718F6B}" name="Hot well INJ-Well Bottom-hole Pressure (kPa)"/>
    <tableColumn id="8" xr3:uid="{95A05666-A7F5-4224-B5A2-337539DFCA5F}" name="Hot well PROD-Well Bottom-hole Pressure (kPa)"/>
    <tableColumn id="9" xr3:uid="{E0B368FA-699F-46CC-AE11-9261BB8E137F}" name="Warm well INJ-Well Bottom-hole Pressure (kPa)"/>
    <tableColumn id="10" xr3:uid="{FA437883-F5F6-48DC-8678-8E0E5ED2DD0D}" name="Warm well PROD-Well Bottom-hole Pressure (kPa)"/>
    <tableColumn id="11" xr3:uid="{523E31F9-2263-47FA-ADC8-926489CBB0F7}" name="Hot well INJ-Fluid Rate SC (m³/day)"/>
    <tableColumn id="12" xr3:uid="{DD4FC044-5207-4012-9B93-804CC136A7D0}" name="Hot well PROD-Fluid Rate SC (m³/day)"/>
    <tableColumn id="13" xr3:uid="{8F902AEA-92D5-4B8D-91AC-F67F59C1F692}" name="Warm well INJ-Fluid Rate SC (m³/day)"/>
    <tableColumn id="14" xr3:uid="{A8EFABF2-548E-404F-83C9-54301C0A2AF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09A2-9F23-4239-84C0-B05D03B2F99B}">
  <dimension ref="A1:N2683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15.000127792000001</v>
      </c>
      <c r="E4">
        <v>50</v>
      </c>
      <c r="F4">
        <v>14.999956130999999</v>
      </c>
      <c r="G4">
        <v>1334.3566894999999</v>
      </c>
      <c r="H4">
        <v>1329.8388672000001</v>
      </c>
      <c r="I4">
        <v>1328.9821777</v>
      </c>
      <c r="J4">
        <v>1324.4637451000001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15.000468253999999</v>
      </c>
      <c r="E5">
        <v>50</v>
      </c>
      <c r="F5">
        <v>14.999868393</v>
      </c>
      <c r="G5">
        <v>1335.2095947</v>
      </c>
      <c r="H5">
        <v>1330.6918945</v>
      </c>
      <c r="I5">
        <v>1328.1328125</v>
      </c>
      <c r="J5">
        <v>1323.6145019999999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15.001349448999999</v>
      </c>
      <c r="E6">
        <v>50</v>
      </c>
      <c r="F6">
        <v>14.999744415</v>
      </c>
      <c r="G6">
        <v>1336.4263916</v>
      </c>
      <c r="H6">
        <v>1331.9088135</v>
      </c>
      <c r="I6">
        <v>1326.9211425999999</v>
      </c>
      <c r="J6">
        <v>1322.4029541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15.003754616</v>
      </c>
      <c r="E7">
        <v>50</v>
      </c>
      <c r="F7">
        <v>14.999608994000001</v>
      </c>
      <c r="G7">
        <v>1337.7486572</v>
      </c>
      <c r="H7">
        <v>1333.2314452999999</v>
      </c>
      <c r="I7">
        <v>1325.604126</v>
      </c>
      <c r="J7">
        <v>1321.0860596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15.010694504</v>
      </c>
      <c r="E8">
        <v>50</v>
      </c>
      <c r="F8">
        <v>14.999474525</v>
      </c>
      <c r="G8">
        <v>1339.0566406</v>
      </c>
      <c r="H8">
        <v>1334.5401611</v>
      </c>
      <c r="I8">
        <v>1324.3006591999999</v>
      </c>
      <c r="J8">
        <v>1319.7827147999999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15.031238556</v>
      </c>
      <c r="E9">
        <v>50</v>
      </c>
      <c r="F9">
        <v>14.999341964999999</v>
      </c>
      <c r="G9">
        <v>1340.3469238</v>
      </c>
      <c r="H9">
        <v>1335.8328856999999</v>
      </c>
      <c r="I9">
        <v>1323.0123291</v>
      </c>
      <c r="J9">
        <v>1318.4943848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15.092547417</v>
      </c>
      <c r="E10">
        <v>50</v>
      </c>
      <c r="F10">
        <v>14.99921608</v>
      </c>
      <c r="G10">
        <v>1341.5744629000001</v>
      </c>
      <c r="H10">
        <v>1337.0673827999999</v>
      </c>
      <c r="I10">
        <v>1321.7797852000001</v>
      </c>
      <c r="J10">
        <v>1317.2618408000001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15.275732039999999</v>
      </c>
      <c r="E11">
        <v>50</v>
      </c>
      <c r="F11">
        <v>14.999115944</v>
      </c>
      <c r="G11">
        <v>1342.5412598</v>
      </c>
      <c r="H11">
        <v>1338.0550536999999</v>
      </c>
      <c r="I11">
        <v>1320.7930908000001</v>
      </c>
      <c r="J11">
        <v>1316.2751464999999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15.821274756999999</v>
      </c>
      <c r="E12">
        <v>50</v>
      </c>
      <c r="F12">
        <v>14.999063491999999</v>
      </c>
      <c r="G12">
        <v>1343.0231934000001</v>
      </c>
      <c r="H12">
        <v>1338.5982666</v>
      </c>
      <c r="I12">
        <v>1320.2624512</v>
      </c>
      <c r="J12">
        <v>1315.7446289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2.1867999999999999E-2</v>
      </c>
      <c r="B13" s="1">
        <f>DATE(2010,5,1) + TIME(0,31,29)</f>
        <v>40299.021863425929</v>
      </c>
      <c r="C13">
        <v>80</v>
      </c>
      <c r="D13">
        <v>16.809078217</v>
      </c>
      <c r="E13">
        <v>50</v>
      </c>
      <c r="F13">
        <v>14.999053955000001</v>
      </c>
      <c r="G13">
        <v>1343.0513916</v>
      </c>
      <c r="H13">
        <v>1338.7304687999999</v>
      </c>
      <c r="I13">
        <v>1320.1318358999999</v>
      </c>
      <c r="J13">
        <v>1315.6138916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3.4042999999999997E-2</v>
      </c>
      <c r="B14" s="1">
        <f>DATE(2010,5,1) + TIME(0,49,1)</f>
        <v>40299.034039351849</v>
      </c>
      <c r="C14">
        <v>80</v>
      </c>
      <c r="D14">
        <v>17.798984527999998</v>
      </c>
      <c r="E14">
        <v>50</v>
      </c>
      <c r="F14">
        <v>14.999056816</v>
      </c>
      <c r="G14">
        <v>1342.9639893000001</v>
      </c>
      <c r="H14">
        <v>1338.7355957</v>
      </c>
      <c r="I14">
        <v>1320.1157227000001</v>
      </c>
      <c r="J14">
        <v>1315.5977783000001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4.6342000000000001E-2</v>
      </c>
      <c r="B15" s="1">
        <f>DATE(2010,5,1) + TIME(1,6,43)</f>
        <v>40299.046331018515</v>
      </c>
      <c r="C15">
        <v>80</v>
      </c>
      <c r="D15">
        <v>18.788957595999999</v>
      </c>
      <c r="E15">
        <v>50</v>
      </c>
      <c r="F15">
        <v>14.999060631000001</v>
      </c>
      <c r="G15">
        <v>1342.8568115</v>
      </c>
      <c r="H15">
        <v>1338.7160644999999</v>
      </c>
      <c r="I15">
        <v>1320.1154785000001</v>
      </c>
      <c r="J15">
        <v>1315.5974120999999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5.8765999999999999E-2</v>
      </c>
      <c r="B16" s="1">
        <f>DATE(2010,5,1) + TIME(1,24,37)</f>
        <v>40299.058761574073</v>
      </c>
      <c r="C16">
        <v>80</v>
      </c>
      <c r="D16">
        <v>19.778976440000001</v>
      </c>
      <c r="E16">
        <v>50</v>
      </c>
      <c r="F16">
        <v>14.999064445</v>
      </c>
      <c r="G16">
        <v>1342.7515868999999</v>
      </c>
      <c r="H16">
        <v>1338.6933594</v>
      </c>
      <c r="I16">
        <v>1320.1165771000001</v>
      </c>
      <c r="J16">
        <v>1315.5985106999999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7.1315000000000003E-2</v>
      </c>
      <c r="B17" s="1">
        <f>DATE(2010,5,1) + TIME(1,42,41)</f>
        <v>40299.07130787037</v>
      </c>
      <c r="C17">
        <v>80</v>
      </c>
      <c r="D17">
        <v>20.769718170000001</v>
      </c>
      <c r="E17">
        <v>50</v>
      </c>
      <c r="F17">
        <v>14.99906826</v>
      </c>
      <c r="G17">
        <v>1342.6527100000001</v>
      </c>
      <c r="H17">
        <v>1338.6726074000001</v>
      </c>
      <c r="I17">
        <v>1320.1174315999999</v>
      </c>
      <c r="J17">
        <v>1315.5993652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8.3981E-2</v>
      </c>
      <c r="B18" s="1">
        <f>DATE(2010,5,1) + TIME(2,0,55)</f>
        <v>40299.083969907406</v>
      </c>
      <c r="C18">
        <v>80</v>
      </c>
      <c r="D18">
        <v>21.760021210000001</v>
      </c>
      <c r="E18">
        <v>50</v>
      </c>
      <c r="F18">
        <v>14.999072075000001</v>
      </c>
      <c r="G18">
        <v>1342.5611572</v>
      </c>
      <c r="H18">
        <v>1338.6549072</v>
      </c>
      <c r="I18">
        <v>1320.1181641000001</v>
      </c>
      <c r="J18">
        <v>1315.5999756000001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9.6770999999999996E-2</v>
      </c>
      <c r="B19" s="1">
        <f>DATE(2010,5,1) + TIME(2,19,21)</f>
        <v>40299.096770833334</v>
      </c>
      <c r="C19">
        <v>80</v>
      </c>
      <c r="D19">
        <v>22.750139235999999</v>
      </c>
      <c r="E19">
        <v>50</v>
      </c>
      <c r="F19">
        <v>14.99907589</v>
      </c>
      <c r="G19">
        <v>1342.4769286999999</v>
      </c>
      <c r="H19">
        <v>1338.6403809000001</v>
      </c>
      <c r="I19">
        <v>1320.1186522999999</v>
      </c>
      <c r="J19">
        <v>1315.6004639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0.10968899999999999</v>
      </c>
      <c r="B20" s="1">
        <f>DATE(2010,5,1) + TIME(2,37,57)</f>
        <v>40299.1096875</v>
      </c>
      <c r="C20">
        <v>80</v>
      </c>
      <c r="D20">
        <v>23.740251540999999</v>
      </c>
      <c r="E20">
        <v>50</v>
      </c>
      <c r="F20">
        <v>14.999079704</v>
      </c>
      <c r="G20">
        <v>1342.3997803</v>
      </c>
      <c r="H20">
        <v>1338.6291504000001</v>
      </c>
      <c r="I20">
        <v>1320.1191406</v>
      </c>
      <c r="J20">
        <v>1315.6009521000001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0.122736</v>
      </c>
      <c r="B21" s="1">
        <f>DATE(2010,5,1) + TIME(2,56,44)</f>
        <v>40299.122731481482</v>
      </c>
      <c r="C21">
        <v>80</v>
      </c>
      <c r="D21">
        <v>24.730340957999999</v>
      </c>
      <c r="E21">
        <v>50</v>
      </c>
      <c r="F21">
        <v>14.999083518999999</v>
      </c>
      <c r="G21">
        <v>1342.3293457</v>
      </c>
      <c r="H21">
        <v>1338.6209716999999</v>
      </c>
      <c r="I21">
        <v>1320.1195068</v>
      </c>
      <c r="J21">
        <v>1315.6013184000001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0.13591400000000001</v>
      </c>
      <c r="B22" s="1">
        <f>DATE(2010,5,1) + TIME(3,15,42)</f>
        <v>40299.13590277778</v>
      </c>
      <c r="C22">
        <v>80</v>
      </c>
      <c r="D22">
        <v>25.720878600999999</v>
      </c>
      <c r="E22">
        <v>50</v>
      </c>
      <c r="F22">
        <v>14.999087334</v>
      </c>
      <c r="G22">
        <v>1342.2653809000001</v>
      </c>
      <c r="H22">
        <v>1338.6157227000001</v>
      </c>
      <c r="I22">
        <v>1320.1199951000001</v>
      </c>
      <c r="J22">
        <v>1315.6016846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0.14921699999999999</v>
      </c>
      <c r="B23" s="1">
        <f>DATE(2010,5,1) + TIME(3,34,52)</f>
        <v>40299.149212962962</v>
      </c>
      <c r="C23">
        <v>80</v>
      </c>
      <c r="D23">
        <v>26.711074829000001</v>
      </c>
      <c r="E23">
        <v>50</v>
      </c>
      <c r="F23">
        <v>14.999091148</v>
      </c>
      <c r="G23">
        <v>1342.2075195</v>
      </c>
      <c r="H23">
        <v>1338.6135254000001</v>
      </c>
      <c r="I23">
        <v>1320.1203613</v>
      </c>
      <c r="J23">
        <v>1315.6020507999999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0.16265199999999999</v>
      </c>
      <c r="B24" s="1">
        <f>DATE(2010,5,1) + TIME(3,54,13)</f>
        <v>40299.16265046296</v>
      </c>
      <c r="C24">
        <v>80</v>
      </c>
      <c r="D24">
        <v>27.701015472000002</v>
      </c>
      <c r="E24">
        <v>50</v>
      </c>
      <c r="F24">
        <v>14.999094962999999</v>
      </c>
      <c r="G24">
        <v>1342.1555175999999</v>
      </c>
      <c r="H24">
        <v>1338.6140137</v>
      </c>
      <c r="I24">
        <v>1320.1207274999999</v>
      </c>
      <c r="J24">
        <v>1315.6024170000001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0.17622399999999999</v>
      </c>
      <c r="B25" s="1">
        <f>DATE(2010,5,1) + TIME(4,13,45)</f>
        <v>40299.176215277781</v>
      </c>
      <c r="C25">
        <v>80</v>
      </c>
      <c r="D25">
        <v>28.690856933999999</v>
      </c>
      <c r="E25">
        <v>50</v>
      </c>
      <c r="F25">
        <v>14.999098778</v>
      </c>
      <c r="G25">
        <v>1342.1090088000001</v>
      </c>
      <c r="H25">
        <v>1338.6171875</v>
      </c>
      <c r="I25">
        <v>1320.1210937999999</v>
      </c>
      <c r="J25">
        <v>1315.6027832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0.18993499999999999</v>
      </c>
      <c r="B26" s="1">
        <f>DATE(2010,5,1) + TIME(4,33,30)</f>
        <v>40299.189930555556</v>
      </c>
      <c r="C26">
        <v>80</v>
      </c>
      <c r="D26">
        <v>29.680576324</v>
      </c>
      <c r="E26">
        <v>50</v>
      </c>
      <c r="F26">
        <v>14.999101638999999</v>
      </c>
      <c r="G26">
        <v>1342.0678711</v>
      </c>
      <c r="H26">
        <v>1338.6229248</v>
      </c>
      <c r="I26">
        <v>1320.1214600000001</v>
      </c>
      <c r="J26">
        <v>1315.6030272999999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0.203788</v>
      </c>
      <c r="B27" s="1">
        <f>DATE(2010,5,1) + TIME(4,53,27)</f>
        <v>40299.203784722224</v>
      </c>
      <c r="C27">
        <v>80</v>
      </c>
      <c r="D27">
        <v>30.670303345000001</v>
      </c>
      <c r="E27">
        <v>50</v>
      </c>
      <c r="F27">
        <v>14.999105453</v>
      </c>
      <c r="G27">
        <v>1342.0316161999999</v>
      </c>
      <c r="H27">
        <v>1338.6309814000001</v>
      </c>
      <c r="I27">
        <v>1320.1218262</v>
      </c>
      <c r="J27">
        <v>1315.6032714999999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0.21778600000000001</v>
      </c>
      <c r="B28" s="1">
        <f>DATE(2010,5,1) + TIME(5,13,36)</f>
        <v>40299.217777777776</v>
      </c>
      <c r="C28">
        <v>80</v>
      </c>
      <c r="D28">
        <v>31.659791945999999</v>
      </c>
      <c r="E28">
        <v>50</v>
      </c>
      <c r="F28">
        <v>14.999109268</v>
      </c>
      <c r="G28">
        <v>1342.0002440999999</v>
      </c>
      <c r="H28">
        <v>1338.6414795000001</v>
      </c>
      <c r="I28">
        <v>1320.1221923999999</v>
      </c>
      <c r="J28">
        <v>1315.6036377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0.231931</v>
      </c>
      <c r="B29" s="1">
        <f>DATE(2010,5,1) + TIME(5,33,58)</f>
        <v>40299.231921296298</v>
      </c>
      <c r="C29">
        <v>80</v>
      </c>
      <c r="D29">
        <v>32.649013519</v>
      </c>
      <c r="E29">
        <v>50</v>
      </c>
      <c r="F29">
        <v>14.999113082999999</v>
      </c>
      <c r="G29">
        <v>1341.9732666</v>
      </c>
      <c r="H29">
        <v>1338.6541748</v>
      </c>
      <c r="I29">
        <v>1320.1224365</v>
      </c>
      <c r="J29">
        <v>1315.6038818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0.24623100000000001</v>
      </c>
      <c r="B30" s="1">
        <f>DATE(2010,5,1) + TIME(5,54,34)</f>
        <v>40299.24622685185</v>
      </c>
      <c r="C30">
        <v>80</v>
      </c>
      <c r="D30">
        <v>33.638019561999997</v>
      </c>
      <c r="E30">
        <v>50</v>
      </c>
      <c r="F30">
        <v>14.999116898</v>
      </c>
      <c r="G30">
        <v>1341.9508057</v>
      </c>
      <c r="H30">
        <v>1338.6689452999999</v>
      </c>
      <c r="I30">
        <v>1320.1228027</v>
      </c>
      <c r="J30">
        <v>1315.604126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0.26068999999999998</v>
      </c>
      <c r="B31" s="1">
        <f>DATE(2010,5,1) + TIME(6,15,23)</f>
        <v>40299.260682870372</v>
      </c>
      <c r="C31">
        <v>80</v>
      </c>
      <c r="D31">
        <v>34.626777648999997</v>
      </c>
      <c r="E31">
        <v>50</v>
      </c>
      <c r="F31">
        <v>14.999120712</v>
      </c>
      <c r="G31">
        <v>1341.932251</v>
      </c>
      <c r="H31">
        <v>1338.6857910000001</v>
      </c>
      <c r="I31">
        <v>1320.1230469</v>
      </c>
      <c r="J31">
        <v>1315.6042480000001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0.275314</v>
      </c>
      <c r="B32" s="1">
        <f>DATE(2010,5,1) + TIME(6,36,27)</f>
        <v>40299.275312500002</v>
      </c>
      <c r="C32">
        <v>80</v>
      </c>
      <c r="D32">
        <v>35.615261078000003</v>
      </c>
      <c r="E32">
        <v>50</v>
      </c>
      <c r="F32">
        <v>14.999123573</v>
      </c>
      <c r="G32">
        <v>1341.9177245999999</v>
      </c>
      <c r="H32">
        <v>1338.7045897999999</v>
      </c>
      <c r="I32">
        <v>1320.1232910000001</v>
      </c>
      <c r="J32">
        <v>1315.6044922000001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0.29010799999999998</v>
      </c>
      <c r="B33" s="1">
        <f>DATE(2010,5,1) + TIME(6,57,45)</f>
        <v>40299.29010416667</v>
      </c>
      <c r="C33">
        <v>80</v>
      </c>
      <c r="D33">
        <v>36.603439330999997</v>
      </c>
      <c r="E33">
        <v>50</v>
      </c>
      <c r="F33">
        <v>14.999127388</v>
      </c>
      <c r="G33">
        <v>1341.9068603999999</v>
      </c>
      <c r="H33">
        <v>1338.7253418</v>
      </c>
      <c r="I33">
        <v>1320.1236572</v>
      </c>
      <c r="J33">
        <v>1315.6047363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0.30507800000000002</v>
      </c>
      <c r="B34" s="1">
        <f>DATE(2010,5,1) + TIME(7,19,18)</f>
        <v>40299.305069444446</v>
      </c>
      <c r="C34">
        <v>80</v>
      </c>
      <c r="D34">
        <v>37.591281891000001</v>
      </c>
      <c r="E34">
        <v>50</v>
      </c>
      <c r="F34">
        <v>14.999131202999999</v>
      </c>
      <c r="G34">
        <v>1341.8995361</v>
      </c>
      <c r="H34">
        <v>1338.7476807</v>
      </c>
      <c r="I34">
        <v>1320.1239014</v>
      </c>
      <c r="J34">
        <v>1315.6048584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0.32023299999999999</v>
      </c>
      <c r="B35" s="1">
        <f>DATE(2010,5,1) + TIME(7,41,8)</f>
        <v>40299.320231481484</v>
      </c>
      <c r="C35">
        <v>80</v>
      </c>
      <c r="D35">
        <v>38.578762054000002</v>
      </c>
      <c r="E35">
        <v>50</v>
      </c>
      <c r="F35">
        <v>14.999135017</v>
      </c>
      <c r="G35">
        <v>1341.8955077999999</v>
      </c>
      <c r="H35">
        <v>1338.7718506000001</v>
      </c>
      <c r="I35">
        <v>1320.1241454999999</v>
      </c>
      <c r="J35">
        <v>1315.6051024999999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0.33557999999999999</v>
      </c>
      <c r="B36" s="1">
        <f>DATE(2010,5,1) + TIME(8,3,14)</f>
        <v>40299.335578703707</v>
      </c>
      <c r="C36">
        <v>80</v>
      </c>
      <c r="D36">
        <v>39.565845490000001</v>
      </c>
      <c r="E36">
        <v>50</v>
      </c>
      <c r="F36">
        <v>14.999137878000001</v>
      </c>
      <c r="G36">
        <v>1341.8946533000001</v>
      </c>
      <c r="H36">
        <v>1338.7974853999999</v>
      </c>
      <c r="I36">
        <v>1320.1243896000001</v>
      </c>
      <c r="J36">
        <v>1315.6052245999999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0.351128</v>
      </c>
      <c r="B37" s="1">
        <f>DATE(2010,5,1) + TIME(8,25,37)</f>
        <v>40299.351122685184</v>
      </c>
      <c r="C37">
        <v>80</v>
      </c>
      <c r="D37">
        <v>40.552623748999999</v>
      </c>
      <c r="E37">
        <v>50</v>
      </c>
      <c r="F37">
        <v>14.999141693</v>
      </c>
      <c r="G37">
        <v>1341.8969727000001</v>
      </c>
      <c r="H37">
        <v>1338.8248291</v>
      </c>
      <c r="I37">
        <v>1320.1245117000001</v>
      </c>
      <c r="J37">
        <v>1315.6053466999999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0.36688500000000002</v>
      </c>
      <c r="B38" s="1">
        <f>DATE(2010,5,1) + TIME(8,48,18)</f>
        <v>40299.366875</v>
      </c>
      <c r="C38">
        <v>80</v>
      </c>
      <c r="D38">
        <v>41.538909912000001</v>
      </c>
      <c r="E38">
        <v>50</v>
      </c>
      <c r="F38">
        <v>14.999145508</v>
      </c>
      <c r="G38">
        <v>1341.9020995999999</v>
      </c>
      <c r="H38">
        <v>1338.8535156</v>
      </c>
      <c r="I38">
        <v>1320.1247559000001</v>
      </c>
      <c r="J38">
        <v>1315.6054687999999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0.38285999999999998</v>
      </c>
      <c r="B39" s="1">
        <f>DATE(2010,5,1) + TIME(9,11,19)</f>
        <v>40299.3828587963</v>
      </c>
      <c r="C39">
        <v>80</v>
      </c>
      <c r="D39">
        <v>42.524597168</v>
      </c>
      <c r="E39">
        <v>50</v>
      </c>
      <c r="F39">
        <v>14.999149322999999</v>
      </c>
      <c r="G39">
        <v>1341.9100341999999</v>
      </c>
      <c r="H39">
        <v>1338.8835449000001</v>
      </c>
      <c r="I39">
        <v>1320.125</v>
      </c>
      <c r="J39">
        <v>1315.6055908000001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0.39906700000000001</v>
      </c>
      <c r="B40" s="1">
        <f>DATE(2010,5,1) + TIME(9,34,39)</f>
        <v>40299.399062500001</v>
      </c>
      <c r="C40">
        <v>80</v>
      </c>
      <c r="D40">
        <v>43.509738921999997</v>
      </c>
      <c r="E40">
        <v>50</v>
      </c>
      <c r="F40">
        <v>14.999152184</v>
      </c>
      <c r="G40">
        <v>1341.9205322</v>
      </c>
      <c r="H40">
        <v>1338.9150391000001</v>
      </c>
      <c r="I40">
        <v>1320.1252440999999</v>
      </c>
      <c r="J40">
        <v>1315.6057129000001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0.41551900000000003</v>
      </c>
      <c r="B41" s="1">
        <f>DATE(2010,5,1) + TIME(9,58,20)</f>
        <v>40299.415509259263</v>
      </c>
      <c r="C41">
        <v>80</v>
      </c>
      <c r="D41">
        <v>44.494297027999998</v>
      </c>
      <c r="E41">
        <v>50</v>
      </c>
      <c r="F41">
        <v>14.999155998000001</v>
      </c>
      <c r="G41">
        <v>1341.9335937999999</v>
      </c>
      <c r="H41">
        <v>1338.9477539</v>
      </c>
      <c r="I41">
        <v>1320.1253661999999</v>
      </c>
      <c r="J41">
        <v>1315.6058350000001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0.43222899999999997</v>
      </c>
      <c r="B42" s="1">
        <f>DATE(2010,5,1) + TIME(10,22,24)</f>
        <v>40299.432222222225</v>
      </c>
      <c r="C42">
        <v>80</v>
      </c>
      <c r="D42">
        <v>45.478221892999997</v>
      </c>
      <c r="E42">
        <v>50</v>
      </c>
      <c r="F42">
        <v>14.999159813</v>
      </c>
      <c r="G42">
        <v>1341.9489745999999</v>
      </c>
      <c r="H42">
        <v>1338.9815673999999</v>
      </c>
      <c r="I42">
        <v>1320.1256103999999</v>
      </c>
      <c r="J42">
        <v>1315.605957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0.449212</v>
      </c>
      <c r="B43" s="1">
        <f>DATE(2010,5,1) + TIME(10,46,51)</f>
        <v>40299.449201388888</v>
      </c>
      <c r="C43">
        <v>80</v>
      </c>
      <c r="D43">
        <v>46.461471558</v>
      </c>
      <c r="E43">
        <v>50</v>
      </c>
      <c r="F43">
        <v>14.999162674000001</v>
      </c>
      <c r="G43">
        <v>1341.9665527</v>
      </c>
      <c r="H43">
        <v>1339.0166016000001</v>
      </c>
      <c r="I43">
        <v>1320.1258545000001</v>
      </c>
      <c r="J43">
        <v>1315.6060791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0.46648400000000001</v>
      </c>
      <c r="B44" s="1">
        <f>DATE(2010,5,1) + TIME(11,11,44)</f>
        <v>40299.466481481482</v>
      </c>
      <c r="C44">
        <v>80</v>
      </c>
      <c r="D44">
        <v>47.443992614999999</v>
      </c>
      <c r="E44">
        <v>50</v>
      </c>
      <c r="F44">
        <v>14.999166489</v>
      </c>
      <c r="G44">
        <v>1341.9864502</v>
      </c>
      <c r="H44">
        <v>1339.0526123</v>
      </c>
      <c r="I44">
        <v>1320.1259766000001</v>
      </c>
      <c r="J44">
        <v>1315.6062012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0.48406300000000002</v>
      </c>
      <c r="B45" s="1">
        <f>DATE(2010,5,1) + TIME(11,37,3)</f>
        <v>40299.4840625</v>
      </c>
      <c r="C45">
        <v>80</v>
      </c>
      <c r="D45">
        <v>48.425735474</v>
      </c>
      <c r="E45">
        <v>50</v>
      </c>
      <c r="F45">
        <v>14.999170303</v>
      </c>
      <c r="G45">
        <v>1342.0083007999999</v>
      </c>
      <c r="H45">
        <v>1339.0897216999999</v>
      </c>
      <c r="I45">
        <v>1320.1262207</v>
      </c>
      <c r="J45">
        <v>1315.6063231999999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0.501969</v>
      </c>
      <c r="B46" s="1">
        <f>DATE(2010,5,1) + TIME(12,2,50)</f>
        <v>40299.501967592594</v>
      </c>
      <c r="C46">
        <v>80</v>
      </c>
      <c r="D46">
        <v>49.406642914000003</v>
      </c>
      <c r="E46">
        <v>50</v>
      </c>
      <c r="F46">
        <v>14.999173164</v>
      </c>
      <c r="G46">
        <v>1342.0322266000001</v>
      </c>
      <c r="H46">
        <v>1339.1278076000001</v>
      </c>
      <c r="I46">
        <v>1320.1263428</v>
      </c>
      <c r="J46">
        <v>1315.6063231999999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0.52022400000000002</v>
      </c>
      <c r="B47" s="1">
        <f>DATE(2010,5,1) + TIME(12,29,7)</f>
        <v>40299.520219907405</v>
      </c>
      <c r="C47">
        <v>80</v>
      </c>
      <c r="D47">
        <v>50.386470795000001</v>
      </c>
      <c r="E47">
        <v>50</v>
      </c>
      <c r="F47">
        <v>14.999176979</v>
      </c>
      <c r="G47">
        <v>1342.0579834</v>
      </c>
      <c r="H47">
        <v>1339.1668701000001</v>
      </c>
      <c r="I47">
        <v>1320.1265868999999</v>
      </c>
      <c r="J47">
        <v>1315.6064452999999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0.53885499999999997</v>
      </c>
      <c r="B48" s="1">
        <f>DATE(2010,5,1) + TIME(12,55,57)</f>
        <v>40299.538854166669</v>
      </c>
      <c r="C48">
        <v>80</v>
      </c>
      <c r="D48">
        <v>51.365222930999998</v>
      </c>
      <c r="E48">
        <v>50</v>
      </c>
      <c r="F48">
        <v>14.999180794000001</v>
      </c>
      <c r="G48">
        <v>1342.0854492000001</v>
      </c>
      <c r="H48">
        <v>1339.2066649999999</v>
      </c>
      <c r="I48">
        <v>1320.1267089999999</v>
      </c>
      <c r="J48">
        <v>1315.6065673999999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0.55789</v>
      </c>
      <c r="B49" s="1">
        <f>DATE(2010,5,1) + TIME(13,23,21)</f>
        <v>40299.557881944442</v>
      </c>
      <c r="C49">
        <v>80</v>
      </c>
      <c r="D49">
        <v>52.343204497999999</v>
      </c>
      <c r="E49">
        <v>50</v>
      </c>
      <c r="F49">
        <v>14.999183655</v>
      </c>
      <c r="G49">
        <v>1342.1147461</v>
      </c>
      <c r="H49">
        <v>1339.2474365</v>
      </c>
      <c r="I49">
        <v>1320.1268310999999</v>
      </c>
      <c r="J49">
        <v>1315.6065673999999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0.57735300000000001</v>
      </c>
      <c r="B50" s="1">
        <f>DATE(2010,5,1) + TIME(13,51,23)</f>
        <v>40299.577349537038</v>
      </c>
      <c r="C50">
        <v>80</v>
      </c>
      <c r="D50">
        <v>53.320072174000003</v>
      </c>
      <c r="E50">
        <v>50</v>
      </c>
      <c r="F50">
        <v>14.999187469000001</v>
      </c>
      <c r="G50">
        <v>1342.1457519999999</v>
      </c>
      <c r="H50">
        <v>1339.2888184000001</v>
      </c>
      <c r="I50">
        <v>1320.1270752</v>
      </c>
      <c r="J50">
        <v>1315.6066894999999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0.59727799999999998</v>
      </c>
      <c r="B51" s="1">
        <f>DATE(2010,5,1) + TIME(14,20,4)</f>
        <v>40299.597268518519</v>
      </c>
      <c r="C51">
        <v>80</v>
      </c>
      <c r="D51">
        <v>54.295742035000004</v>
      </c>
      <c r="E51">
        <v>50</v>
      </c>
      <c r="F51">
        <v>14.999191284</v>
      </c>
      <c r="G51">
        <v>1342.1782227000001</v>
      </c>
      <c r="H51">
        <v>1339.3310547000001</v>
      </c>
      <c r="I51">
        <v>1320.1271973</v>
      </c>
      <c r="J51">
        <v>1315.6068115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0.617699</v>
      </c>
      <c r="B52" s="1">
        <f>DATE(2010,5,1) + TIME(14,49,29)</f>
        <v>40299.617696759262</v>
      </c>
      <c r="C52">
        <v>80</v>
      </c>
      <c r="D52">
        <v>55.270118713000002</v>
      </c>
      <c r="E52">
        <v>50</v>
      </c>
      <c r="F52">
        <v>14.999195099</v>
      </c>
      <c r="G52">
        <v>1342.2122803</v>
      </c>
      <c r="H52">
        <v>1339.3740233999999</v>
      </c>
      <c r="I52">
        <v>1320.1273193</v>
      </c>
      <c r="J52">
        <v>1315.6068115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0.63865799999999995</v>
      </c>
      <c r="B53" s="1">
        <f>DATE(2010,5,1) + TIME(15,19,40)</f>
        <v>40299.638657407406</v>
      </c>
      <c r="C53">
        <v>80</v>
      </c>
      <c r="D53">
        <v>56.243099213000001</v>
      </c>
      <c r="E53">
        <v>50</v>
      </c>
      <c r="F53">
        <v>14.99919796</v>
      </c>
      <c r="G53">
        <v>1342.2478027</v>
      </c>
      <c r="H53">
        <v>1339.4176024999999</v>
      </c>
      <c r="I53">
        <v>1320.1275635</v>
      </c>
      <c r="J53">
        <v>1315.6069336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0.66019799999999995</v>
      </c>
      <c r="B54" s="1">
        <f>DATE(2010,5,1) + TIME(15,50,41)</f>
        <v>40299.660196759258</v>
      </c>
      <c r="C54">
        <v>80</v>
      </c>
      <c r="D54">
        <v>57.214569091999998</v>
      </c>
      <c r="E54">
        <v>50</v>
      </c>
      <c r="F54">
        <v>14.999201775</v>
      </c>
      <c r="G54">
        <v>1342.2847899999999</v>
      </c>
      <c r="H54">
        <v>1339.4617920000001</v>
      </c>
      <c r="I54">
        <v>1320.1276855000001</v>
      </c>
      <c r="J54">
        <v>1315.6069336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0.68237099999999995</v>
      </c>
      <c r="B55" s="1">
        <f>DATE(2010,5,1) + TIME(16,22,36)</f>
        <v>40299.68236111111</v>
      </c>
      <c r="C55">
        <v>80</v>
      </c>
      <c r="D55">
        <v>58.184402466000002</v>
      </c>
      <c r="E55">
        <v>50</v>
      </c>
      <c r="F55">
        <v>14.999205589000001</v>
      </c>
      <c r="G55">
        <v>1342.3229980000001</v>
      </c>
      <c r="H55">
        <v>1339.5065918</v>
      </c>
      <c r="I55">
        <v>1320.1279297000001</v>
      </c>
      <c r="J55">
        <v>1315.6070557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0.70523400000000003</v>
      </c>
      <c r="B56" s="1">
        <f>DATE(2010,5,1) + TIME(16,55,32)</f>
        <v>40299.705231481479</v>
      </c>
      <c r="C56">
        <v>80</v>
      </c>
      <c r="D56">
        <v>59.152454376000001</v>
      </c>
      <c r="E56">
        <v>50</v>
      </c>
      <c r="F56">
        <v>14.999209404</v>
      </c>
      <c r="G56">
        <v>1342.3626709</v>
      </c>
      <c r="H56">
        <v>1339.5518798999999</v>
      </c>
      <c r="I56">
        <v>1320.1280518000001</v>
      </c>
      <c r="J56">
        <v>1315.6070557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0.72885100000000003</v>
      </c>
      <c r="B57" s="1">
        <f>DATE(2010,5,1) + TIME(17,29,32)</f>
        <v>40299.728842592594</v>
      </c>
      <c r="C57">
        <v>80</v>
      </c>
      <c r="D57">
        <v>60.118480681999998</v>
      </c>
      <c r="E57">
        <v>50</v>
      </c>
      <c r="F57">
        <v>14.999213219</v>
      </c>
      <c r="G57">
        <v>1342.4034423999999</v>
      </c>
      <c r="H57">
        <v>1339.5977783000001</v>
      </c>
      <c r="I57">
        <v>1320.1281738</v>
      </c>
      <c r="J57">
        <v>1315.6071777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0.75329900000000005</v>
      </c>
      <c r="B58" s="1">
        <f>DATE(2010,5,1) + TIME(18,4,45)</f>
        <v>40299.753298611111</v>
      </c>
      <c r="C58">
        <v>80</v>
      </c>
      <c r="D58">
        <v>61.081836699999997</v>
      </c>
      <c r="E58">
        <v>50</v>
      </c>
      <c r="F58">
        <v>14.999217033000001</v>
      </c>
      <c r="G58">
        <v>1342.4455565999999</v>
      </c>
      <c r="H58">
        <v>1339.644043</v>
      </c>
      <c r="I58">
        <v>1320.128418</v>
      </c>
      <c r="J58">
        <v>1315.6071777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0.77867699999999995</v>
      </c>
      <c r="B59" s="1">
        <f>DATE(2010,5,1) + TIME(18,41,17)</f>
        <v>40299.778668981482</v>
      </c>
      <c r="C59">
        <v>80</v>
      </c>
      <c r="D59">
        <v>62.043422698999997</v>
      </c>
      <c r="E59">
        <v>50</v>
      </c>
      <c r="F59">
        <v>14.999220848</v>
      </c>
      <c r="G59">
        <v>1342.4888916</v>
      </c>
      <c r="H59">
        <v>1339.6907959</v>
      </c>
      <c r="I59">
        <v>1320.1285399999999</v>
      </c>
      <c r="J59">
        <v>1315.6072998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0.80506900000000003</v>
      </c>
      <c r="B60" s="1">
        <f>DATE(2010,5,1) + TIME(19,19,17)</f>
        <v>40299.80505787037</v>
      </c>
      <c r="C60">
        <v>80</v>
      </c>
      <c r="D60">
        <v>63.002441406000003</v>
      </c>
      <c r="E60">
        <v>50</v>
      </c>
      <c r="F60">
        <v>14.999224663</v>
      </c>
      <c r="G60">
        <v>1342.5333252</v>
      </c>
      <c r="H60">
        <v>1339.7379149999999</v>
      </c>
      <c r="I60">
        <v>1320.1287841999999</v>
      </c>
      <c r="J60">
        <v>1315.6072998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0.83258799999999999</v>
      </c>
      <c r="B61" s="1">
        <f>DATE(2010,5,1) + TIME(19,58,55)</f>
        <v>40299.83258101852</v>
      </c>
      <c r="C61">
        <v>80</v>
      </c>
      <c r="D61">
        <v>63.958610534999998</v>
      </c>
      <c r="E61">
        <v>50</v>
      </c>
      <c r="F61">
        <v>14.999228477000001</v>
      </c>
      <c r="G61">
        <v>1342.5789795000001</v>
      </c>
      <c r="H61">
        <v>1339.7855225000001</v>
      </c>
      <c r="I61">
        <v>1320.1289062000001</v>
      </c>
      <c r="J61">
        <v>1315.6074219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0.86136900000000005</v>
      </c>
      <c r="B62" s="1">
        <f>DATE(2010,5,1) + TIME(20,40,22)</f>
        <v>40299.86136574074</v>
      </c>
      <c r="C62">
        <v>80</v>
      </c>
      <c r="D62">
        <v>64.911621093999997</v>
      </c>
      <c r="E62">
        <v>50</v>
      </c>
      <c r="F62">
        <v>14.999232292</v>
      </c>
      <c r="G62">
        <v>1342.6256103999999</v>
      </c>
      <c r="H62">
        <v>1339.833374</v>
      </c>
      <c r="I62">
        <v>1320.1291504000001</v>
      </c>
      <c r="J62">
        <v>1315.6074219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0.89156899999999994</v>
      </c>
      <c r="B63" s="1">
        <f>DATE(2010,5,1) + TIME(21,23,51)</f>
        <v>40299.891562500001</v>
      </c>
      <c r="C63">
        <v>80</v>
      </c>
      <c r="D63">
        <v>65.861312866000006</v>
      </c>
      <c r="E63">
        <v>50</v>
      </c>
      <c r="F63">
        <v>14.999236107</v>
      </c>
      <c r="G63">
        <v>1342.6733397999999</v>
      </c>
      <c r="H63">
        <v>1339.8815918</v>
      </c>
      <c r="I63">
        <v>1320.1292725000001</v>
      </c>
      <c r="J63">
        <v>1315.6075439000001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0.92336799999999997</v>
      </c>
      <c r="B64" s="1">
        <f>DATE(2010,5,1) + TIME(22,9,39)</f>
        <v>40299.923368055555</v>
      </c>
      <c r="C64">
        <v>80</v>
      </c>
      <c r="D64">
        <v>66.806877135999997</v>
      </c>
      <c r="E64">
        <v>50</v>
      </c>
      <c r="F64">
        <v>14.999240875</v>
      </c>
      <c r="G64">
        <v>1342.722168</v>
      </c>
      <c r="H64">
        <v>1339.9300536999999</v>
      </c>
      <c r="I64">
        <v>1320.1295166</v>
      </c>
      <c r="J64">
        <v>1315.6075439000001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0.93952500000000005</v>
      </c>
      <c r="B65" s="1">
        <f>DATE(2010,5,1) + TIME(22,32,54)</f>
        <v>40299.939513888887</v>
      </c>
      <c r="C65">
        <v>80</v>
      </c>
      <c r="D65">
        <v>67.276382446</v>
      </c>
      <c r="E65">
        <v>50</v>
      </c>
      <c r="F65">
        <v>14.999242783</v>
      </c>
      <c r="G65">
        <v>1342.7886963000001</v>
      </c>
      <c r="H65">
        <v>1339.9782714999999</v>
      </c>
      <c r="I65">
        <v>1320.1297606999999</v>
      </c>
      <c r="J65">
        <v>1315.6076660000001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0.955681</v>
      </c>
      <c r="B66" s="1">
        <f>DATE(2010,5,1) + TIME(22,56,10)</f>
        <v>40299.955671296295</v>
      </c>
      <c r="C66">
        <v>80</v>
      </c>
      <c r="D66">
        <v>67.732055664000001</v>
      </c>
      <c r="E66">
        <v>50</v>
      </c>
      <c r="F66">
        <v>14.999244689999999</v>
      </c>
      <c r="G66">
        <v>1342.8140868999999</v>
      </c>
      <c r="H66">
        <v>1340.0025635</v>
      </c>
      <c r="I66">
        <v>1320.1298827999999</v>
      </c>
      <c r="J66">
        <v>1315.6076660000001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0.97183699999999995</v>
      </c>
      <c r="B67" s="1">
        <f>DATE(2010,5,1) + TIME(23,19,26)</f>
        <v>40299.971828703703</v>
      </c>
      <c r="C67">
        <v>80</v>
      </c>
      <c r="D67">
        <v>68.174140929999993</v>
      </c>
      <c r="E67">
        <v>50</v>
      </c>
      <c r="F67">
        <v>14.999246597000001</v>
      </c>
      <c r="G67">
        <v>1342.8392334</v>
      </c>
      <c r="H67">
        <v>1340.0263672000001</v>
      </c>
      <c r="I67">
        <v>1320.1300048999999</v>
      </c>
      <c r="J67">
        <v>1315.6077881000001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0.98799400000000004</v>
      </c>
      <c r="B68" s="1">
        <f>DATE(2010,5,1) + TIME(23,42,42)</f>
        <v>40299.987986111111</v>
      </c>
      <c r="C68">
        <v>80</v>
      </c>
      <c r="D68">
        <v>68.602874756000006</v>
      </c>
      <c r="E68">
        <v>50</v>
      </c>
      <c r="F68">
        <v>14.999248505000001</v>
      </c>
      <c r="G68">
        <v>1342.8637695</v>
      </c>
      <c r="H68">
        <v>1340.0494385</v>
      </c>
      <c r="I68">
        <v>1320.1300048999999</v>
      </c>
      <c r="J68">
        <v>1315.6077881000001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1.0040830000000001</v>
      </c>
      <c r="B69" s="1">
        <f>DATE(2010,5,2) + TIME(0,5,52)</f>
        <v>40300.004074074073</v>
      </c>
      <c r="C69">
        <v>80</v>
      </c>
      <c r="D69">
        <v>69.016845703000001</v>
      </c>
      <c r="E69">
        <v>50</v>
      </c>
      <c r="F69">
        <v>14.999250412</v>
      </c>
      <c r="G69">
        <v>1342.8879394999999</v>
      </c>
      <c r="H69">
        <v>1340.0720214999999</v>
      </c>
      <c r="I69">
        <v>1320.1301269999999</v>
      </c>
      <c r="J69">
        <v>1315.6077881000001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1.020103</v>
      </c>
      <c r="B70" s="1">
        <f>DATE(2010,5,2) + TIME(0,28,56)</f>
        <v>40300.020092592589</v>
      </c>
      <c r="C70">
        <v>80</v>
      </c>
      <c r="D70">
        <v>69.416366577000005</v>
      </c>
      <c r="E70">
        <v>50</v>
      </c>
      <c r="F70">
        <v>14.999252319</v>
      </c>
      <c r="G70">
        <v>1342.9116211</v>
      </c>
      <c r="H70">
        <v>1340.09375</v>
      </c>
      <c r="I70">
        <v>1320.130249</v>
      </c>
      <c r="J70">
        <v>1315.6079102000001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1.036062</v>
      </c>
      <c r="B71" s="1">
        <f>DATE(2010,5,2) + TIME(0,51,55)</f>
        <v>40300.036053240743</v>
      </c>
      <c r="C71">
        <v>80</v>
      </c>
      <c r="D71">
        <v>69.802085876000007</v>
      </c>
      <c r="E71">
        <v>50</v>
      </c>
      <c r="F71">
        <v>14.99925518</v>
      </c>
      <c r="G71">
        <v>1342.9346923999999</v>
      </c>
      <c r="H71">
        <v>1340.1148682</v>
      </c>
      <c r="I71">
        <v>1320.1303711</v>
      </c>
      <c r="J71">
        <v>1315.6079102000001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1.0519700000000001</v>
      </c>
      <c r="B72" s="1">
        <f>DATE(2010,5,2) + TIME(1,14,50)</f>
        <v>40300.05196759259</v>
      </c>
      <c r="C72">
        <v>80</v>
      </c>
      <c r="D72">
        <v>70.174453735</v>
      </c>
      <c r="E72">
        <v>50</v>
      </c>
      <c r="F72">
        <v>14.999256133999999</v>
      </c>
      <c r="G72">
        <v>1342.9571533000001</v>
      </c>
      <c r="H72">
        <v>1340.135376</v>
      </c>
      <c r="I72">
        <v>1320.1304932</v>
      </c>
      <c r="J72">
        <v>1315.6079102000001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1.0678369999999999</v>
      </c>
      <c r="B73" s="1">
        <f>DATE(2010,5,2) + TIME(1,37,41)</f>
        <v>40300.067835648151</v>
      </c>
      <c r="C73">
        <v>80</v>
      </c>
      <c r="D73">
        <v>70.534034728999998</v>
      </c>
      <c r="E73">
        <v>50</v>
      </c>
      <c r="F73">
        <v>14.999258040999999</v>
      </c>
      <c r="G73">
        <v>1342.9790039</v>
      </c>
      <c r="H73">
        <v>1340.1551514</v>
      </c>
      <c r="I73">
        <v>1320.1306152</v>
      </c>
      <c r="J73">
        <v>1315.6080322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1.0836710000000001</v>
      </c>
      <c r="B74" s="1">
        <f>DATE(2010,5,2) + TIME(2,0,29)</f>
        <v>40300.083668981482</v>
      </c>
      <c r="C74">
        <v>80</v>
      </c>
      <c r="D74">
        <v>70.881477356000005</v>
      </c>
      <c r="E74">
        <v>50</v>
      </c>
      <c r="F74">
        <v>14.999259949000001</v>
      </c>
      <c r="G74">
        <v>1343.0003661999999</v>
      </c>
      <c r="H74">
        <v>1340.1743164</v>
      </c>
      <c r="I74">
        <v>1320.1306152</v>
      </c>
      <c r="J74">
        <v>1315.6080322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1.0994809999999999</v>
      </c>
      <c r="B75" s="1">
        <f>DATE(2010,5,2) + TIME(2,23,15)</f>
        <v>40300.099479166667</v>
      </c>
      <c r="C75">
        <v>80</v>
      </c>
      <c r="D75">
        <v>71.217269896999994</v>
      </c>
      <c r="E75">
        <v>50</v>
      </c>
      <c r="F75">
        <v>14.999261856</v>
      </c>
      <c r="G75">
        <v>1343.0212402</v>
      </c>
      <c r="H75">
        <v>1340.1928711</v>
      </c>
      <c r="I75">
        <v>1320.1307373</v>
      </c>
      <c r="J75">
        <v>1315.6080322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1.115273</v>
      </c>
      <c r="B76" s="1">
        <f>DATE(2010,5,2) + TIME(2,45,59)</f>
        <v>40300.115266203706</v>
      </c>
      <c r="C76">
        <v>80</v>
      </c>
      <c r="D76">
        <v>71.541877747000001</v>
      </c>
      <c r="E76">
        <v>50</v>
      </c>
      <c r="F76">
        <v>14.999263763</v>
      </c>
      <c r="G76">
        <v>1343.041626</v>
      </c>
      <c r="H76">
        <v>1340.2108154</v>
      </c>
      <c r="I76">
        <v>1320.1308594</v>
      </c>
      <c r="J76">
        <v>1315.6081543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1.1310579999999999</v>
      </c>
      <c r="B77" s="1">
        <f>DATE(2010,5,2) + TIME(3,8,43)</f>
        <v>40300.131053240744</v>
      </c>
      <c r="C77">
        <v>80</v>
      </c>
      <c r="D77">
        <v>71.855735779</v>
      </c>
      <c r="E77">
        <v>50</v>
      </c>
      <c r="F77">
        <v>14.999265671</v>
      </c>
      <c r="G77">
        <v>1343.0614014</v>
      </c>
      <c r="H77">
        <v>1340.2282714999999</v>
      </c>
      <c r="I77">
        <v>1320.1309814000001</v>
      </c>
      <c r="J77">
        <v>1315.6081543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1.1468419999999999</v>
      </c>
      <c r="B78" s="1">
        <f>DATE(2010,5,2) + TIME(3,31,27)</f>
        <v>40300.146840277775</v>
      </c>
      <c r="C78">
        <v>80</v>
      </c>
      <c r="D78">
        <v>72.159248352000006</v>
      </c>
      <c r="E78">
        <v>50</v>
      </c>
      <c r="F78">
        <v>14.999267578</v>
      </c>
      <c r="G78">
        <v>1343.0808105000001</v>
      </c>
      <c r="H78">
        <v>1340.2451172000001</v>
      </c>
      <c r="I78">
        <v>1320.1311035000001</v>
      </c>
      <c r="J78">
        <v>1315.6081543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1.162625</v>
      </c>
      <c r="B79" s="1">
        <f>DATE(2010,5,2) + TIME(3,54,10)</f>
        <v>40300.162615740737</v>
      </c>
      <c r="C79">
        <v>80</v>
      </c>
      <c r="D79">
        <v>72.452682495000005</v>
      </c>
      <c r="E79">
        <v>50</v>
      </c>
      <c r="F79">
        <v>14.999269484999999</v>
      </c>
      <c r="G79">
        <v>1343.0996094</v>
      </c>
      <c r="H79">
        <v>1340.2614745999999</v>
      </c>
      <c r="I79">
        <v>1320.1311035000001</v>
      </c>
      <c r="J79">
        <v>1315.6082764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1.178409</v>
      </c>
      <c r="B80" s="1">
        <f>DATE(2010,5,2) + TIME(4,16,54)</f>
        <v>40300.178402777776</v>
      </c>
      <c r="C80">
        <v>80</v>
      </c>
      <c r="D80">
        <v>72.736289978000002</v>
      </c>
      <c r="E80">
        <v>50</v>
      </c>
      <c r="F80">
        <v>14.999270439</v>
      </c>
      <c r="G80">
        <v>1343.1180420000001</v>
      </c>
      <c r="H80">
        <v>1340.2772216999999</v>
      </c>
      <c r="I80">
        <v>1320.1312256000001</v>
      </c>
      <c r="J80">
        <v>1315.6082764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1.1941919999999999</v>
      </c>
      <c r="B81" s="1">
        <f>DATE(2010,5,2) + TIME(4,39,38)</f>
        <v>40300.194189814814</v>
      </c>
      <c r="C81">
        <v>80</v>
      </c>
      <c r="D81">
        <v>73.010322571000003</v>
      </c>
      <c r="E81">
        <v>50</v>
      </c>
      <c r="F81">
        <v>14.999272346</v>
      </c>
      <c r="G81">
        <v>1343.1359863</v>
      </c>
      <c r="H81">
        <v>1340.2924805</v>
      </c>
      <c r="I81">
        <v>1320.1313477000001</v>
      </c>
      <c r="J81">
        <v>1315.6082764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1.2099759999999999</v>
      </c>
      <c r="B82" s="1">
        <f>DATE(2010,5,2) + TIME(5,2,21)</f>
        <v>40300.209965277776</v>
      </c>
      <c r="C82">
        <v>80</v>
      </c>
      <c r="D82">
        <v>73.275016785000005</v>
      </c>
      <c r="E82">
        <v>50</v>
      </c>
      <c r="F82">
        <v>14.999274253999999</v>
      </c>
      <c r="G82">
        <v>1343.1535644999999</v>
      </c>
      <c r="H82">
        <v>1340.3073730000001</v>
      </c>
      <c r="I82">
        <v>1320.1314697</v>
      </c>
      <c r="J82">
        <v>1315.6083983999999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1.225759</v>
      </c>
      <c r="B83" s="1">
        <f>DATE(2010,5,2) + TIME(5,25,5)</f>
        <v>40300.225752314815</v>
      </c>
      <c r="C83">
        <v>80</v>
      </c>
      <c r="D83">
        <v>73.530632018999995</v>
      </c>
      <c r="E83">
        <v>50</v>
      </c>
      <c r="F83">
        <v>14.999276160999999</v>
      </c>
      <c r="G83">
        <v>1343.1705322</v>
      </c>
      <c r="H83">
        <v>1340.3216553</v>
      </c>
      <c r="I83">
        <v>1320.1314697</v>
      </c>
      <c r="J83">
        <v>1315.6083983999999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1.2415430000000001</v>
      </c>
      <c r="B84" s="1">
        <f>DATE(2010,5,2) + TIME(5,47,49)</f>
        <v>40300.241539351853</v>
      </c>
      <c r="C84">
        <v>80</v>
      </c>
      <c r="D84">
        <v>73.777404785000002</v>
      </c>
      <c r="E84">
        <v>50</v>
      </c>
      <c r="F84">
        <v>14.999277115</v>
      </c>
      <c r="G84">
        <v>1343.1871338000001</v>
      </c>
      <c r="H84">
        <v>1340.3354492000001</v>
      </c>
      <c r="I84">
        <v>1320.1315918</v>
      </c>
      <c r="J84">
        <v>1315.6083983999999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1.2573270000000001</v>
      </c>
      <c r="B85" s="1">
        <f>DATE(2010,5,2) + TIME(6,10,33)</f>
        <v>40300.257326388892</v>
      </c>
      <c r="C85">
        <v>80</v>
      </c>
      <c r="D85">
        <v>74.015579224000007</v>
      </c>
      <c r="E85">
        <v>50</v>
      </c>
      <c r="F85">
        <v>14.999279022</v>
      </c>
      <c r="G85">
        <v>1343.2032471</v>
      </c>
      <c r="H85">
        <v>1340.3487548999999</v>
      </c>
      <c r="I85">
        <v>1320.1317139</v>
      </c>
      <c r="J85">
        <v>1315.6085204999999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1.27311</v>
      </c>
      <c r="B86" s="1">
        <f>DATE(2010,5,2) + TIME(6,33,16)</f>
        <v>40300.273101851853</v>
      </c>
      <c r="C86">
        <v>80</v>
      </c>
      <c r="D86">
        <v>74.245391846000004</v>
      </c>
      <c r="E86">
        <v>50</v>
      </c>
      <c r="F86">
        <v>14.999280929999999</v>
      </c>
      <c r="G86">
        <v>1343.2189940999999</v>
      </c>
      <c r="H86">
        <v>1340.3616943</v>
      </c>
      <c r="I86">
        <v>1320.1318358999999</v>
      </c>
      <c r="J86">
        <v>1315.6085204999999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1.3046770000000001</v>
      </c>
      <c r="B87" s="1">
        <f>DATE(2010,5,2) + TIME(7,18,44)</f>
        <v>40300.304675925923</v>
      </c>
      <c r="C87">
        <v>80</v>
      </c>
      <c r="D87">
        <v>74.672004700000002</v>
      </c>
      <c r="E87">
        <v>50</v>
      </c>
      <c r="F87">
        <v>14.999283791</v>
      </c>
      <c r="G87">
        <v>1343.2271728999999</v>
      </c>
      <c r="H87">
        <v>1340.3747559000001</v>
      </c>
      <c r="I87">
        <v>1320.1318358999999</v>
      </c>
      <c r="J87">
        <v>1315.6086425999999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1.3363259999999999</v>
      </c>
      <c r="B88" s="1">
        <f>DATE(2010,5,2) + TIME(8,4,18)</f>
        <v>40300.336319444446</v>
      </c>
      <c r="C88">
        <v>80</v>
      </c>
      <c r="D88">
        <v>75.070129394999995</v>
      </c>
      <c r="E88">
        <v>50</v>
      </c>
      <c r="F88">
        <v>14.999286652</v>
      </c>
      <c r="G88">
        <v>1343.2562256000001</v>
      </c>
      <c r="H88">
        <v>1340.3975829999999</v>
      </c>
      <c r="I88">
        <v>1320.1320800999999</v>
      </c>
      <c r="J88">
        <v>1315.6086425999999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1.368314</v>
      </c>
      <c r="B89" s="1">
        <f>DATE(2010,5,2) + TIME(8,50,22)</f>
        <v>40300.368310185186</v>
      </c>
      <c r="C89">
        <v>80</v>
      </c>
      <c r="D89">
        <v>75.443862914999997</v>
      </c>
      <c r="E89">
        <v>50</v>
      </c>
      <c r="F89">
        <v>14.999289513000001</v>
      </c>
      <c r="G89">
        <v>1343.2835693</v>
      </c>
      <c r="H89">
        <v>1340.4189452999999</v>
      </c>
      <c r="I89">
        <v>1320.1322021000001</v>
      </c>
      <c r="J89">
        <v>1315.6087646000001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1.400687</v>
      </c>
      <c r="B90" s="1">
        <f>DATE(2010,5,2) + TIME(9,36,59)</f>
        <v>40300.400682870371</v>
      </c>
      <c r="C90">
        <v>80</v>
      </c>
      <c r="D90">
        <v>75.794746399000005</v>
      </c>
      <c r="E90">
        <v>50</v>
      </c>
      <c r="F90">
        <v>14.999292373999999</v>
      </c>
      <c r="G90">
        <v>1343.3096923999999</v>
      </c>
      <c r="H90">
        <v>1340.4387207</v>
      </c>
      <c r="I90">
        <v>1320.1324463000001</v>
      </c>
      <c r="J90">
        <v>1315.6088867000001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1.4334960000000001</v>
      </c>
      <c r="B91" s="1">
        <f>DATE(2010,5,2) + TIME(10,24,14)</f>
        <v>40300.433495370373</v>
      </c>
      <c r="C91">
        <v>80</v>
      </c>
      <c r="D91">
        <v>76.124053954999994</v>
      </c>
      <c r="E91">
        <v>50</v>
      </c>
      <c r="F91">
        <v>14.999295235</v>
      </c>
      <c r="G91">
        <v>1343.3343506000001</v>
      </c>
      <c r="H91">
        <v>1340.4572754000001</v>
      </c>
      <c r="I91">
        <v>1320.1325684000001</v>
      </c>
      <c r="J91">
        <v>1315.6088867000001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1.466796</v>
      </c>
      <c r="B92" s="1">
        <f>DATE(2010,5,2) + TIME(11,12,11)</f>
        <v>40300.466793981483</v>
      </c>
      <c r="C92">
        <v>80</v>
      </c>
      <c r="D92">
        <v>76.432952881000006</v>
      </c>
      <c r="E92">
        <v>50</v>
      </c>
      <c r="F92">
        <v>14.999298096</v>
      </c>
      <c r="G92">
        <v>1343.3577881000001</v>
      </c>
      <c r="H92">
        <v>1340.4746094</v>
      </c>
      <c r="I92">
        <v>1320.1328125</v>
      </c>
      <c r="J92">
        <v>1315.6090088000001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1.5006429999999999</v>
      </c>
      <c r="B93" s="1">
        <f>DATE(2010,5,2) + TIME(12,0,55)</f>
        <v>40300.500636574077</v>
      </c>
      <c r="C93">
        <v>80</v>
      </c>
      <c r="D93">
        <v>76.722534179999997</v>
      </c>
      <c r="E93">
        <v>50</v>
      </c>
      <c r="F93">
        <v>14.999300957000001</v>
      </c>
      <c r="G93">
        <v>1343.3800048999999</v>
      </c>
      <c r="H93">
        <v>1340.4906006000001</v>
      </c>
      <c r="I93">
        <v>1320.1329346</v>
      </c>
      <c r="J93">
        <v>1315.6091309000001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1.535096</v>
      </c>
      <c r="B94" s="1">
        <f>DATE(2010,5,2) + TIME(12,50,32)</f>
        <v>40300.535092592596</v>
      </c>
      <c r="C94">
        <v>80</v>
      </c>
      <c r="D94">
        <v>76.993827820000007</v>
      </c>
      <c r="E94">
        <v>50</v>
      </c>
      <c r="F94">
        <v>14.999303818</v>
      </c>
      <c r="G94">
        <v>1343.401001</v>
      </c>
      <c r="H94">
        <v>1340.5053711</v>
      </c>
      <c r="I94">
        <v>1320.1331786999999</v>
      </c>
      <c r="J94">
        <v>1315.6092529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1.570217</v>
      </c>
      <c r="B95" s="1">
        <f>DATE(2010,5,2) + TIME(13,41,6)</f>
        <v>40300.570208333331</v>
      </c>
      <c r="C95">
        <v>80</v>
      </c>
      <c r="D95">
        <v>77.247772217000005</v>
      </c>
      <c r="E95">
        <v>50</v>
      </c>
      <c r="F95">
        <v>14.999306679</v>
      </c>
      <c r="G95">
        <v>1343.4208983999999</v>
      </c>
      <c r="H95">
        <v>1340.5189209</v>
      </c>
      <c r="I95">
        <v>1320.1333007999999</v>
      </c>
      <c r="J95">
        <v>1315.609375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1.6060920000000001</v>
      </c>
      <c r="B96" s="1">
        <f>DATE(2010,5,2) + TIME(14,32,46)</f>
        <v>40300.606087962966</v>
      </c>
      <c r="C96">
        <v>80</v>
      </c>
      <c r="D96">
        <v>77.485351562000005</v>
      </c>
      <c r="E96">
        <v>50</v>
      </c>
      <c r="F96">
        <v>14.99930954</v>
      </c>
      <c r="G96">
        <v>1343.4395752</v>
      </c>
      <c r="H96">
        <v>1340.5314940999999</v>
      </c>
      <c r="I96">
        <v>1320.1334228999999</v>
      </c>
      <c r="J96">
        <v>1315.609375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1.642776</v>
      </c>
      <c r="B97" s="1">
        <f>DATE(2010,5,2) + TIME(15,25,35)</f>
        <v>40300.642766203702</v>
      </c>
      <c r="C97">
        <v>80</v>
      </c>
      <c r="D97">
        <v>77.707290649000001</v>
      </c>
      <c r="E97">
        <v>50</v>
      </c>
      <c r="F97">
        <v>14.999312400999999</v>
      </c>
      <c r="G97">
        <v>1343.4571533000001</v>
      </c>
      <c r="H97">
        <v>1340.5428466999999</v>
      </c>
      <c r="I97">
        <v>1320.1336670000001</v>
      </c>
      <c r="J97">
        <v>1315.6094971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1.680348</v>
      </c>
      <c r="B98" s="1">
        <f>DATE(2010,5,2) + TIME(16,19,42)</f>
        <v>40300.680347222224</v>
      </c>
      <c r="C98">
        <v>80</v>
      </c>
      <c r="D98">
        <v>77.914375304999993</v>
      </c>
      <c r="E98">
        <v>50</v>
      </c>
      <c r="F98">
        <v>14.999314308000001</v>
      </c>
      <c r="G98">
        <v>1343.4735106999999</v>
      </c>
      <c r="H98">
        <v>1340.5531006000001</v>
      </c>
      <c r="I98">
        <v>1320.1337891000001</v>
      </c>
      <c r="J98">
        <v>1315.6096190999999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1.7188939999999999</v>
      </c>
      <c r="B99" s="1">
        <f>DATE(2010,5,2) + TIME(17,15,12)</f>
        <v>40300.718888888892</v>
      </c>
      <c r="C99">
        <v>80</v>
      </c>
      <c r="D99">
        <v>78.107345581000004</v>
      </c>
      <c r="E99">
        <v>50</v>
      </c>
      <c r="F99">
        <v>14.999317168999999</v>
      </c>
      <c r="G99">
        <v>1343.4888916</v>
      </c>
      <c r="H99">
        <v>1340.5622559000001</v>
      </c>
      <c r="I99">
        <v>1320.1340332</v>
      </c>
      <c r="J99">
        <v>1315.6097411999999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1.7585059999999999</v>
      </c>
      <c r="B100" s="1">
        <f>DATE(2010,5,2) + TIME(18,12,14)</f>
        <v>40300.75849537037</v>
      </c>
      <c r="C100">
        <v>80</v>
      </c>
      <c r="D100">
        <v>78.286903381000002</v>
      </c>
      <c r="E100">
        <v>50</v>
      </c>
      <c r="F100">
        <v>14.99932003</v>
      </c>
      <c r="G100">
        <v>1343.5031738</v>
      </c>
      <c r="H100">
        <v>1340.5704346</v>
      </c>
      <c r="I100">
        <v>1320.1341553</v>
      </c>
      <c r="J100">
        <v>1315.6098632999999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1.799291</v>
      </c>
      <c r="B101" s="1">
        <f>DATE(2010,5,2) + TIME(19,10,58)</f>
        <v>40300.79928240741</v>
      </c>
      <c r="C101">
        <v>80</v>
      </c>
      <c r="D101">
        <v>78.453712463000002</v>
      </c>
      <c r="E101">
        <v>50</v>
      </c>
      <c r="F101">
        <v>14.999322891</v>
      </c>
      <c r="G101">
        <v>1343.5163574000001</v>
      </c>
      <c r="H101">
        <v>1340.5775146000001</v>
      </c>
      <c r="I101">
        <v>1320.1343993999999</v>
      </c>
      <c r="J101">
        <v>1315.6099853999999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1.841369</v>
      </c>
      <c r="B102" s="1">
        <f>DATE(2010,5,2) + TIME(20,11,34)</f>
        <v>40300.841365740744</v>
      </c>
      <c r="C102">
        <v>80</v>
      </c>
      <c r="D102">
        <v>78.608421325999998</v>
      </c>
      <c r="E102">
        <v>50</v>
      </c>
      <c r="F102">
        <v>14.999325752000001</v>
      </c>
      <c r="G102">
        <v>1343.5284423999999</v>
      </c>
      <c r="H102">
        <v>1340.5834961</v>
      </c>
      <c r="I102">
        <v>1320.1345214999999</v>
      </c>
      <c r="J102">
        <v>1315.6099853999999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1.8848689999999999</v>
      </c>
      <c r="B103" s="1">
        <f>DATE(2010,5,2) + TIME(21,14,12)</f>
        <v>40300.88486111111</v>
      </c>
      <c r="C103">
        <v>80</v>
      </c>
      <c r="D103">
        <v>78.751625060999999</v>
      </c>
      <c r="E103">
        <v>50</v>
      </c>
      <c r="F103">
        <v>14.999328612999999</v>
      </c>
      <c r="G103">
        <v>1343.5394286999999</v>
      </c>
      <c r="H103">
        <v>1340.588501</v>
      </c>
      <c r="I103">
        <v>1320.1347656</v>
      </c>
      <c r="J103">
        <v>1315.6101074000001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1.9297089999999999</v>
      </c>
      <c r="B104" s="1">
        <f>DATE(2010,5,2) + TIME(22,18,46)</f>
        <v>40300.929699074077</v>
      </c>
      <c r="C104">
        <v>80</v>
      </c>
      <c r="D104">
        <v>78.883300781000003</v>
      </c>
      <c r="E104">
        <v>50</v>
      </c>
      <c r="F104">
        <v>14.999331474</v>
      </c>
      <c r="G104">
        <v>1343.5494385</v>
      </c>
      <c r="H104">
        <v>1340.5925293</v>
      </c>
      <c r="I104">
        <v>1320.1348877</v>
      </c>
      <c r="J104">
        <v>1315.6102295000001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1.9759</v>
      </c>
      <c r="B105" s="1">
        <f>DATE(2010,5,2) + TIME(23,25,17)</f>
        <v>40300.975891203707</v>
      </c>
      <c r="C105">
        <v>80</v>
      </c>
      <c r="D105">
        <v>79.003837584999999</v>
      </c>
      <c r="E105">
        <v>50</v>
      </c>
      <c r="F105">
        <v>14.999334335</v>
      </c>
      <c r="G105">
        <v>1343.5583495999999</v>
      </c>
      <c r="H105">
        <v>1340.5954589999999</v>
      </c>
      <c r="I105">
        <v>1320.1351318</v>
      </c>
      <c r="J105">
        <v>1315.6103516000001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2.0235300000000001</v>
      </c>
      <c r="B106" s="1">
        <f>DATE(2010,5,3) + TIME(0,33,52)</f>
        <v>40301.023518518516</v>
      </c>
      <c r="C106">
        <v>80</v>
      </c>
      <c r="D106">
        <v>79.113845824999999</v>
      </c>
      <c r="E106">
        <v>50</v>
      </c>
      <c r="F106">
        <v>14.999337196000001</v>
      </c>
      <c r="G106">
        <v>1343.5660399999999</v>
      </c>
      <c r="H106">
        <v>1340.5972899999999</v>
      </c>
      <c r="I106">
        <v>1320.1352539</v>
      </c>
      <c r="J106">
        <v>1315.6104736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2.0726810000000002</v>
      </c>
      <c r="B107" s="1">
        <f>DATE(2010,5,3) + TIME(1,44,39)</f>
        <v>40301.07267361111</v>
      </c>
      <c r="C107">
        <v>80</v>
      </c>
      <c r="D107">
        <v>79.213905334000003</v>
      </c>
      <c r="E107">
        <v>50</v>
      </c>
      <c r="F107">
        <v>14.999340057</v>
      </c>
      <c r="G107">
        <v>1343.5727539</v>
      </c>
      <c r="H107">
        <v>1340.5982666</v>
      </c>
      <c r="I107">
        <v>1320.1354980000001</v>
      </c>
      <c r="J107">
        <v>1315.6105957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2.1235019999999998</v>
      </c>
      <c r="B108" s="1">
        <f>DATE(2010,5,3) + TIME(2,57,50)</f>
        <v>40301.123495370368</v>
      </c>
      <c r="C108">
        <v>80</v>
      </c>
      <c r="D108">
        <v>79.304695128999995</v>
      </c>
      <c r="E108">
        <v>50</v>
      </c>
      <c r="F108">
        <v>14.999342918</v>
      </c>
      <c r="G108">
        <v>1343.5782471</v>
      </c>
      <c r="H108">
        <v>1340.5980225000001</v>
      </c>
      <c r="I108">
        <v>1320.1356201000001</v>
      </c>
      <c r="J108">
        <v>1315.6107178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2.1761590000000002</v>
      </c>
      <c r="B109" s="1">
        <f>DATE(2010,5,3) + TIME(4,13,40)</f>
        <v>40301.176157407404</v>
      </c>
      <c r="C109">
        <v>80</v>
      </c>
      <c r="D109">
        <v>79.386840820000003</v>
      </c>
      <c r="E109">
        <v>50</v>
      </c>
      <c r="F109">
        <v>14.999345779</v>
      </c>
      <c r="G109">
        <v>1343.5825195</v>
      </c>
      <c r="H109">
        <v>1340.5969238</v>
      </c>
      <c r="I109">
        <v>1320.1358643000001</v>
      </c>
      <c r="J109">
        <v>1315.6108397999999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2.2307000000000001</v>
      </c>
      <c r="B110" s="1">
        <f>DATE(2010,5,3) + TIME(5,32,12)</f>
        <v>40301.230694444443</v>
      </c>
      <c r="C110">
        <v>80</v>
      </c>
      <c r="D110">
        <v>79.460784911999994</v>
      </c>
      <c r="E110">
        <v>50</v>
      </c>
      <c r="F110">
        <v>14.999348639999999</v>
      </c>
      <c r="G110">
        <v>1343.5858154</v>
      </c>
      <c r="H110">
        <v>1340.5947266000001</v>
      </c>
      <c r="I110">
        <v>1320.1359863</v>
      </c>
      <c r="J110">
        <v>1315.6109618999999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2.258381</v>
      </c>
      <c r="B111" s="1">
        <f>DATE(2010,5,3) + TIME(6,12,4)</f>
        <v>40301.258379629631</v>
      </c>
      <c r="C111">
        <v>80</v>
      </c>
      <c r="D111">
        <v>79.495697020999998</v>
      </c>
      <c r="E111">
        <v>50</v>
      </c>
      <c r="F111">
        <v>14.999349594</v>
      </c>
      <c r="G111">
        <v>1343.5898437999999</v>
      </c>
      <c r="H111">
        <v>1340.5915527</v>
      </c>
      <c r="I111">
        <v>1320.1362305</v>
      </c>
      <c r="J111">
        <v>1315.6110839999999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2.2860619999999998</v>
      </c>
      <c r="B112" s="1">
        <f>DATE(2010,5,3) + TIME(6,51,55)</f>
        <v>40301.286053240743</v>
      </c>
      <c r="C112">
        <v>80</v>
      </c>
      <c r="D112">
        <v>79.528114318999997</v>
      </c>
      <c r="E112">
        <v>50</v>
      </c>
      <c r="F112">
        <v>14.999351501</v>
      </c>
      <c r="G112">
        <v>1343.5905762</v>
      </c>
      <c r="H112">
        <v>1340.5898437999999</v>
      </c>
      <c r="I112">
        <v>1320.1362305</v>
      </c>
      <c r="J112">
        <v>1315.6112060999999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2.3137430000000001</v>
      </c>
      <c r="B113" s="1">
        <f>DATE(2010,5,3) + TIME(7,31,47)</f>
        <v>40301.313738425924</v>
      </c>
      <c r="C113">
        <v>80</v>
      </c>
      <c r="D113">
        <v>79.558212280000006</v>
      </c>
      <c r="E113">
        <v>50</v>
      </c>
      <c r="F113">
        <v>14.999352455</v>
      </c>
      <c r="G113">
        <v>1343.5911865</v>
      </c>
      <c r="H113">
        <v>1340.5878906</v>
      </c>
      <c r="I113">
        <v>1320.1363524999999</v>
      </c>
      <c r="J113">
        <v>1315.6112060999999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2.3414239999999999</v>
      </c>
      <c r="B114" s="1">
        <f>DATE(2010,5,3) + TIME(8,11,39)</f>
        <v>40301.341423611113</v>
      </c>
      <c r="C114">
        <v>80</v>
      </c>
      <c r="D114">
        <v>79.586158752000003</v>
      </c>
      <c r="E114">
        <v>50</v>
      </c>
      <c r="F114">
        <v>14.999354362</v>
      </c>
      <c r="G114">
        <v>1343.5914307</v>
      </c>
      <c r="H114">
        <v>1340.5856934000001</v>
      </c>
      <c r="I114">
        <v>1320.1364745999999</v>
      </c>
      <c r="J114">
        <v>1315.6113281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2.3691049999999998</v>
      </c>
      <c r="B115" s="1">
        <f>DATE(2010,5,3) + TIME(8,51,30)</f>
        <v>40301.369097222225</v>
      </c>
      <c r="C115">
        <v>80</v>
      </c>
      <c r="D115">
        <v>79.612098693999997</v>
      </c>
      <c r="E115">
        <v>50</v>
      </c>
      <c r="F115">
        <v>14.999355316000001</v>
      </c>
      <c r="G115">
        <v>1343.5913086</v>
      </c>
      <c r="H115">
        <v>1340.583374</v>
      </c>
      <c r="I115">
        <v>1320.1365966999999</v>
      </c>
      <c r="J115">
        <v>1315.6113281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2.4244669999999999</v>
      </c>
      <c r="B116" s="1">
        <f>DATE(2010,5,3) + TIME(10,11,13)</f>
        <v>40301.424456018518</v>
      </c>
      <c r="C116">
        <v>80</v>
      </c>
      <c r="D116">
        <v>79.656990050999994</v>
      </c>
      <c r="E116">
        <v>50</v>
      </c>
      <c r="F116">
        <v>14.999358177</v>
      </c>
      <c r="G116">
        <v>1343.5897216999999</v>
      </c>
      <c r="H116">
        <v>1340.5809326000001</v>
      </c>
      <c r="I116">
        <v>1320.1367187999999</v>
      </c>
      <c r="J116">
        <v>1315.6114502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2.479914</v>
      </c>
      <c r="B117" s="1">
        <f>DATE(2010,5,3) + TIME(11,31,4)</f>
        <v>40301.479907407411</v>
      </c>
      <c r="C117">
        <v>80</v>
      </c>
      <c r="D117">
        <v>79.695945739999999</v>
      </c>
      <c r="E117">
        <v>50</v>
      </c>
      <c r="F117">
        <v>14.999361038</v>
      </c>
      <c r="G117">
        <v>1343.5882568</v>
      </c>
      <c r="H117">
        <v>1340.5751952999999</v>
      </c>
      <c r="I117">
        <v>1320.1369629000001</v>
      </c>
      <c r="J117">
        <v>1315.6115723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2.535501</v>
      </c>
      <c r="B118" s="1">
        <f>DATE(2010,5,3) + TIME(12,51,7)</f>
        <v>40301.535497685189</v>
      </c>
      <c r="C118">
        <v>80</v>
      </c>
      <c r="D118">
        <v>79.729759216000005</v>
      </c>
      <c r="E118">
        <v>50</v>
      </c>
      <c r="F118">
        <v>14.999363899</v>
      </c>
      <c r="G118">
        <v>1343.5860596</v>
      </c>
      <c r="H118">
        <v>1340.5689697</v>
      </c>
      <c r="I118">
        <v>1320.1370850000001</v>
      </c>
      <c r="J118">
        <v>1315.6116943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2.5912799999999998</v>
      </c>
      <c r="B119" s="1">
        <f>DATE(2010,5,3) + TIME(14,11,26)</f>
        <v>40301.591273148151</v>
      </c>
      <c r="C119">
        <v>80</v>
      </c>
      <c r="D119">
        <v>79.759124756000006</v>
      </c>
      <c r="E119">
        <v>50</v>
      </c>
      <c r="F119">
        <v>14.999365807</v>
      </c>
      <c r="G119">
        <v>1343.5830077999999</v>
      </c>
      <c r="H119">
        <v>1340.5622559000001</v>
      </c>
      <c r="I119">
        <v>1320.1373291</v>
      </c>
      <c r="J119">
        <v>1315.6118164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2.6473270000000002</v>
      </c>
      <c r="B120" s="1">
        <f>DATE(2010,5,3) + TIME(15,32,9)</f>
        <v>40301.647326388891</v>
      </c>
      <c r="C120">
        <v>80</v>
      </c>
      <c r="D120">
        <v>79.784652710000003</v>
      </c>
      <c r="E120">
        <v>50</v>
      </c>
      <c r="F120">
        <v>14.999368668000001</v>
      </c>
      <c r="G120">
        <v>1343.5793457</v>
      </c>
      <c r="H120">
        <v>1340.5549315999999</v>
      </c>
      <c r="I120">
        <v>1320.1374512</v>
      </c>
      <c r="J120">
        <v>1315.6119385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2.7037409999999999</v>
      </c>
      <c r="B121" s="1">
        <f>DATE(2010,5,3) + TIME(16,53,23)</f>
        <v>40301.703738425924</v>
      </c>
      <c r="C121">
        <v>80</v>
      </c>
      <c r="D121">
        <v>79.806854247999993</v>
      </c>
      <c r="E121">
        <v>50</v>
      </c>
      <c r="F121">
        <v>14.999370575</v>
      </c>
      <c r="G121">
        <v>1343.5749512</v>
      </c>
      <c r="H121">
        <v>1340.5473632999999</v>
      </c>
      <c r="I121">
        <v>1320.1375731999999</v>
      </c>
      <c r="J121">
        <v>1315.6120605000001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2.7606069999999998</v>
      </c>
      <c r="B122" s="1">
        <f>DATE(2010,5,3) + TIME(18,15,16)</f>
        <v>40301.760601851849</v>
      </c>
      <c r="C122">
        <v>80</v>
      </c>
      <c r="D122">
        <v>79.826187133999994</v>
      </c>
      <c r="E122">
        <v>50</v>
      </c>
      <c r="F122">
        <v>14.999373436000001</v>
      </c>
      <c r="G122">
        <v>1343.5699463000001</v>
      </c>
      <c r="H122">
        <v>1340.5394286999999</v>
      </c>
      <c r="I122">
        <v>1320.1378173999999</v>
      </c>
      <c r="J122">
        <v>1315.6121826000001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2.8180109999999998</v>
      </c>
      <c r="B123" s="1">
        <f>DATE(2010,5,3) + TIME(19,37,56)</f>
        <v>40301.818009259259</v>
      </c>
      <c r="C123">
        <v>80</v>
      </c>
      <c r="D123">
        <v>79.843017578000001</v>
      </c>
      <c r="E123">
        <v>50</v>
      </c>
      <c r="F123">
        <v>14.999375343000001</v>
      </c>
      <c r="G123">
        <v>1343.5644531</v>
      </c>
      <c r="H123">
        <v>1340.5311279</v>
      </c>
      <c r="I123">
        <v>1320.1379394999999</v>
      </c>
      <c r="J123">
        <v>1315.6123047000001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2.876039</v>
      </c>
      <c r="B124" s="1">
        <f>DATE(2010,5,3) + TIME(21,1,29)</f>
        <v>40301.876030092593</v>
      </c>
      <c r="C124">
        <v>80</v>
      </c>
      <c r="D124">
        <v>79.857673645000006</v>
      </c>
      <c r="E124">
        <v>50</v>
      </c>
      <c r="F124">
        <v>14.999378203999999</v>
      </c>
      <c r="G124">
        <v>1343.5584716999999</v>
      </c>
      <c r="H124">
        <v>1340.5224608999999</v>
      </c>
      <c r="I124">
        <v>1320.1381836</v>
      </c>
      <c r="J124">
        <v>1315.6124268000001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2.9347799999999999</v>
      </c>
      <c r="B125" s="1">
        <f>DATE(2010,5,3) + TIME(22,26,5)</f>
        <v>40301.93478009259</v>
      </c>
      <c r="C125">
        <v>80</v>
      </c>
      <c r="D125">
        <v>79.870445251000007</v>
      </c>
      <c r="E125">
        <v>50</v>
      </c>
      <c r="F125">
        <v>14.999380112000001</v>
      </c>
      <c r="G125">
        <v>1343.5520019999999</v>
      </c>
      <c r="H125">
        <v>1340.5135498</v>
      </c>
      <c r="I125">
        <v>1320.1383057</v>
      </c>
      <c r="J125">
        <v>1315.6125488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2.994326</v>
      </c>
      <c r="B126" s="1">
        <f>DATE(2010,5,3) + TIME(23,51,49)</f>
        <v>40301.994317129633</v>
      </c>
      <c r="C126">
        <v>80</v>
      </c>
      <c r="D126">
        <v>79.881561278999996</v>
      </c>
      <c r="E126">
        <v>50</v>
      </c>
      <c r="F126">
        <v>14.999382972999999</v>
      </c>
      <c r="G126">
        <v>1343.5451660000001</v>
      </c>
      <c r="H126">
        <v>1340.5043945</v>
      </c>
      <c r="I126">
        <v>1320.1384277</v>
      </c>
      <c r="J126">
        <v>1315.6126709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3.0547710000000001</v>
      </c>
      <c r="B127" s="1">
        <f>DATE(2010,5,4) + TIME(1,18,52)</f>
        <v>40302.054768518516</v>
      </c>
      <c r="C127">
        <v>80</v>
      </c>
      <c r="D127">
        <v>79.891242981000005</v>
      </c>
      <c r="E127">
        <v>50</v>
      </c>
      <c r="F127">
        <v>14.999384879999999</v>
      </c>
      <c r="G127">
        <v>1343.5378418</v>
      </c>
      <c r="H127">
        <v>1340.4949951000001</v>
      </c>
      <c r="I127">
        <v>1320.1386719</v>
      </c>
      <c r="J127">
        <v>1315.612793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3.1162160000000001</v>
      </c>
      <c r="B128" s="1">
        <f>DATE(2010,5,4) + TIME(2,47,21)</f>
        <v>40302.116215277776</v>
      </c>
      <c r="C128">
        <v>80</v>
      </c>
      <c r="D128">
        <v>79.899665833</v>
      </c>
      <c r="E128">
        <v>50</v>
      </c>
      <c r="F128">
        <v>14.999386787000001</v>
      </c>
      <c r="G128">
        <v>1343.5300293</v>
      </c>
      <c r="H128">
        <v>1340.4853516000001</v>
      </c>
      <c r="I128">
        <v>1320.1387939000001</v>
      </c>
      <c r="J128">
        <v>1315.6129149999999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3.1787640000000001</v>
      </c>
      <c r="B129" s="1">
        <f>DATE(2010,5,4) + TIME(4,17,25)</f>
        <v>40302.178761574076</v>
      </c>
      <c r="C129">
        <v>80</v>
      </c>
      <c r="D129">
        <v>79.906997681000007</v>
      </c>
      <c r="E129">
        <v>50</v>
      </c>
      <c r="F129">
        <v>14.999389647999999</v>
      </c>
      <c r="G129">
        <v>1343.5219727000001</v>
      </c>
      <c r="H129">
        <v>1340.4754639</v>
      </c>
      <c r="I129">
        <v>1320.1390381000001</v>
      </c>
      <c r="J129">
        <v>1315.6130370999999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3.2425579999999998</v>
      </c>
      <c r="B130" s="1">
        <f>DATE(2010,5,4) + TIME(5,49,17)</f>
        <v>40302.24255787037</v>
      </c>
      <c r="C130">
        <v>80</v>
      </c>
      <c r="D130">
        <v>79.913375853999995</v>
      </c>
      <c r="E130">
        <v>50</v>
      </c>
      <c r="F130">
        <v>14.999391556000001</v>
      </c>
      <c r="G130">
        <v>1343.5134277</v>
      </c>
      <c r="H130">
        <v>1340.4652100000001</v>
      </c>
      <c r="I130">
        <v>1320.1391602000001</v>
      </c>
      <c r="J130">
        <v>1315.6131591999999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3.307693</v>
      </c>
      <c r="B131" s="1">
        <f>DATE(2010,5,4) + TIME(7,23,4)</f>
        <v>40302.307685185187</v>
      </c>
      <c r="C131">
        <v>80</v>
      </c>
      <c r="D131">
        <v>79.918914795000006</v>
      </c>
      <c r="E131">
        <v>50</v>
      </c>
      <c r="F131">
        <v>14.999393463000001</v>
      </c>
      <c r="G131">
        <v>1343.5043945</v>
      </c>
      <c r="H131">
        <v>1340.4547118999999</v>
      </c>
      <c r="I131">
        <v>1320.1394043</v>
      </c>
      <c r="J131">
        <v>1315.6134033000001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3.3742990000000002</v>
      </c>
      <c r="B132" s="1">
        <f>DATE(2010,5,4) + TIME(8,58,59)</f>
        <v>40302.374293981484</v>
      </c>
      <c r="C132">
        <v>80</v>
      </c>
      <c r="D132">
        <v>79.923721313000001</v>
      </c>
      <c r="E132">
        <v>50</v>
      </c>
      <c r="F132">
        <v>14.999396323999999</v>
      </c>
      <c r="G132">
        <v>1343.4949951000001</v>
      </c>
      <c r="H132">
        <v>1340.4439697</v>
      </c>
      <c r="I132">
        <v>1320.1395264</v>
      </c>
      <c r="J132">
        <v>1315.6135254000001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3.442517</v>
      </c>
      <c r="B133" s="1">
        <f>DATE(2010,5,4) + TIME(10,37,13)</f>
        <v>40302.442511574074</v>
      </c>
      <c r="C133">
        <v>80</v>
      </c>
      <c r="D133">
        <v>79.927894592000001</v>
      </c>
      <c r="E133">
        <v>50</v>
      </c>
      <c r="F133">
        <v>14.999398232000001</v>
      </c>
      <c r="G133">
        <v>1343.4851074000001</v>
      </c>
      <c r="H133">
        <v>1340.4329834</v>
      </c>
      <c r="I133">
        <v>1320.1397704999999</v>
      </c>
      <c r="J133">
        <v>1315.6136475000001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3.512502</v>
      </c>
      <c r="B134" s="1">
        <f>DATE(2010,5,4) + TIME(12,18,0)</f>
        <v>40302.512499999997</v>
      </c>
      <c r="C134">
        <v>80</v>
      </c>
      <c r="D134">
        <v>79.931510924999998</v>
      </c>
      <c r="E134">
        <v>50</v>
      </c>
      <c r="F134">
        <v>14.999401092999999</v>
      </c>
      <c r="G134">
        <v>1343.4749756000001</v>
      </c>
      <c r="H134">
        <v>1340.4217529</v>
      </c>
      <c r="I134">
        <v>1320.1398925999999</v>
      </c>
      <c r="J134">
        <v>1315.6137695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3.5844230000000001</v>
      </c>
      <c r="B135" s="1">
        <f>DATE(2010,5,4) + TIME(14,1,34)</f>
        <v>40302.584421296298</v>
      </c>
      <c r="C135">
        <v>80</v>
      </c>
      <c r="D135">
        <v>79.934638977000006</v>
      </c>
      <c r="E135">
        <v>50</v>
      </c>
      <c r="F135">
        <v>14.999402999999999</v>
      </c>
      <c r="G135">
        <v>1343.4644774999999</v>
      </c>
      <c r="H135">
        <v>1340.4102783000001</v>
      </c>
      <c r="I135">
        <v>1320.1401367000001</v>
      </c>
      <c r="J135">
        <v>1315.6138916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3.6582530000000002</v>
      </c>
      <c r="B136" s="1">
        <f>DATE(2010,5,4) + TIME(15,47,53)</f>
        <v>40302.658252314817</v>
      </c>
      <c r="C136">
        <v>80</v>
      </c>
      <c r="D136">
        <v>79.937339782999999</v>
      </c>
      <c r="E136">
        <v>50</v>
      </c>
      <c r="F136">
        <v>14.999404907000001</v>
      </c>
      <c r="G136">
        <v>1343.4534911999999</v>
      </c>
      <c r="H136">
        <v>1340.3984375</v>
      </c>
      <c r="I136">
        <v>1320.1402588000001</v>
      </c>
      <c r="J136">
        <v>1315.6140137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3.734162</v>
      </c>
      <c r="B137" s="1">
        <f>DATE(2010,5,4) + TIME(17,37,11)</f>
        <v>40302.734155092592</v>
      </c>
      <c r="C137">
        <v>80</v>
      </c>
      <c r="D137">
        <v>79.939666747999993</v>
      </c>
      <c r="E137">
        <v>50</v>
      </c>
      <c r="F137">
        <v>14.999407767999999</v>
      </c>
      <c r="G137">
        <v>1343.4410399999999</v>
      </c>
      <c r="H137">
        <v>1340.3856201000001</v>
      </c>
      <c r="I137">
        <v>1320.1405029</v>
      </c>
      <c r="J137">
        <v>1315.6142577999999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3.8122180000000001</v>
      </c>
      <c r="B138" s="1">
        <f>DATE(2010,5,4) + TIME(19,29,35)</f>
        <v>40302.812210648146</v>
      </c>
      <c r="C138">
        <v>80</v>
      </c>
      <c r="D138">
        <v>79.941673279</v>
      </c>
      <c r="E138">
        <v>50</v>
      </c>
      <c r="F138">
        <v>14.999409676000001</v>
      </c>
      <c r="G138">
        <v>1343.4283447</v>
      </c>
      <c r="H138">
        <v>1340.3724365</v>
      </c>
      <c r="I138">
        <v>1320.140625</v>
      </c>
      <c r="J138">
        <v>1315.6143798999999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3.8919709999999998</v>
      </c>
      <c r="B139" s="1">
        <f>DATE(2010,5,4) + TIME(21,24,26)</f>
        <v>40302.891967592594</v>
      </c>
      <c r="C139">
        <v>80</v>
      </c>
      <c r="D139">
        <v>79.943382263000004</v>
      </c>
      <c r="E139">
        <v>50</v>
      </c>
      <c r="F139">
        <v>14.999412537</v>
      </c>
      <c r="G139">
        <v>1343.4151611</v>
      </c>
      <c r="H139">
        <v>1340.3591309000001</v>
      </c>
      <c r="I139">
        <v>1320.1408690999999</v>
      </c>
      <c r="J139">
        <v>1315.6145019999999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3.9735939999999998</v>
      </c>
      <c r="B140" s="1">
        <f>DATE(2010,5,4) + TIME(23,21,58)</f>
        <v>40302.973587962966</v>
      </c>
      <c r="C140">
        <v>80</v>
      </c>
      <c r="D140">
        <v>79.944839478000006</v>
      </c>
      <c r="E140">
        <v>50</v>
      </c>
      <c r="F140">
        <v>14.999414443999999</v>
      </c>
      <c r="G140">
        <v>1343.4018555</v>
      </c>
      <c r="H140">
        <v>1340.3455810999999</v>
      </c>
      <c r="I140">
        <v>1320.1411132999999</v>
      </c>
      <c r="J140">
        <v>1315.6147461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4.0151149999999998</v>
      </c>
      <c r="B141" s="1">
        <f>DATE(2010,5,5) + TIME(0,21,45)</f>
        <v>40303.015104166669</v>
      </c>
      <c r="C141">
        <v>80</v>
      </c>
      <c r="D141">
        <v>79.945510863999999</v>
      </c>
      <c r="E141">
        <v>50</v>
      </c>
      <c r="F141">
        <v>14.999415398</v>
      </c>
      <c r="G141">
        <v>1343.3883057</v>
      </c>
      <c r="H141">
        <v>1340.3316649999999</v>
      </c>
      <c r="I141">
        <v>1320.1412353999999</v>
      </c>
      <c r="J141">
        <v>1315.6148682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4.0566360000000001</v>
      </c>
      <c r="B142" s="1">
        <f>DATE(2010,5,5) + TIME(1,21,33)</f>
        <v>40303.056631944448</v>
      </c>
      <c r="C142">
        <v>80</v>
      </c>
      <c r="D142">
        <v>79.946128845000004</v>
      </c>
      <c r="E142">
        <v>50</v>
      </c>
      <c r="F142">
        <v>14.999417305</v>
      </c>
      <c r="G142">
        <v>1343.3814697</v>
      </c>
      <c r="H142">
        <v>1340.324707</v>
      </c>
      <c r="I142">
        <v>1320.1413574000001</v>
      </c>
      <c r="J142">
        <v>1315.6148682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4.0981579999999997</v>
      </c>
      <c r="B143" s="1">
        <f>DATE(2010,5,5) + TIME(2,21,20)</f>
        <v>40303.09814814815</v>
      </c>
      <c r="C143">
        <v>80</v>
      </c>
      <c r="D143">
        <v>79.946685790999993</v>
      </c>
      <c r="E143">
        <v>50</v>
      </c>
      <c r="F143">
        <v>14.999418259</v>
      </c>
      <c r="G143">
        <v>1343.3746338000001</v>
      </c>
      <c r="H143">
        <v>1340.3179932</v>
      </c>
      <c r="I143">
        <v>1320.1414795000001</v>
      </c>
      <c r="J143">
        <v>1315.6149902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4.1396790000000001</v>
      </c>
      <c r="B144" s="1">
        <f>DATE(2010,5,5) + TIME(3,21,8)</f>
        <v>40303.139675925922</v>
      </c>
      <c r="C144">
        <v>80</v>
      </c>
      <c r="D144">
        <v>79.947196959999999</v>
      </c>
      <c r="E144">
        <v>50</v>
      </c>
      <c r="F144">
        <v>14.999419211999999</v>
      </c>
      <c r="G144">
        <v>1343.3677978999999</v>
      </c>
      <c r="H144">
        <v>1340.3111572</v>
      </c>
      <c r="I144">
        <v>1320.1416016000001</v>
      </c>
      <c r="J144">
        <v>1315.6151123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4.1812009999999997</v>
      </c>
      <c r="B145" s="1">
        <f>DATE(2010,5,5) + TIME(4,20,55)</f>
        <v>40303.181192129632</v>
      </c>
      <c r="C145">
        <v>80</v>
      </c>
      <c r="D145">
        <v>79.947662354000002</v>
      </c>
      <c r="E145">
        <v>50</v>
      </c>
      <c r="F145">
        <v>14.999420166</v>
      </c>
      <c r="G145">
        <v>1343.3609618999999</v>
      </c>
      <c r="H145">
        <v>1340.3044434000001</v>
      </c>
      <c r="I145">
        <v>1320.1417236</v>
      </c>
      <c r="J145">
        <v>1315.6151123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4.2227220000000001</v>
      </c>
      <c r="B146" s="1">
        <f>DATE(2010,5,5) + TIME(5,20,43)</f>
        <v>40303.222719907404</v>
      </c>
      <c r="C146">
        <v>80</v>
      </c>
      <c r="D146">
        <v>79.948089600000003</v>
      </c>
      <c r="E146">
        <v>50</v>
      </c>
      <c r="F146">
        <v>14.999422073</v>
      </c>
      <c r="G146">
        <v>1343.3542480000001</v>
      </c>
      <c r="H146">
        <v>1340.2978516000001</v>
      </c>
      <c r="I146">
        <v>1320.1418457</v>
      </c>
      <c r="J146">
        <v>1315.6152344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4.2642429999999996</v>
      </c>
      <c r="B147" s="1">
        <f>DATE(2010,5,5) + TIME(6,20,30)</f>
        <v>40303.264236111114</v>
      </c>
      <c r="C147">
        <v>80</v>
      </c>
      <c r="D147">
        <v>79.948478699000006</v>
      </c>
      <c r="E147">
        <v>50</v>
      </c>
      <c r="F147">
        <v>14.999423027000001</v>
      </c>
      <c r="G147">
        <v>1343.3475341999999</v>
      </c>
      <c r="H147">
        <v>1340.2911377</v>
      </c>
      <c r="I147">
        <v>1320.1418457</v>
      </c>
      <c r="J147">
        <v>1315.6153564000001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4.3057650000000001</v>
      </c>
      <c r="B148" s="1">
        <f>DATE(2010,5,5) + TIME(7,20,18)</f>
        <v>40303.305763888886</v>
      </c>
      <c r="C148">
        <v>80</v>
      </c>
      <c r="D148">
        <v>79.948829650999997</v>
      </c>
      <c r="E148">
        <v>50</v>
      </c>
      <c r="F148">
        <v>14.999423981</v>
      </c>
      <c r="G148">
        <v>1343.3408202999999</v>
      </c>
      <c r="H148">
        <v>1340.284668</v>
      </c>
      <c r="I148">
        <v>1320.1419678</v>
      </c>
      <c r="J148">
        <v>1315.6153564000001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4.3472860000000004</v>
      </c>
      <c r="B149" s="1">
        <f>DATE(2010,5,5) + TIME(8,20,5)</f>
        <v>40303.347280092596</v>
      </c>
      <c r="C149">
        <v>80</v>
      </c>
      <c r="D149">
        <v>79.949157714999998</v>
      </c>
      <c r="E149">
        <v>50</v>
      </c>
      <c r="F149">
        <v>14.999424934</v>
      </c>
      <c r="G149">
        <v>1343.3341064000001</v>
      </c>
      <c r="H149">
        <v>1340.2780762</v>
      </c>
      <c r="I149">
        <v>1320.1420897999999</v>
      </c>
      <c r="J149">
        <v>1315.6154785000001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4.4303290000000004</v>
      </c>
      <c r="B150" s="1">
        <f>DATE(2010,5,5) + TIME(10,19,40)</f>
        <v>40303.430324074077</v>
      </c>
      <c r="C150">
        <v>80</v>
      </c>
      <c r="D150">
        <v>79.949707031000003</v>
      </c>
      <c r="E150">
        <v>50</v>
      </c>
      <c r="F150">
        <v>14.999427795000001</v>
      </c>
      <c r="G150">
        <v>1343.3276367000001</v>
      </c>
      <c r="H150">
        <v>1340.2719727000001</v>
      </c>
      <c r="I150">
        <v>1320.1422118999999</v>
      </c>
      <c r="J150">
        <v>1315.6156006000001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4.5135230000000002</v>
      </c>
      <c r="B151" s="1">
        <f>DATE(2010,5,5) + TIME(12,19,28)</f>
        <v>40303.513518518521</v>
      </c>
      <c r="C151">
        <v>80</v>
      </c>
      <c r="D151">
        <v>79.950180054</v>
      </c>
      <c r="E151">
        <v>50</v>
      </c>
      <c r="F151">
        <v>14.999429703000001</v>
      </c>
      <c r="G151">
        <v>1343.3143310999999</v>
      </c>
      <c r="H151">
        <v>1340.2592772999999</v>
      </c>
      <c r="I151">
        <v>1320.1424560999999</v>
      </c>
      <c r="J151">
        <v>1315.6158447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4.5972150000000003</v>
      </c>
      <c r="B152" s="1">
        <f>DATE(2010,5,5) + TIME(14,19,59)</f>
        <v>40303.597210648149</v>
      </c>
      <c r="C152">
        <v>80</v>
      </c>
      <c r="D152">
        <v>79.950592040999993</v>
      </c>
      <c r="E152">
        <v>50</v>
      </c>
      <c r="F152">
        <v>14.99943161</v>
      </c>
      <c r="G152">
        <v>1343.3011475000001</v>
      </c>
      <c r="H152">
        <v>1340.246582</v>
      </c>
      <c r="I152">
        <v>1320.1427002</v>
      </c>
      <c r="J152">
        <v>1315.6159668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4.6815329999999999</v>
      </c>
      <c r="B153" s="1">
        <f>DATE(2010,5,5) + TIME(16,21,24)</f>
        <v>40303.681527777779</v>
      </c>
      <c r="C153">
        <v>80</v>
      </c>
      <c r="D153">
        <v>79.950942992999998</v>
      </c>
      <c r="E153">
        <v>50</v>
      </c>
      <c r="F153">
        <v>14.999433517</v>
      </c>
      <c r="G153">
        <v>1343.2880858999999</v>
      </c>
      <c r="H153">
        <v>1340.2341309000001</v>
      </c>
      <c r="I153">
        <v>1320.1428223</v>
      </c>
      <c r="J153">
        <v>1315.6160889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4.7666079999999997</v>
      </c>
      <c r="B154" s="1">
        <f>DATE(2010,5,5) + TIME(18,23,54)</f>
        <v>40303.766597222224</v>
      </c>
      <c r="C154">
        <v>80</v>
      </c>
      <c r="D154">
        <v>79.951248168999996</v>
      </c>
      <c r="E154">
        <v>50</v>
      </c>
      <c r="F154">
        <v>14.999435425</v>
      </c>
      <c r="G154">
        <v>1343.2750243999999</v>
      </c>
      <c r="H154">
        <v>1340.2218018000001</v>
      </c>
      <c r="I154">
        <v>1320.1430664</v>
      </c>
      <c r="J154">
        <v>1315.6163329999999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4.8525720000000003</v>
      </c>
      <c r="B155" s="1">
        <f>DATE(2010,5,5) + TIME(20,27,42)</f>
        <v>40303.852569444447</v>
      </c>
      <c r="C155">
        <v>80</v>
      </c>
      <c r="D155">
        <v>79.951515197999996</v>
      </c>
      <c r="E155">
        <v>50</v>
      </c>
      <c r="F155">
        <v>14.999437331999999</v>
      </c>
      <c r="G155">
        <v>1343.2619629000001</v>
      </c>
      <c r="H155">
        <v>1340.2094727000001</v>
      </c>
      <c r="I155">
        <v>1320.1433105000001</v>
      </c>
      <c r="J155">
        <v>1315.6164550999999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4.9395610000000003</v>
      </c>
      <c r="B156" s="1">
        <f>DATE(2010,5,5) + TIME(22,32,58)</f>
        <v>40303.939560185187</v>
      </c>
      <c r="C156">
        <v>80</v>
      </c>
      <c r="D156">
        <v>79.951744079999997</v>
      </c>
      <c r="E156">
        <v>50</v>
      </c>
      <c r="F156">
        <v>14.999440193</v>
      </c>
      <c r="G156">
        <v>1343.2490233999999</v>
      </c>
      <c r="H156">
        <v>1340.1972656</v>
      </c>
      <c r="I156">
        <v>1320.1435547000001</v>
      </c>
      <c r="J156">
        <v>1315.6165771000001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5.0277149999999997</v>
      </c>
      <c r="B157" s="1">
        <f>DATE(2010,5,6) + TIME(0,39,54)</f>
        <v>40304.027708333335</v>
      </c>
      <c r="C157">
        <v>80</v>
      </c>
      <c r="D157">
        <v>79.951950073000006</v>
      </c>
      <c r="E157">
        <v>50</v>
      </c>
      <c r="F157">
        <v>14.999442101</v>
      </c>
      <c r="G157">
        <v>1343.2359618999999</v>
      </c>
      <c r="H157">
        <v>1340.1851807</v>
      </c>
      <c r="I157">
        <v>1320.1436768000001</v>
      </c>
      <c r="J157">
        <v>1315.6168213000001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5.1171829999999998</v>
      </c>
      <c r="B158" s="1">
        <f>DATE(2010,5,6) + TIME(2,48,44)</f>
        <v>40304.117175925923</v>
      </c>
      <c r="C158">
        <v>80</v>
      </c>
      <c r="D158">
        <v>79.952125549000002</v>
      </c>
      <c r="E158">
        <v>50</v>
      </c>
      <c r="F158">
        <v>14.999444007999999</v>
      </c>
      <c r="G158">
        <v>1343.2229004000001</v>
      </c>
      <c r="H158">
        <v>1340.1729736</v>
      </c>
      <c r="I158">
        <v>1320.1439209</v>
      </c>
      <c r="J158">
        <v>1315.6169434000001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5.2081169999999997</v>
      </c>
      <c r="B159" s="1">
        <f>DATE(2010,5,6) + TIME(4,59,41)</f>
        <v>40304.208113425928</v>
      </c>
      <c r="C159">
        <v>80</v>
      </c>
      <c r="D159">
        <v>79.952278136999993</v>
      </c>
      <c r="E159">
        <v>50</v>
      </c>
      <c r="F159">
        <v>14.999445915000001</v>
      </c>
      <c r="G159">
        <v>1343.2098389</v>
      </c>
      <c r="H159">
        <v>1340.1610106999999</v>
      </c>
      <c r="I159">
        <v>1320.1441649999999</v>
      </c>
      <c r="J159">
        <v>1315.6171875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5.300713</v>
      </c>
      <c r="B160" s="1">
        <f>DATE(2010,5,6) + TIME(7,13,1)</f>
        <v>40304.300706018519</v>
      </c>
      <c r="C160">
        <v>80</v>
      </c>
      <c r="D160">
        <v>79.952423096000004</v>
      </c>
      <c r="E160">
        <v>50</v>
      </c>
      <c r="F160">
        <v>14.999447823000001</v>
      </c>
      <c r="G160">
        <v>1343.1966553</v>
      </c>
      <c r="H160">
        <v>1340.1489257999999</v>
      </c>
      <c r="I160">
        <v>1320.1444091999999</v>
      </c>
      <c r="J160">
        <v>1315.6173096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5.3951269999999996</v>
      </c>
      <c r="B161" s="1">
        <f>DATE(2010,5,6) + TIME(9,28,58)</f>
        <v>40304.395115740743</v>
      </c>
      <c r="C161">
        <v>80</v>
      </c>
      <c r="D161">
        <v>79.952545165999993</v>
      </c>
      <c r="E161">
        <v>50</v>
      </c>
      <c r="F161">
        <v>14.99944973</v>
      </c>
      <c r="G161">
        <v>1343.1833495999999</v>
      </c>
      <c r="H161">
        <v>1340.1368408000001</v>
      </c>
      <c r="I161">
        <v>1320.1445312000001</v>
      </c>
      <c r="J161">
        <v>1315.6175536999999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5.4915390000000004</v>
      </c>
      <c r="B162" s="1">
        <f>DATE(2010,5,6) + TIME(11,47,48)</f>
        <v>40304.491527777776</v>
      </c>
      <c r="C162">
        <v>80</v>
      </c>
      <c r="D162">
        <v>79.952651978000006</v>
      </c>
      <c r="E162">
        <v>50</v>
      </c>
      <c r="F162">
        <v>14.999451637</v>
      </c>
      <c r="G162">
        <v>1343.1700439000001</v>
      </c>
      <c r="H162">
        <v>1340.1247559000001</v>
      </c>
      <c r="I162">
        <v>1320.1447754000001</v>
      </c>
      <c r="J162">
        <v>1315.6176757999999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5.5901529999999999</v>
      </c>
      <c r="B163" s="1">
        <f>DATE(2010,5,6) + TIME(14,9,49)</f>
        <v>40304.590150462966</v>
      </c>
      <c r="C163">
        <v>80</v>
      </c>
      <c r="D163">
        <v>79.952743530000006</v>
      </c>
      <c r="E163">
        <v>50</v>
      </c>
      <c r="F163">
        <v>14.999454498</v>
      </c>
      <c r="G163">
        <v>1343.1566161999999</v>
      </c>
      <c r="H163">
        <v>1340.1125488</v>
      </c>
      <c r="I163">
        <v>1320.1450195</v>
      </c>
      <c r="J163">
        <v>1315.6179199000001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5.6911930000000002</v>
      </c>
      <c r="B164" s="1">
        <f>DATE(2010,5,6) + TIME(16,35,19)</f>
        <v>40304.691192129627</v>
      </c>
      <c r="C164">
        <v>80</v>
      </c>
      <c r="D164">
        <v>79.952827454000001</v>
      </c>
      <c r="E164">
        <v>50</v>
      </c>
      <c r="F164">
        <v>14.999456406</v>
      </c>
      <c r="G164">
        <v>1343.1430664</v>
      </c>
      <c r="H164">
        <v>1340.1004639</v>
      </c>
      <c r="I164">
        <v>1320.1452637</v>
      </c>
      <c r="J164">
        <v>1315.6180420000001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5.7944789999999999</v>
      </c>
      <c r="B165" s="1">
        <f>DATE(2010,5,6) + TIME(19,4,3)</f>
        <v>40304.794479166667</v>
      </c>
      <c r="C165">
        <v>80</v>
      </c>
      <c r="D165">
        <v>79.952903747999997</v>
      </c>
      <c r="E165">
        <v>50</v>
      </c>
      <c r="F165">
        <v>14.999458313</v>
      </c>
      <c r="G165">
        <v>1343.1293945</v>
      </c>
      <c r="H165">
        <v>1340.0881348</v>
      </c>
      <c r="I165">
        <v>1320.1455077999999</v>
      </c>
      <c r="J165">
        <v>1315.6182861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5.9001150000000004</v>
      </c>
      <c r="B166" s="1">
        <f>DATE(2010,5,6) + TIME(21,36,9)</f>
        <v>40304.900104166663</v>
      </c>
      <c r="C166">
        <v>80</v>
      </c>
      <c r="D166">
        <v>79.952964782999999</v>
      </c>
      <c r="E166">
        <v>50</v>
      </c>
      <c r="F166">
        <v>14.99946022</v>
      </c>
      <c r="G166">
        <v>1343.1154785000001</v>
      </c>
      <c r="H166">
        <v>1340.0759277</v>
      </c>
      <c r="I166">
        <v>1320.1457519999999</v>
      </c>
      <c r="J166">
        <v>1315.6185303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6.0083399999999996</v>
      </c>
      <c r="B167" s="1">
        <f>DATE(2010,5,7) + TIME(0,12,0)</f>
        <v>40305.008333333331</v>
      </c>
      <c r="C167">
        <v>80</v>
      </c>
      <c r="D167">
        <v>79.953018188000001</v>
      </c>
      <c r="E167">
        <v>50</v>
      </c>
      <c r="F167">
        <v>14.999463081</v>
      </c>
      <c r="G167">
        <v>1343.1015625</v>
      </c>
      <c r="H167">
        <v>1340.0635986</v>
      </c>
      <c r="I167">
        <v>1320.1459961</v>
      </c>
      <c r="J167">
        <v>1315.6186522999999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6.0628820000000001</v>
      </c>
      <c r="B168" s="1">
        <f>DATE(2010,5,7) + TIME(1,30,32)</f>
        <v>40305.06287037037</v>
      </c>
      <c r="C168">
        <v>80</v>
      </c>
      <c r="D168">
        <v>79.953041076999995</v>
      </c>
      <c r="E168">
        <v>50</v>
      </c>
      <c r="F168">
        <v>14.999464035000001</v>
      </c>
      <c r="G168">
        <v>1343.0872803</v>
      </c>
      <c r="H168">
        <v>1340.0507812000001</v>
      </c>
      <c r="I168">
        <v>1320.1462402</v>
      </c>
      <c r="J168">
        <v>1315.6188964999999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6.1174239999999998</v>
      </c>
      <c r="B169" s="1">
        <f>DATE(2010,5,7) + TIME(2,49,5)</f>
        <v>40305.117418981485</v>
      </c>
      <c r="C169">
        <v>80</v>
      </c>
      <c r="D169">
        <v>79.953063964999998</v>
      </c>
      <c r="E169">
        <v>50</v>
      </c>
      <c r="F169">
        <v>14.999464989</v>
      </c>
      <c r="G169">
        <v>1343.0802002</v>
      </c>
      <c r="H169">
        <v>1340.0445557</v>
      </c>
      <c r="I169">
        <v>1320.1463623</v>
      </c>
      <c r="J169">
        <v>1315.6188964999999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6.1719650000000001</v>
      </c>
      <c r="B170" s="1">
        <f>DATE(2010,5,7) + TIME(4,7,37)</f>
        <v>40305.171956018516</v>
      </c>
      <c r="C170">
        <v>80</v>
      </c>
      <c r="D170">
        <v>79.953079224000007</v>
      </c>
      <c r="E170">
        <v>50</v>
      </c>
      <c r="F170">
        <v>14.999465942</v>
      </c>
      <c r="G170">
        <v>1343.0732422000001</v>
      </c>
      <c r="H170">
        <v>1340.0383300999999</v>
      </c>
      <c r="I170">
        <v>1320.1464844</v>
      </c>
      <c r="J170">
        <v>1315.6190185999999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6.2265069999999998</v>
      </c>
      <c r="B171" s="1">
        <f>DATE(2010,5,7) + TIME(5,26,10)</f>
        <v>40305.226504629631</v>
      </c>
      <c r="C171">
        <v>80</v>
      </c>
      <c r="D171">
        <v>79.953102111999996</v>
      </c>
      <c r="E171">
        <v>50</v>
      </c>
      <c r="F171">
        <v>14.999466895999999</v>
      </c>
      <c r="G171">
        <v>1343.0662841999999</v>
      </c>
      <c r="H171">
        <v>1340.0322266000001</v>
      </c>
      <c r="I171">
        <v>1320.1466064000001</v>
      </c>
      <c r="J171">
        <v>1315.6191406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6.2810490000000003</v>
      </c>
      <c r="B172" s="1">
        <f>DATE(2010,5,7) + TIME(6,44,42)</f>
        <v>40305.281041666669</v>
      </c>
      <c r="C172">
        <v>80</v>
      </c>
      <c r="D172">
        <v>79.953117371000005</v>
      </c>
      <c r="E172">
        <v>50</v>
      </c>
      <c r="F172">
        <v>14.99946785</v>
      </c>
      <c r="G172">
        <v>1343.0594481999999</v>
      </c>
      <c r="H172">
        <v>1340.0262451000001</v>
      </c>
      <c r="I172">
        <v>1320.1467285000001</v>
      </c>
      <c r="J172">
        <v>1315.6192627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6.335591</v>
      </c>
      <c r="B173" s="1">
        <f>DATE(2010,5,7) + TIME(8,3,15)</f>
        <v>40305.335590277777</v>
      </c>
      <c r="C173">
        <v>80</v>
      </c>
      <c r="D173">
        <v>79.953132628999995</v>
      </c>
      <c r="E173">
        <v>50</v>
      </c>
      <c r="F173">
        <v>14.999468802999999</v>
      </c>
      <c r="G173">
        <v>1343.0526123</v>
      </c>
      <c r="H173">
        <v>1340.0202637</v>
      </c>
      <c r="I173">
        <v>1320.1468506000001</v>
      </c>
      <c r="J173">
        <v>1315.6193848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6.3901329999999996</v>
      </c>
      <c r="B174" s="1">
        <f>DATE(2010,5,7) + TIME(9,21,47)</f>
        <v>40305.390127314815</v>
      </c>
      <c r="C174">
        <v>80</v>
      </c>
      <c r="D174">
        <v>79.953140258999994</v>
      </c>
      <c r="E174">
        <v>50</v>
      </c>
      <c r="F174">
        <v>14.999470711000001</v>
      </c>
      <c r="G174">
        <v>1343.0458983999999</v>
      </c>
      <c r="H174">
        <v>1340.0142822</v>
      </c>
      <c r="I174">
        <v>1320.1469727000001</v>
      </c>
      <c r="J174">
        <v>1315.6195068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6.4446750000000002</v>
      </c>
      <c r="B175" s="1">
        <f>DATE(2010,5,7) + TIME(10,40,19)</f>
        <v>40305.444664351853</v>
      </c>
      <c r="C175">
        <v>80</v>
      </c>
      <c r="D175">
        <v>79.953155518000003</v>
      </c>
      <c r="E175">
        <v>50</v>
      </c>
      <c r="F175">
        <v>14.999471664</v>
      </c>
      <c r="G175">
        <v>1343.0391846</v>
      </c>
      <c r="H175">
        <v>1340.0084228999999</v>
      </c>
      <c r="I175">
        <v>1320.1470947</v>
      </c>
      <c r="J175">
        <v>1315.6196289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6.4992169999999998</v>
      </c>
      <c r="B176" s="1">
        <f>DATE(2010,5,7) + TIME(11,58,52)</f>
        <v>40305.499212962961</v>
      </c>
      <c r="C176">
        <v>80</v>
      </c>
      <c r="D176">
        <v>79.953163146999998</v>
      </c>
      <c r="E176">
        <v>50</v>
      </c>
      <c r="F176">
        <v>14.999472618</v>
      </c>
      <c r="G176">
        <v>1343.0324707</v>
      </c>
      <c r="H176">
        <v>1340.0026855000001</v>
      </c>
      <c r="I176">
        <v>1320.1472168</v>
      </c>
      <c r="J176">
        <v>1315.6196289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6.5537590000000003</v>
      </c>
      <c r="B177" s="1">
        <f>DATE(2010,5,7) + TIME(13,17,24)</f>
        <v>40305.553749999999</v>
      </c>
      <c r="C177">
        <v>80</v>
      </c>
      <c r="D177">
        <v>79.953178406000006</v>
      </c>
      <c r="E177">
        <v>50</v>
      </c>
      <c r="F177">
        <v>14.999473571999999</v>
      </c>
      <c r="G177">
        <v>1343.0258789</v>
      </c>
      <c r="H177">
        <v>1339.9968262</v>
      </c>
      <c r="I177">
        <v>1320.1473389</v>
      </c>
      <c r="J177">
        <v>1315.619751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6.6628420000000004</v>
      </c>
      <c r="B178" s="1">
        <f>DATE(2010,5,7) + TIME(15,54,29)</f>
        <v>40305.662835648145</v>
      </c>
      <c r="C178">
        <v>80</v>
      </c>
      <c r="D178">
        <v>79.953193665000001</v>
      </c>
      <c r="E178">
        <v>50</v>
      </c>
      <c r="F178">
        <v>14.999475479000001</v>
      </c>
      <c r="G178">
        <v>1343.0194091999999</v>
      </c>
      <c r="H178">
        <v>1339.9914550999999</v>
      </c>
      <c r="I178">
        <v>1320.1475829999999</v>
      </c>
      <c r="J178">
        <v>1315.6198730000001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6.7720500000000001</v>
      </c>
      <c r="B179" s="1">
        <f>DATE(2010,5,7) + TIME(18,31,45)</f>
        <v>40305.772048611114</v>
      </c>
      <c r="C179">
        <v>80</v>
      </c>
      <c r="D179">
        <v>79.953208923000005</v>
      </c>
      <c r="E179">
        <v>50</v>
      </c>
      <c r="F179">
        <v>14.999477386000001</v>
      </c>
      <c r="G179">
        <v>1343.0064697</v>
      </c>
      <c r="H179">
        <v>1339.9802245999999</v>
      </c>
      <c r="I179">
        <v>1320.1478271000001</v>
      </c>
      <c r="J179">
        <v>1315.6201172000001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6.8819900000000001</v>
      </c>
      <c r="B180" s="1">
        <f>DATE(2010,5,7) + TIME(21,10,3)</f>
        <v>40305.881979166668</v>
      </c>
      <c r="C180">
        <v>80</v>
      </c>
      <c r="D180">
        <v>79.953216553000004</v>
      </c>
      <c r="E180">
        <v>50</v>
      </c>
      <c r="F180">
        <v>14.999479294</v>
      </c>
      <c r="G180">
        <v>1342.9935303</v>
      </c>
      <c r="H180">
        <v>1339.9691161999999</v>
      </c>
      <c r="I180">
        <v>1320.1480713000001</v>
      </c>
      <c r="J180">
        <v>1315.6203613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6.992839</v>
      </c>
      <c r="B181" s="1">
        <f>DATE(2010,5,7) + TIME(23,49,41)</f>
        <v>40305.992835648147</v>
      </c>
      <c r="C181">
        <v>80</v>
      </c>
      <c r="D181">
        <v>79.953224182</v>
      </c>
      <c r="E181">
        <v>50</v>
      </c>
      <c r="F181">
        <v>14.999481201</v>
      </c>
      <c r="G181">
        <v>1342.9807129000001</v>
      </c>
      <c r="H181">
        <v>1339.9581298999999</v>
      </c>
      <c r="I181">
        <v>1320.1483154</v>
      </c>
      <c r="J181">
        <v>1315.6206055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7.1047799999999999</v>
      </c>
      <c r="B182" s="1">
        <f>DATE(2010,5,8) + TIME(2,30,52)</f>
        <v>40306.104768518519</v>
      </c>
      <c r="C182">
        <v>80</v>
      </c>
      <c r="D182">
        <v>79.953224182</v>
      </c>
      <c r="E182">
        <v>50</v>
      </c>
      <c r="F182">
        <v>14.999483109</v>
      </c>
      <c r="G182">
        <v>1342.9680175999999</v>
      </c>
      <c r="H182">
        <v>1339.9472656</v>
      </c>
      <c r="I182">
        <v>1320.1485596</v>
      </c>
      <c r="J182">
        <v>1315.6207274999999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7.218</v>
      </c>
      <c r="B183" s="1">
        <f>DATE(2010,5,8) + TIME(5,13,55)</f>
        <v>40306.217997685184</v>
      </c>
      <c r="C183">
        <v>80</v>
      </c>
      <c r="D183">
        <v>79.953224182</v>
      </c>
      <c r="E183">
        <v>50</v>
      </c>
      <c r="F183">
        <v>14.999485016</v>
      </c>
      <c r="G183">
        <v>1342.9553223</v>
      </c>
      <c r="H183">
        <v>1339.9365233999999</v>
      </c>
      <c r="I183">
        <v>1320.1488036999999</v>
      </c>
      <c r="J183">
        <v>1315.6209716999999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7.3326929999999999</v>
      </c>
      <c r="B184" s="1">
        <f>DATE(2010,5,8) + TIME(7,59,4)</f>
        <v>40306.332685185182</v>
      </c>
      <c r="C184">
        <v>80</v>
      </c>
      <c r="D184">
        <v>79.953224182</v>
      </c>
      <c r="E184">
        <v>50</v>
      </c>
      <c r="F184">
        <v>14.999486922999999</v>
      </c>
      <c r="G184">
        <v>1342.9426269999999</v>
      </c>
      <c r="H184">
        <v>1339.9257812000001</v>
      </c>
      <c r="I184">
        <v>1320.1490478999999</v>
      </c>
      <c r="J184">
        <v>1315.6212158000001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7.4490610000000004</v>
      </c>
      <c r="B185" s="1">
        <f>DATE(2010,5,8) + TIME(10,46,38)</f>
        <v>40306.449050925927</v>
      </c>
      <c r="C185">
        <v>80</v>
      </c>
      <c r="D185">
        <v>79.953216553000004</v>
      </c>
      <c r="E185">
        <v>50</v>
      </c>
      <c r="F185">
        <v>14.999488831000001</v>
      </c>
      <c r="G185">
        <v>1342.9299315999999</v>
      </c>
      <c r="H185">
        <v>1339.9150391000001</v>
      </c>
      <c r="I185">
        <v>1320.1494141000001</v>
      </c>
      <c r="J185">
        <v>1315.6214600000001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7.5673320000000004</v>
      </c>
      <c r="B186" s="1">
        <f>DATE(2010,5,8) + TIME(13,36,57)</f>
        <v>40306.567326388889</v>
      </c>
      <c r="C186">
        <v>80</v>
      </c>
      <c r="D186">
        <v>79.953208923000005</v>
      </c>
      <c r="E186">
        <v>50</v>
      </c>
      <c r="F186">
        <v>14.999490738</v>
      </c>
      <c r="G186">
        <v>1342.9172363</v>
      </c>
      <c r="H186">
        <v>1339.9044189000001</v>
      </c>
      <c r="I186">
        <v>1320.1496582</v>
      </c>
      <c r="J186">
        <v>1315.621582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7.6877560000000003</v>
      </c>
      <c r="B187" s="1">
        <f>DATE(2010,5,8) + TIME(16,30,22)</f>
        <v>40306.687754629631</v>
      </c>
      <c r="C187">
        <v>80</v>
      </c>
      <c r="D187">
        <v>79.953201293999996</v>
      </c>
      <c r="E187">
        <v>50</v>
      </c>
      <c r="F187">
        <v>14.999492645</v>
      </c>
      <c r="G187">
        <v>1342.9045410000001</v>
      </c>
      <c r="H187">
        <v>1339.8936768000001</v>
      </c>
      <c r="I187">
        <v>1320.1499022999999</v>
      </c>
      <c r="J187">
        <v>1315.6218262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7.8105409999999997</v>
      </c>
      <c r="B188" s="1">
        <f>DATE(2010,5,8) + TIME(19,27,10)</f>
        <v>40306.810532407406</v>
      </c>
      <c r="C188">
        <v>80</v>
      </c>
      <c r="D188">
        <v>79.953193665000001</v>
      </c>
      <c r="E188">
        <v>50</v>
      </c>
      <c r="F188">
        <v>14.999494553</v>
      </c>
      <c r="G188">
        <v>1342.8918457</v>
      </c>
      <c r="H188">
        <v>1339.8830565999999</v>
      </c>
      <c r="I188">
        <v>1320.1501464999999</v>
      </c>
      <c r="J188">
        <v>1315.6220702999999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7.9359460000000004</v>
      </c>
      <c r="B189" s="1">
        <f>DATE(2010,5,8) + TIME(22,27,45)</f>
        <v>40306.935937499999</v>
      </c>
      <c r="C189">
        <v>80</v>
      </c>
      <c r="D189">
        <v>79.953178406000006</v>
      </c>
      <c r="E189">
        <v>50</v>
      </c>
      <c r="F189">
        <v>14.99949646</v>
      </c>
      <c r="G189">
        <v>1342.8789062000001</v>
      </c>
      <c r="H189">
        <v>1339.8724365</v>
      </c>
      <c r="I189">
        <v>1320.1505127</v>
      </c>
      <c r="J189">
        <v>1315.6223144999999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8.0639540000000007</v>
      </c>
      <c r="B190" s="1">
        <f>DATE(2010,5,9) + TIME(1,32,5)</f>
        <v>40307.063946759263</v>
      </c>
      <c r="C190">
        <v>80</v>
      </c>
      <c r="D190">
        <v>79.953163146999998</v>
      </c>
      <c r="E190">
        <v>50</v>
      </c>
      <c r="F190">
        <v>14.999498366999999</v>
      </c>
      <c r="G190">
        <v>1342.8660889</v>
      </c>
      <c r="H190">
        <v>1339.8616943</v>
      </c>
      <c r="I190">
        <v>1320.1507568</v>
      </c>
      <c r="J190">
        <v>1315.6225586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8.194331</v>
      </c>
      <c r="B191" s="1">
        <f>DATE(2010,5,9) + TIME(4,39,50)</f>
        <v>40307.194328703707</v>
      </c>
      <c r="C191">
        <v>80</v>
      </c>
      <c r="D191">
        <v>79.953147888000004</v>
      </c>
      <c r="E191">
        <v>50</v>
      </c>
      <c r="F191">
        <v>14.999500275000001</v>
      </c>
      <c r="G191">
        <v>1342.8530272999999</v>
      </c>
      <c r="H191">
        <v>1339.8509521000001</v>
      </c>
      <c r="I191">
        <v>1320.151001</v>
      </c>
      <c r="J191">
        <v>1315.6228027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8.3273279999999996</v>
      </c>
      <c r="B192" s="1">
        <f>DATE(2010,5,9) + TIME(7,51,21)</f>
        <v>40307.327326388891</v>
      </c>
      <c r="C192">
        <v>80</v>
      </c>
      <c r="D192">
        <v>79.953125</v>
      </c>
      <c r="E192">
        <v>50</v>
      </c>
      <c r="F192">
        <v>14.999502182000001</v>
      </c>
      <c r="G192">
        <v>1342.8399658000001</v>
      </c>
      <c r="H192">
        <v>1339.8402100000001</v>
      </c>
      <c r="I192">
        <v>1320.1513672000001</v>
      </c>
      <c r="J192">
        <v>1315.6230469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8.3952799999999996</v>
      </c>
      <c r="B193" s="1">
        <f>DATE(2010,5,9) + TIME(9,29,12)</f>
        <v>40307.395277777781</v>
      </c>
      <c r="C193">
        <v>80</v>
      </c>
      <c r="D193">
        <v>79.953117371000005</v>
      </c>
      <c r="E193">
        <v>50</v>
      </c>
      <c r="F193">
        <v>14.999503136</v>
      </c>
      <c r="G193">
        <v>1342.8265381000001</v>
      </c>
      <c r="H193">
        <v>1339.8291016000001</v>
      </c>
      <c r="I193">
        <v>1320.1516113</v>
      </c>
      <c r="J193">
        <v>1315.6232910000001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8.4632330000000007</v>
      </c>
      <c r="B194" s="1">
        <f>DATE(2010,5,9) + TIME(11,7,3)</f>
        <v>40307.463229166664</v>
      </c>
      <c r="C194">
        <v>80</v>
      </c>
      <c r="D194">
        <v>79.953102111999996</v>
      </c>
      <c r="E194">
        <v>50</v>
      </c>
      <c r="F194">
        <v>14.999504089</v>
      </c>
      <c r="G194">
        <v>1342.8198242000001</v>
      </c>
      <c r="H194">
        <v>1339.8236084</v>
      </c>
      <c r="I194">
        <v>1320.1517334</v>
      </c>
      <c r="J194">
        <v>1315.6234131000001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8.5311859999999999</v>
      </c>
      <c r="B195" s="1">
        <f>DATE(2010,5,9) + TIME(12,44,54)</f>
        <v>40307.531180555554</v>
      </c>
      <c r="C195">
        <v>80</v>
      </c>
      <c r="D195">
        <v>79.953086853000002</v>
      </c>
      <c r="E195">
        <v>50</v>
      </c>
      <c r="F195">
        <v>14.999505042999999</v>
      </c>
      <c r="G195">
        <v>1342.8132324000001</v>
      </c>
      <c r="H195">
        <v>1339.8182373</v>
      </c>
      <c r="I195">
        <v>1320.1519774999999</v>
      </c>
      <c r="J195">
        <v>1315.6235352000001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8.5991389999999992</v>
      </c>
      <c r="B196" s="1">
        <f>DATE(2010,5,9) + TIME(14,22,45)</f>
        <v>40307.599131944444</v>
      </c>
      <c r="C196">
        <v>80</v>
      </c>
      <c r="D196">
        <v>79.953079224000007</v>
      </c>
      <c r="E196">
        <v>50</v>
      </c>
      <c r="F196">
        <v>14.999506950000001</v>
      </c>
      <c r="G196">
        <v>1342.8067627</v>
      </c>
      <c r="H196">
        <v>1339.8128661999999</v>
      </c>
      <c r="I196">
        <v>1320.1520995999999</v>
      </c>
      <c r="J196">
        <v>1315.6236572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8.6670920000000002</v>
      </c>
      <c r="B197" s="1">
        <f>DATE(2010,5,9) + TIME(16,0,36)</f>
        <v>40307.667083333334</v>
      </c>
      <c r="C197">
        <v>80</v>
      </c>
      <c r="D197">
        <v>79.953063964999998</v>
      </c>
      <c r="E197">
        <v>50</v>
      </c>
      <c r="F197">
        <v>14.999507904</v>
      </c>
      <c r="G197">
        <v>1342.8001709</v>
      </c>
      <c r="H197">
        <v>1339.8076172000001</v>
      </c>
      <c r="I197">
        <v>1320.1522216999999</v>
      </c>
      <c r="J197">
        <v>1315.6237793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8.7350449999999995</v>
      </c>
      <c r="B198" s="1">
        <f>DATE(2010,5,9) + TIME(17,38,27)</f>
        <v>40307.735034722224</v>
      </c>
      <c r="C198">
        <v>80</v>
      </c>
      <c r="D198">
        <v>79.953048706000004</v>
      </c>
      <c r="E198">
        <v>50</v>
      </c>
      <c r="F198">
        <v>14.999508858</v>
      </c>
      <c r="G198">
        <v>1342.7937012</v>
      </c>
      <c r="H198">
        <v>1339.8022461</v>
      </c>
      <c r="I198">
        <v>1320.1523437999999</v>
      </c>
      <c r="J198">
        <v>1315.6239014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8.8029980000000005</v>
      </c>
      <c r="B199" s="1">
        <f>DATE(2010,5,9) + TIME(19,16,19)</f>
        <v>40307.802997685183</v>
      </c>
      <c r="C199">
        <v>80</v>
      </c>
      <c r="D199">
        <v>79.953041076999995</v>
      </c>
      <c r="E199">
        <v>50</v>
      </c>
      <c r="F199">
        <v>14.999509810999999</v>
      </c>
      <c r="G199">
        <v>1342.7873535000001</v>
      </c>
      <c r="H199">
        <v>1339.7971190999999</v>
      </c>
      <c r="I199">
        <v>1320.1525879000001</v>
      </c>
      <c r="J199">
        <v>1315.6240233999999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8.8709509999999998</v>
      </c>
      <c r="B200" s="1">
        <f>DATE(2010,5,9) + TIME(20,54,10)</f>
        <v>40307.870949074073</v>
      </c>
      <c r="C200">
        <v>80</v>
      </c>
      <c r="D200">
        <v>79.953025818</v>
      </c>
      <c r="E200">
        <v>50</v>
      </c>
      <c r="F200">
        <v>14.999510765</v>
      </c>
      <c r="G200">
        <v>1342.7808838000001</v>
      </c>
      <c r="H200">
        <v>1339.7918701000001</v>
      </c>
      <c r="I200">
        <v>1320.1527100000001</v>
      </c>
      <c r="J200">
        <v>1315.6241454999999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8.9389040000000008</v>
      </c>
      <c r="B201" s="1">
        <f>DATE(2010,5,9) + TIME(22,32,1)</f>
        <v>40307.938900462963</v>
      </c>
      <c r="C201">
        <v>80</v>
      </c>
      <c r="D201">
        <v>79.953010559000006</v>
      </c>
      <c r="E201">
        <v>50</v>
      </c>
      <c r="F201">
        <v>14.999511718999999</v>
      </c>
      <c r="G201">
        <v>1342.7746582</v>
      </c>
      <c r="H201">
        <v>1339.7867432</v>
      </c>
      <c r="I201">
        <v>1320.152832</v>
      </c>
      <c r="J201">
        <v>1315.6242675999999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9.0068570000000001</v>
      </c>
      <c r="B202" s="1">
        <f>DATE(2010,5,10) + TIME(0,9,52)</f>
        <v>40308.006851851853</v>
      </c>
      <c r="C202">
        <v>80</v>
      </c>
      <c r="D202">
        <v>79.953002929999997</v>
      </c>
      <c r="E202">
        <v>50</v>
      </c>
      <c r="F202">
        <v>14.999512672</v>
      </c>
      <c r="G202">
        <v>1342.7683105000001</v>
      </c>
      <c r="H202">
        <v>1339.7816161999999</v>
      </c>
      <c r="I202">
        <v>1320.1529541</v>
      </c>
      <c r="J202">
        <v>1315.6243896000001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9.0748099999999994</v>
      </c>
      <c r="B203" s="1">
        <f>DATE(2010,5,10) + TIME(1,47,43)</f>
        <v>40308.074803240743</v>
      </c>
      <c r="C203">
        <v>80</v>
      </c>
      <c r="D203">
        <v>79.952987671000002</v>
      </c>
      <c r="E203">
        <v>50</v>
      </c>
      <c r="F203">
        <v>14.999513626000001</v>
      </c>
      <c r="G203">
        <v>1342.7620850000001</v>
      </c>
      <c r="H203">
        <v>1339.7766113</v>
      </c>
      <c r="I203">
        <v>1320.1531981999999</v>
      </c>
      <c r="J203">
        <v>1315.6245117000001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9.1427630000000004</v>
      </c>
      <c r="B204" s="1">
        <f>DATE(2010,5,10) + TIME(3,25,34)</f>
        <v>40308.142754629633</v>
      </c>
      <c r="C204">
        <v>80</v>
      </c>
      <c r="D204">
        <v>79.952972411999994</v>
      </c>
      <c r="E204">
        <v>50</v>
      </c>
      <c r="F204">
        <v>14.99951458</v>
      </c>
      <c r="G204">
        <v>1342.7558594</v>
      </c>
      <c r="H204">
        <v>1339.7716064000001</v>
      </c>
      <c r="I204">
        <v>1320.1533202999999</v>
      </c>
      <c r="J204">
        <v>1315.6246338000001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9.2107159999999997</v>
      </c>
      <c r="B205" s="1">
        <f>DATE(2010,5,10) + TIME(5,3,25)</f>
        <v>40308.210706018515</v>
      </c>
      <c r="C205">
        <v>80</v>
      </c>
      <c r="D205">
        <v>79.952964782999999</v>
      </c>
      <c r="E205">
        <v>50</v>
      </c>
      <c r="F205">
        <v>14.999515533</v>
      </c>
      <c r="G205">
        <v>1342.7496338000001</v>
      </c>
      <c r="H205">
        <v>1339.7666016000001</v>
      </c>
      <c r="I205">
        <v>1320.1534423999999</v>
      </c>
      <c r="J205">
        <v>1315.6247559000001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9.2786690000000007</v>
      </c>
      <c r="B206" s="1">
        <f>DATE(2010,5,10) + TIME(6,41,17)</f>
        <v>40308.278668981482</v>
      </c>
      <c r="C206">
        <v>80</v>
      </c>
      <c r="D206">
        <v>79.952949524000005</v>
      </c>
      <c r="E206">
        <v>50</v>
      </c>
      <c r="F206">
        <v>14.999516486999999</v>
      </c>
      <c r="G206">
        <v>1342.7435303</v>
      </c>
      <c r="H206">
        <v>1339.7615966999999</v>
      </c>
      <c r="I206">
        <v>1320.1536865</v>
      </c>
      <c r="J206">
        <v>1315.6248779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9.4145749999999992</v>
      </c>
      <c r="B207" s="1">
        <f>DATE(2010,5,10) + TIME(9,56,59)</f>
        <v>40308.414571759262</v>
      </c>
      <c r="C207">
        <v>80</v>
      </c>
      <c r="D207">
        <v>79.952934264999996</v>
      </c>
      <c r="E207">
        <v>50</v>
      </c>
      <c r="F207">
        <v>14.999518394000001</v>
      </c>
      <c r="G207">
        <v>1342.7376709</v>
      </c>
      <c r="H207">
        <v>1339.7570800999999</v>
      </c>
      <c r="I207">
        <v>1320.1538086</v>
      </c>
      <c r="J207">
        <v>1315.6251221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9.5508430000000004</v>
      </c>
      <c r="B208" s="1">
        <f>DATE(2010,5,10) + TIME(13,13,12)</f>
        <v>40308.550833333335</v>
      </c>
      <c r="C208">
        <v>80</v>
      </c>
      <c r="D208">
        <v>79.952911377000007</v>
      </c>
      <c r="E208">
        <v>50</v>
      </c>
      <c r="F208">
        <v>14.999519348</v>
      </c>
      <c r="G208">
        <v>1342.7255858999999</v>
      </c>
      <c r="H208">
        <v>1339.7474365</v>
      </c>
      <c r="I208">
        <v>1320.1541748</v>
      </c>
      <c r="J208">
        <v>1315.6253661999999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9.688326</v>
      </c>
      <c r="B209" s="1">
        <f>DATE(2010,5,10) + TIME(16,31,11)</f>
        <v>40308.688321759262</v>
      </c>
      <c r="C209">
        <v>80</v>
      </c>
      <c r="D209">
        <v>79.952880859000004</v>
      </c>
      <c r="E209">
        <v>50</v>
      </c>
      <c r="F209">
        <v>14.999521254999999</v>
      </c>
      <c r="G209">
        <v>1342.7137451000001</v>
      </c>
      <c r="H209">
        <v>1339.7379149999999</v>
      </c>
      <c r="I209">
        <v>1320.1544189000001</v>
      </c>
      <c r="J209">
        <v>1315.6256103999999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9.8272600000000008</v>
      </c>
      <c r="B210" s="1">
        <f>DATE(2010,5,10) + TIME(19,51,15)</f>
        <v>40308.827256944445</v>
      </c>
      <c r="C210">
        <v>80</v>
      </c>
      <c r="D210">
        <v>79.952857971</v>
      </c>
      <c r="E210">
        <v>50</v>
      </c>
      <c r="F210">
        <v>14.999523162999999</v>
      </c>
      <c r="G210">
        <v>1342.7017822</v>
      </c>
      <c r="H210">
        <v>1339.7283935999999</v>
      </c>
      <c r="I210">
        <v>1320.1547852000001</v>
      </c>
      <c r="J210">
        <v>1315.6258545000001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9.9678950000000004</v>
      </c>
      <c r="B211" s="1">
        <f>DATE(2010,5,10) + TIME(23,13,46)</f>
        <v>40308.967893518522</v>
      </c>
      <c r="C211">
        <v>80</v>
      </c>
      <c r="D211">
        <v>79.952835082999997</v>
      </c>
      <c r="E211">
        <v>50</v>
      </c>
      <c r="F211">
        <v>14.999525070000001</v>
      </c>
      <c r="G211">
        <v>1342.6899414</v>
      </c>
      <c r="H211">
        <v>1339.7189940999999</v>
      </c>
      <c r="I211">
        <v>1320.1550293</v>
      </c>
      <c r="J211">
        <v>1315.6260986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10.110488999999999</v>
      </c>
      <c r="B212" s="1">
        <f>DATE(2010,5,11) + TIME(2,39,6)</f>
        <v>40309.110486111109</v>
      </c>
      <c r="C212">
        <v>80</v>
      </c>
      <c r="D212">
        <v>79.952804564999994</v>
      </c>
      <c r="E212">
        <v>50</v>
      </c>
      <c r="F212">
        <v>14.999526978</v>
      </c>
      <c r="G212">
        <v>1342.6781006000001</v>
      </c>
      <c r="H212">
        <v>1339.7095947</v>
      </c>
      <c r="I212">
        <v>1320.1553954999999</v>
      </c>
      <c r="J212">
        <v>1315.6263428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10.255316000000001</v>
      </c>
      <c r="B213" s="1">
        <f>DATE(2010,5,11) + TIME(6,7,39)</f>
        <v>40309.255312499998</v>
      </c>
      <c r="C213">
        <v>80</v>
      </c>
      <c r="D213">
        <v>79.952781677000004</v>
      </c>
      <c r="E213">
        <v>50</v>
      </c>
      <c r="F213">
        <v>14.999528885</v>
      </c>
      <c r="G213">
        <v>1342.6662598</v>
      </c>
      <c r="H213">
        <v>1339.7001952999999</v>
      </c>
      <c r="I213">
        <v>1320.1557617000001</v>
      </c>
      <c r="J213">
        <v>1315.6267089999999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10.402725999999999</v>
      </c>
      <c r="B214" s="1">
        <f>DATE(2010,5,11) + TIME(9,39,55)</f>
        <v>40309.402719907404</v>
      </c>
      <c r="C214">
        <v>80</v>
      </c>
      <c r="D214">
        <v>79.952751160000005</v>
      </c>
      <c r="E214">
        <v>50</v>
      </c>
      <c r="F214">
        <v>14.999529838999999</v>
      </c>
      <c r="G214">
        <v>1342.6542969</v>
      </c>
      <c r="H214">
        <v>1339.6907959</v>
      </c>
      <c r="I214">
        <v>1320.1561279</v>
      </c>
      <c r="J214">
        <v>1315.6269531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10.552967000000001</v>
      </c>
      <c r="B215" s="1">
        <f>DATE(2010,5,11) + TIME(13,16,16)</f>
        <v>40309.55296296296</v>
      </c>
      <c r="C215">
        <v>80</v>
      </c>
      <c r="D215">
        <v>79.952720642000003</v>
      </c>
      <c r="E215">
        <v>50</v>
      </c>
      <c r="F215">
        <v>14.999531746000001</v>
      </c>
      <c r="G215">
        <v>1342.6423339999999</v>
      </c>
      <c r="H215">
        <v>1339.6813964999999</v>
      </c>
      <c r="I215">
        <v>1320.1563721</v>
      </c>
      <c r="J215">
        <v>1315.6271973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10.706367999999999</v>
      </c>
      <c r="B216" s="1">
        <f>DATE(2010,5,11) + TIME(16,57,10)</f>
        <v>40309.706365740742</v>
      </c>
      <c r="C216">
        <v>80</v>
      </c>
      <c r="D216">
        <v>79.952690125000004</v>
      </c>
      <c r="E216">
        <v>50</v>
      </c>
      <c r="F216">
        <v>14.999533653</v>
      </c>
      <c r="G216">
        <v>1342.630249</v>
      </c>
      <c r="H216">
        <v>1339.6719971</v>
      </c>
      <c r="I216">
        <v>1320.1567382999999</v>
      </c>
      <c r="J216">
        <v>1315.6274414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10.862489999999999</v>
      </c>
      <c r="B217" s="1">
        <f>DATE(2010,5,11) + TIME(20,41,59)</f>
        <v>40309.862488425926</v>
      </c>
      <c r="C217">
        <v>80</v>
      </c>
      <c r="D217">
        <v>79.952659607000001</v>
      </c>
      <c r="E217">
        <v>50</v>
      </c>
      <c r="F217">
        <v>14.999535561</v>
      </c>
      <c r="G217">
        <v>1342.6181641000001</v>
      </c>
      <c r="H217">
        <v>1339.6624756000001</v>
      </c>
      <c r="I217">
        <v>1320.1571045000001</v>
      </c>
      <c r="J217">
        <v>1315.6278076000001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11.020985</v>
      </c>
      <c r="B218" s="1">
        <f>DATE(2010,5,12) + TIME(0,30,13)</f>
        <v>40310.020983796298</v>
      </c>
      <c r="C218">
        <v>80</v>
      </c>
      <c r="D218">
        <v>79.952629088999998</v>
      </c>
      <c r="E218">
        <v>50</v>
      </c>
      <c r="F218">
        <v>14.999537468</v>
      </c>
      <c r="G218">
        <v>1342.605957</v>
      </c>
      <c r="H218">
        <v>1339.6529541</v>
      </c>
      <c r="I218">
        <v>1320.1574707</v>
      </c>
      <c r="J218">
        <v>1315.6280518000001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11.101610000000001</v>
      </c>
      <c r="B219" s="1">
        <f>DATE(2010,5,12) + TIME(2,26,19)</f>
        <v>40310.1016087963</v>
      </c>
      <c r="C219">
        <v>80</v>
      </c>
      <c r="D219">
        <v>79.952606200999995</v>
      </c>
      <c r="E219">
        <v>50</v>
      </c>
      <c r="F219">
        <v>14.999538422000001</v>
      </c>
      <c r="G219">
        <v>1342.5935059000001</v>
      </c>
      <c r="H219">
        <v>1339.6433105000001</v>
      </c>
      <c r="I219">
        <v>1320.1578368999999</v>
      </c>
      <c r="J219">
        <v>1315.6282959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11.182235</v>
      </c>
      <c r="B220" s="1">
        <f>DATE(2010,5,12) + TIME(4,22,25)</f>
        <v>40310.182233796295</v>
      </c>
      <c r="C220">
        <v>80</v>
      </c>
      <c r="D220">
        <v>79.952590942</v>
      </c>
      <c r="E220">
        <v>50</v>
      </c>
      <c r="F220">
        <v>14.999539374999999</v>
      </c>
      <c r="G220">
        <v>1342.5874022999999</v>
      </c>
      <c r="H220">
        <v>1339.6384277</v>
      </c>
      <c r="I220">
        <v>1320.1579589999999</v>
      </c>
      <c r="J220">
        <v>1315.628418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11.262860999999999</v>
      </c>
      <c r="B221" s="1">
        <f>DATE(2010,5,12) + TIME(6,18,31)</f>
        <v>40310.262858796297</v>
      </c>
      <c r="C221">
        <v>80</v>
      </c>
      <c r="D221">
        <v>79.952568053999997</v>
      </c>
      <c r="E221">
        <v>50</v>
      </c>
      <c r="F221">
        <v>14.999540329</v>
      </c>
      <c r="G221">
        <v>1342.5812988</v>
      </c>
      <c r="H221">
        <v>1339.6336670000001</v>
      </c>
      <c r="I221">
        <v>1320.1582031</v>
      </c>
      <c r="J221">
        <v>1315.6286620999999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11.343486</v>
      </c>
      <c r="B222" s="1">
        <f>DATE(2010,5,12) + TIME(8,14,37)</f>
        <v>40310.3434837963</v>
      </c>
      <c r="C222">
        <v>80</v>
      </c>
      <c r="D222">
        <v>79.952552795000003</v>
      </c>
      <c r="E222">
        <v>50</v>
      </c>
      <c r="F222">
        <v>14.999541282999999</v>
      </c>
      <c r="G222">
        <v>1342.5751952999999</v>
      </c>
      <c r="H222">
        <v>1339.6290283000001</v>
      </c>
      <c r="I222">
        <v>1320.1583252</v>
      </c>
      <c r="J222">
        <v>1315.6287841999999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11.424111</v>
      </c>
      <c r="B223" s="1">
        <f>DATE(2010,5,12) + TIME(10,10,43)</f>
        <v>40310.424108796295</v>
      </c>
      <c r="C223">
        <v>80</v>
      </c>
      <c r="D223">
        <v>79.952537536999998</v>
      </c>
      <c r="E223">
        <v>50</v>
      </c>
      <c r="F223">
        <v>14.999542236</v>
      </c>
      <c r="G223">
        <v>1342.5690918</v>
      </c>
      <c r="H223">
        <v>1339.6242675999999</v>
      </c>
      <c r="I223">
        <v>1320.1585693</v>
      </c>
      <c r="J223">
        <v>1315.6289062000001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11.504737</v>
      </c>
      <c r="B224" s="1">
        <f>DATE(2010,5,12) + TIME(12,6,49)</f>
        <v>40310.504733796297</v>
      </c>
      <c r="C224">
        <v>80</v>
      </c>
      <c r="D224">
        <v>79.952514648000005</v>
      </c>
      <c r="E224">
        <v>50</v>
      </c>
      <c r="F224">
        <v>14.999543190000001</v>
      </c>
      <c r="G224">
        <v>1342.5631103999999</v>
      </c>
      <c r="H224">
        <v>1339.6196289</v>
      </c>
      <c r="I224">
        <v>1320.1586914</v>
      </c>
      <c r="J224">
        <v>1315.6290283000001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11.585362</v>
      </c>
      <c r="B225" s="1">
        <f>DATE(2010,5,12) + TIME(14,2,55)</f>
        <v>40310.585358796299</v>
      </c>
      <c r="C225">
        <v>80</v>
      </c>
      <c r="D225">
        <v>79.95249939</v>
      </c>
      <c r="E225">
        <v>50</v>
      </c>
      <c r="F225">
        <v>14.999544144</v>
      </c>
      <c r="G225">
        <v>1342.5571289</v>
      </c>
      <c r="H225">
        <v>1339.6151123</v>
      </c>
      <c r="I225">
        <v>1320.1589355000001</v>
      </c>
      <c r="J225">
        <v>1315.6292725000001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11.665986999999999</v>
      </c>
      <c r="B226" s="1">
        <f>DATE(2010,5,12) + TIME(15,59,1)</f>
        <v>40310.665983796294</v>
      </c>
      <c r="C226">
        <v>80</v>
      </c>
      <c r="D226">
        <v>79.952484131000006</v>
      </c>
      <c r="E226">
        <v>50</v>
      </c>
      <c r="F226">
        <v>14.999545097</v>
      </c>
      <c r="G226">
        <v>1342.5512695</v>
      </c>
      <c r="H226">
        <v>1339.6104736</v>
      </c>
      <c r="I226">
        <v>1320.1590576000001</v>
      </c>
      <c r="J226">
        <v>1315.6293945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11.746613</v>
      </c>
      <c r="B227" s="1">
        <f>DATE(2010,5,12) + TIME(17,55,7)</f>
        <v>40310.746608796297</v>
      </c>
      <c r="C227">
        <v>80</v>
      </c>
      <c r="D227">
        <v>79.952468871999997</v>
      </c>
      <c r="E227">
        <v>50</v>
      </c>
      <c r="F227">
        <v>14.999546050999999</v>
      </c>
      <c r="G227">
        <v>1342.5454102000001</v>
      </c>
      <c r="H227">
        <v>1339.605957</v>
      </c>
      <c r="I227">
        <v>1320.1593018000001</v>
      </c>
      <c r="J227">
        <v>1315.6295166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11.827237999999999</v>
      </c>
      <c r="B228" s="1">
        <f>DATE(2010,5,12) + TIME(19,51,13)</f>
        <v>40310.827233796299</v>
      </c>
      <c r="C228">
        <v>80</v>
      </c>
      <c r="D228">
        <v>79.952445983999993</v>
      </c>
      <c r="E228">
        <v>50</v>
      </c>
      <c r="F228">
        <v>14.999547005</v>
      </c>
      <c r="G228">
        <v>1342.5395507999999</v>
      </c>
      <c r="H228">
        <v>1339.6014404</v>
      </c>
      <c r="I228">
        <v>1320.1594238</v>
      </c>
      <c r="J228">
        <v>1315.6296387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11.907863000000001</v>
      </c>
      <c r="B229" s="1">
        <f>DATE(2010,5,12) + TIME(21,47,19)</f>
        <v>40310.907858796294</v>
      </c>
      <c r="C229">
        <v>80</v>
      </c>
      <c r="D229">
        <v>79.952430724999999</v>
      </c>
      <c r="E229">
        <v>50</v>
      </c>
      <c r="F229">
        <v>14.999547958000001</v>
      </c>
      <c r="G229">
        <v>1342.5336914</v>
      </c>
      <c r="H229">
        <v>1339.5969238</v>
      </c>
      <c r="I229">
        <v>1320.159668</v>
      </c>
      <c r="J229">
        <v>1315.6298827999999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11.988489</v>
      </c>
      <c r="B230" s="1">
        <f>DATE(2010,5,12) + TIME(23,43,25)</f>
        <v>40310.988483796296</v>
      </c>
      <c r="C230">
        <v>80</v>
      </c>
      <c r="D230">
        <v>79.952415466000005</v>
      </c>
      <c r="E230">
        <v>50</v>
      </c>
      <c r="F230">
        <v>14.999548912</v>
      </c>
      <c r="G230">
        <v>1342.5279541</v>
      </c>
      <c r="H230">
        <v>1339.5925293</v>
      </c>
      <c r="I230">
        <v>1320.1597899999999</v>
      </c>
      <c r="J230">
        <v>1315.6300048999999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12.069114000000001</v>
      </c>
      <c r="B231" s="1">
        <f>DATE(2010,5,13) + TIME(1,39,31)</f>
        <v>40311.069108796299</v>
      </c>
      <c r="C231">
        <v>80</v>
      </c>
      <c r="D231">
        <v>79.952400208</v>
      </c>
      <c r="E231">
        <v>50</v>
      </c>
      <c r="F231">
        <v>14.999549866000001</v>
      </c>
      <c r="G231">
        <v>1342.5222168</v>
      </c>
      <c r="H231">
        <v>1339.5881348</v>
      </c>
      <c r="I231">
        <v>1320.1600341999999</v>
      </c>
      <c r="J231">
        <v>1315.6301269999999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12.14974</v>
      </c>
      <c r="B232" s="1">
        <f>DATE(2010,5,13) + TIME(3,35,37)</f>
        <v>40311.149733796294</v>
      </c>
      <c r="C232">
        <v>80</v>
      </c>
      <c r="D232">
        <v>79.952384949000006</v>
      </c>
      <c r="E232">
        <v>50</v>
      </c>
      <c r="F232">
        <v>14.999550819</v>
      </c>
      <c r="G232">
        <v>1342.5164795000001</v>
      </c>
      <c r="H232">
        <v>1339.5837402</v>
      </c>
      <c r="I232">
        <v>1320.1601562000001</v>
      </c>
      <c r="J232">
        <v>1315.630249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12.31099</v>
      </c>
      <c r="B233" s="1">
        <f>DATE(2010,5,13) + TIME(7,27,49)</f>
        <v>40311.310983796298</v>
      </c>
      <c r="C233">
        <v>80</v>
      </c>
      <c r="D233">
        <v>79.952362061000002</v>
      </c>
      <c r="E233">
        <v>50</v>
      </c>
      <c r="F233">
        <v>14.999551773</v>
      </c>
      <c r="G233">
        <v>1342.5109863</v>
      </c>
      <c r="H233">
        <v>1339.5795897999999</v>
      </c>
      <c r="I233">
        <v>1320.1604004000001</v>
      </c>
      <c r="J233">
        <v>1315.6304932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12.472519999999999</v>
      </c>
      <c r="B234" s="1">
        <f>DATE(2010,5,13) + TIME(11,20,25)</f>
        <v>40311.472511574073</v>
      </c>
      <c r="C234">
        <v>80</v>
      </c>
      <c r="D234">
        <v>79.952331543</v>
      </c>
      <c r="E234">
        <v>50</v>
      </c>
      <c r="F234">
        <v>14.99955368</v>
      </c>
      <c r="G234">
        <v>1342.4997559000001</v>
      </c>
      <c r="H234">
        <v>1339.5710449000001</v>
      </c>
      <c r="I234">
        <v>1320.1607666</v>
      </c>
      <c r="J234">
        <v>1315.6307373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12.635569</v>
      </c>
      <c r="B235" s="1">
        <f>DATE(2010,5,13) + TIME(15,15,13)</f>
        <v>40311.635567129626</v>
      </c>
      <c r="C235">
        <v>80</v>
      </c>
      <c r="D235">
        <v>79.952301024999997</v>
      </c>
      <c r="E235">
        <v>50</v>
      </c>
      <c r="F235">
        <v>14.999555588</v>
      </c>
      <c r="G235">
        <v>1342.4886475000001</v>
      </c>
      <c r="H235">
        <v>1339.5625</v>
      </c>
      <c r="I235">
        <v>1320.1611327999999</v>
      </c>
      <c r="J235">
        <v>1315.6311035000001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12.800440999999999</v>
      </c>
      <c r="B236" s="1">
        <f>DATE(2010,5,13) + TIME(19,12,38)</f>
        <v>40311.800439814811</v>
      </c>
      <c r="C236">
        <v>80</v>
      </c>
      <c r="D236">
        <v>79.952270507999998</v>
      </c>
      <c r="E236">
        <v>50</v>
      </c>
      <c r="F236">
        <v>14.999556541</v>
      </c>
      <c r="G236">
        <v>1342.4775391000001</v>
      </c>
      <c r="H236">
        <v>1339.5540771000001</v>
      </c>
      <c r="I236">
        <v>1320.161499</v>
      </c>
      <c r="J236">
        <v>1315.6313477000001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12.967453000000001</v>
      </c>
      <c r="B237" s="1">
        <f>DATE(2010,5,13) + TIME(23,13,7)</f>
        <v>40311.967442129629</v>
      </c>
      <c r="C237">
        <v>80</v>
      </c>
      <c r="D237">
        <v>79.952239989999995</v>
      </c>
      <c r="E237">
        <v>50</v>
      </c>
      <c r="F237">
        <v>14.999558449</v>
      </c>
      <c r="G237">
        <v>1342.4664307</v>
      </c>
      <c r="H237">
        <v>1339.5457764</v>
      </c>
      <c r="I237">
        <v>1320.1619873</v>
      </c>
      <c r="J237">
        <v>1315.6317139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13.136939999999999</v>
      </c>
      <c r="B238" s="1">
        <f>DATE(2010,5,14) + TIME(3,17,11)</f>
        <v>40312.136932870373</v>
      </c>
      <c r="C238">
        <v>80</v>
      </c>
      <c r="D238">
        <v>79.952209472999996</v>
      </c>
      <c r="E238">
        <v>50</v>
      </c>
      <c r="F238">
        <v>14.999560356</v>
      </c>
      <c r="G238">
        <v>1342.4553223</v>
      </c>
      <c r="H238">
        <v>1339.5373535000001</v>
      </c>
      <c r="I238">
        <v>1320.1623535000001</v>
      </c>
      <c r="J238">
        <v>1315.6319579999999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13.309298</v>
      </c>
      <c r="B239" s="1">
        <f>DATE(2010,5,14) + TIME(7,25,23)</f>
        <v>40312.309293981481</v>
      </c>
      <c r="C239">
        <v>80</v>
      </c>
      <c r="D239">
        <v>79.952178954999994</v>
      </c>
      <c r="E239">
        <v>50</v>
      </c>
      <c r="F239">
        <v>14.999562263</v>
      </c>
      <c r="G239">
        <v>1342.4440918</v>
      </c>
      <c r="H239">
        <v>1339.5289307</v>
      </c>
      <c r="I239">
        <v>1320.1627197</v>
      </c>
      <c r="J239">
        <v>1315.6323242000001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13.484890999999999</v>
      </c>
      <c r="B240" s="1">
        <f>DATE(2010,5,14) + TIME(11,38,14)</f>
        <v>40312.484884259262</v>
      </c>
      <c r="C240">
        <v>80</v>
      </c>
      <c r="D240">
        <v>79.952148437999995</v>
      </c>
      <c r="E240">
        <v>50</v>
      </c>
      <c r="F240">
        <v>14.999563217</v>
      </c>
      <c r="G240">
        <v>1342.4329834</v>
      </c>
      <c r="H240">
        <v>1339.5205077999999</v>
      </c>
      <c r="I240">
        <v>1320.1630858999999</v>
      </c>
      <c r="J240">
        <v>1315.6326904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13.664092999999999</v>
      </c>
      <c r="B241" s="1">
        <f>DATE(2010,5,14) + TIME(15,56,17)</f>
        <v>40312.664085648146</v>
      </c>
      <c r="C241">
        <v>80</v>
      </c>
      <c r="D241">
        <v>79.952117920000006</v>
      </c>
      <c r="E241">
        <v>50</v>
      </c>
      <c r="F241">
        <v>14.999565125</v>
      </c>
      <c r="G241">
        <v>1342.4216309000001</v>
      </c>
      <c r="H241">
        <v>1339.5119629000001</v>
      </c>
      <c r="I241">
        <v>1320.1635742000001</v>
      </c>
      <c r="J241">
        <v>1315.6329346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13.845424</v>
      </c>
      <c r="B242" s="1">
        <f>DATE(2010,5,14) + TIME(20,17,24)</f>
        <v>40312.845416666663</v>
      </c>
      <c r="C242">
        <v>80</v>
      </c>
      <c r="D242">
        <v>79.952079772999994</v>
      </c>
      <c r="E242">
        <v>50</v>
      </c>
      <c r="F242">
        <v>14.999567032</v>
      </c>
      <c r="G242">
        <v>1342.4102783000001</v>
      </c>
      <c r="H242">
        <v>1339.5035399999999</v>
      </c>
      <c r="I242">
        <v>1320.1639404</v>
      </c>
      <c r="J242">
        <v>1315.6333007999999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14.029120000000001</v>
      </c>
      <c r="B243" s="1">
        <f>DATE(2010,5,15) + TIME(0,41,55)</f>
        <v>40313.029108796298</v>
      </c>
      <c r="C243">
        <v>80</v>
      </c>
      <c r="D243">
        <v>79.952049255000006</v>
      </c>
      <c r="E243">
        <v>50</v>
      </c>
      <c r="F243">
        <v>14.999568939</v>
      </c>
      <c r="G243">
        <v>1342.3989257999999</v>
      </c>
      <c r="H243">
        <v>1339.4949951000001</v>
      </c>
      <c r="I243">
        <v>1320.1643065999999</v>
      </c>
      <c r="J243">
        <v>1315.6336670000001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14.121598000000001</v>
      </c>
      <c r="B244" s="1">
        <f>DATE(2010,5,15) + TIME(2,55,6)</f>
        <v>40313.12159722222</v>
      </c>
      <c r="C244">
        <v>80</v>
      </c>
      <c r="D244">
        <v>79.952026367000002</v>
      </c>
      <c r="E244">
        <v>50</v>
      </c>
      <c r="F244">
        <v>14.999569893</v>
      </c>
      <c r="G244">
        <v>1342.3873291</v>
      </c>
      <c r="H244">
        <v>1339.4862060999999</v>
      </c>
      <c r="I244">
        <v>1320.1647949000001</v>
      </c>
      <c r="J244">
        <v>1315.6340332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14.214076</v>
      </c>
      <c r="B245" s="1">
        <f>DATE(2010,5,15) + TIME(5,8,16)</f>
        <v>40313.214074074072</v>
      </c>
      <c r="C245">
        <v>80</v>
      </c>
      <c r="D245">
        <v>79.952003478999998</v>
      </c>
      <c r="E245">
        <v>50</v>
      </c>
      <c r="F245">
        <v>14.999570846999999</v>
      </c>
      <c r="G245">
        <v>1342.3817139</v>
      </c>
      <c r="H245">
        <v>1339.4819336</v>
      </c>
      <c r="I245">
        <v>1320.1649170000001</v>
      </c>
      <c r="J245">
        <v>1315.6341553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14.306554</v>
      </c>
      <c r="B246" s="1">
        <f>DATE(2010,5,15) + TIME(7,21,26)</f>
        <v>40313.306550925925</v>
      </c>
      <c r="C246">
        <v>80</v>
      </c>
      <c r="D246">
        <v>79.951988220000004</v>
      </c>
      <c r="E246">
        <v>50</v>
      </c>
      <c r="F246">
        <v>14.9995718</v>
      </c>
      <c r="G246">
        <v>1342.3759766000001</v>
      </c>
      <c r="H246">
        <v>1339.4776611</v>
      </c>
      <c r="I246">
        <v>1320.1651611</v>
      </c>
      <c r="J246">
        <v>1315.6342772999999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14.399032</v>
      </c>
      <c r="B247" s="1">
        <f>DATE(2010,5,15) + TIME(9,34,36)</f>
        <v>40313.399027777778</v>
      </c>
      <c r="C247">
        <v>80</v>
      </c>
      <c r="D247">
        <v>79.951965332</v>
      </c>
      <c r="E247">
        <v>50</v>
      </c>
      <c r="F247">
        <v>14.999572754000001</v>
      </c>
      <c r="G247">
        <v>1342.3703613</v>
      </c>
      <c r="H247">
        <v>1339.4735106999999</v>
      </c>
      <c r="I247">
        <v>1320.1654053</v>
      </c>
      <c r="J247">
        <v>1315.6345214999999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14.49151</v>
      </c>
      <c r="B248" s="1">
        <f>DATE(2010,5,15) + TIME(11,47,46)</f>
        <v>40313.49150462963</v>
      </c>
      <c r="C248">
        <v>80</v>
      </c>
      <c r="D248">
        <v>79.951950073000006</v>
      </c>
      <c r="E248">
        <v>50</v>
      </c>
      <c r="F248">
        <v>14.999572754000001</v>
      </c>
      <c r="G248">
        <v>1342.3648682</v>
      </c>
      <c r="H248">
        <v>1339.4693603999999</v>
      </c>
      <c r="I248">
        <v>1320.1656493999999</v>
      </c>
      <c r="J248">
        <v>1315.6346435999999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14.583989000000001</v>
      </c>
      <c r="B249" s="1">
        <f>DATE(2010,5,15) + TIME(14,0,56)</f>
        <v>40313.583981481483</v>
      </c>
      <c r="C249">
        <v>80</v>
      </c>
      <c r="D249">
        <v>79.951927185000002</v>
      </c>
      <c r="E249">
        <v>50</v>
      </c>
      <c r="F249">
        <v>14.999573708</v>
      </c>
      <c r="G249">
        <v>1342.3592529</v>
      </c>
      <c r="H249">
        <v>1339.4652100000001</v>
      </c>
      <c r="I249">
        <v>1320.1657714999999</v>
      </c>
      <c r="J249">
        <v>1315.6348877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14.676467000000001</v>
      </c>
      <c r="B250" s="1">
        <f>DATE(2010,5,15) + TIME(16,14,6)</f>
        <v>40313.676458333335</v>
      </c>
      <c r="C250">
        <v>80</v>
      </c>
      <c r="D250">
        <v>79.951911925999994</v>
      </c>
      <c r="E250">
        <v>50</v>
      </c>
      <c r="F250">
        <v>14.999574661</v>
      </c>
      <c r="G250">
        <v>1342.3537598</v>
      </c>
      <c r="H250">
        <v>1339.4610596</v>
      </c>
      <c r="I250">
        <v>1320.1660156</v>
      </c>
      <c r="J250">
        <v>1315.6350098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14.768945</v>
      </c>
      <c r="B251" s="1">
        <f>DATE(2010,5,15) + TIME(18,27,16)</f>
        <v>40313.768935185188</v>
      </c>
      <c r="C251">
        <v>80</v>
      </c>
      <c r="D251">
        <v>79.951896667</v>
      </c>
      <c r="E251">
        <v>50</v>
      </c>
      <c r="F251">
        <v>14.999575614999999</v>
      </c>
      <c r="G251">
        <v>1342.3482666</v>
      </c>
      <c r="H251">
        <v>1339.4570312000001</v>
      </c>
      <c r="I251">
        <v>1320.1662598</v>
      </c>
      <c r="J251">
        <v>1315.6352539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14.861423</v>
      </c>
      <c r="B252" s="1">
        <f>DATE(2010,5,15) + TIME(20,40,26)</f>
        <v>40313.86141203704</v>
      </c>
      <c r="C252">
        <v>80</v>
      </c>
      <c r="D252">
        <v>79.951873778999996</v>
      </c>
      <c r="E252">
        <v>50</v>
      </c>
      <c r="F252">
        <v>14.999576569</v>
      </c>
      <c r="G252">
        <v>1342.3428954999999</v>
      </c>
      <c r="H252">
        <v>1339.4530029</v>
      </c>
      <c r="I252">
        <v>1320.1665039</v>
      </c>
      <c r="J252">
        <v>1315.635376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14.953901</v>
      </c>
      <c r="B253" s="1">
        <f>DATE(2010,5,15) + TIME(22,53,37)</f>
        <v>40313.953900462962</v>
      </c>
      <c r="C253">
        <v>80</v>
      </c>
      <c r="D253">
        <v>79.951858521000005</v>
      </c>
      <c r="E253">
        <v>50</v>
      </c>
      <c r="F253">
        <v>14.999577521999999</v>
      </c>
      <c r="G253">
        <v>1342.3374022999999</v>
      </c>
      <c r="H253">
        <v>1339.4489745999999</v>
      </c>
      <c r="I253">
        <v>1320.166626</v>
      </c>
      <c r="J253">
        <v>1315.6354980000001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15.046379</v>
      </c>
      <c r="B254" s="1">
        <f>DATE(2010,5,16) + TIME(1,6,47)</f>
        <v>40314.046377314815</v>
      </c>
      <c r="C254">
        <v>80</v>
      </c>
      <c r="D254">
        <v>79.951843261999997</v>
      </c>
      <c r="E254">
        <v>50</v>
      </c>
      <c r="F254">
        <v>14.999578476</v>
      </c>
      <c r="G254">
        <v>1342.3320312000001</v>
      </c>
      <c r="H254">
        <v>1339.4449463000001</v>
      </c>
      <c r="I254">
        <v>1320.1668701000001</v>
      </c>
      <c r="J254">
        <v>1315.6357422000001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15.138857</v>
      </c>
      <c r="B255" s="1">
        <f>DATE(2010,5,16) + TIME(3,19,57)</f>
        <v>40314.138854166667</v>
      </c>
      <c r="C255">
        <v>80</v>
      </c>
      <c r="D255">
        <v>79.951828003000003</v>
      </c>
      <c r="E255">
        <v>50</v>
      </c>
      <c r="F255">
        <v>14.999579430000001</v>
      </c>
      <c r="G255">
        <v>1342.3266602000001</v>
      </c>
      <c r="H255">
        <v>1339.440918</v>
      </c>
      <c r="I255">
        <v>1320.1671143000001</v>
      </c>
      <c r="J255">
        <v>1315.6358643000001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15.231335</v>
      </c>
      <c r="B256" s="1">
        <f>DATE(2010,5,16) + TIME(5,33,7)</f>
        <v>40314.23133101852</v>
      </c>
      <c r="C256">
        <v>80</v>
      </c>
      <c r="D256">
        <v>79.951812743999994</v>
      </c>
      <c r="E256">
        <v>50</v>
      </c>
      <c r="F256">
        <v>14.999580383</v>
      </c>
      <c r="G256">
        <v>1342.3214111</v>
      </c>
      <c r="H256">
        <v>1339.4370117000001</v>
      </c>
      <c r="I256">
        <v>1320.1673584</v>
      </c>
      <c r="J256">
        <v>1315.6361084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15.416292</v>
      </c>
      <c r="B257" s="1">
        <f>DATE(2010,5,16) + TIME(9,59,27)</f>
        <v>40314.416284722225</v>
      </c>
      <c r="C257">
        <v>80</v>
      </c>
      <c r="D257">
        <v>79.951789856000005</v>
      </c>
      <c r="E257">
        <v>50</v>
      </c>
      <c r="F257">
        <v>14.999581337</v>
      </c>
      <c r="G257">
        <v>1342.3162841999999</v>
      </c>
      <c r="H257">
        <v>1339.4333495999999</v>
      </c>
      <c r="I257">
        <v>1320.1676024999999</v>
      </c>
      <c r="J257">
        <v>1315.6363524999999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15.601495999999999</v>
      </c>
      <c r="B258" s="1">
        <f>DATE(2010,5,16) + TIME(14,26,9)</f>
        <v>40314.601493055554</v>
      </c>
      <c r="C258">
        <v>80</v>
      </c>
      <c r="D258">
        <v>79.951759338000002</v>
      </c>
      <c r="E258">
        <v>50</v>
      </c>
      <c r="F258">
        <v>14.999583244</v>
      </c>
      <c r="G258">
        <v>1342.3057861</v>
      </c>
      <c r="H258">
        <v>1339.4255370999999</v>
      </c>
      <c r="I258">
        <v>1320.1679687999999</v>
      </c>
      <c r="J258">
        <v>1315.6365966999999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15.788427</v>
      </c>
      <c r="B259" s="1">
        <f>DATE(2010,5,16) + TIME(18,55,20)</f>
        <v>40314.788425925923</v>
      </c>
      <c r="C259">
        <v>80</v>
      </c>
      <c r="D259">
        <v>79.951728821000003</v>
      </c>
      <c r="E259">
        <v>50</v>
      </c>
      <c r="F259">
        <v>14.999584198000001</v>
      </c>
      <c r="G259">
        <v>1342.2954102000001</v>
      </c>
      <c r="H259">
        <v>1339.4179687999999</v>
      </c>
      <c r="I259">
        <v>1320.168457</v>
      </c>
      <c r="J259">
        <v>1315.6369629000001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15.977434000000001</v>
      </c>
      <c r="B260" s="1">
        <f>DATE(2010,5,16) + TIME(23,27,30)</f>
        <v>40314.977430555555</v>
      </c>
      <c r="C260">
        <v>80</v>
      </c>
      <c r="D260">
        <v>79.951698303000001</v>
      </c>
      <c r="E260">
        <v>50</v>
      </c>
      <c r="F260">
        <v>14.999586105000001</v>
      </c>
      <c r="G260">
        <v>1342.2850341999999</v>
      </c>
      <c r="H260">
        <v>1339.4102783000001</v>
      </c>
      <c r="I260">
        <v>1320.1689452999999</v>
      </c>
      <c r="J260">
        <v>1315.6373291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16.168918000000001</v>
      </c>
      <c r="B261" s="1">
        <f>DATE(2010,5,17) + TIME(4,3,14)</f>
        <v>40315.168912037036</v>
      </c>
      <c r="C261">
        <v>80</v>
      </c>
      <c r="D261">
        <v>79.951667786000002</v>
      </c>
      <c r="E261">
        <v>50</v>
      </c>
      <c r="F261">
        <v>14.999587059</v>
      </c>
      <c r="G261">
        <v>1342.2746582</v>
      </c>
      <c r="H261">
        <v>1339.4027100000001</v>
      </c>
      <c r="I261">
        <v>1320.1693115</v>
      </c>
      <c r="J261">
        <v>1315.6376952999999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16.363292999999999</v>
      </c>
      <c r="B262" s="1">
        <f>DATE(2010,5,17) + TIME(8,43,8)</f>
        <v>40315.363287037035</v>
      </c>
      <c r="C262">
        <v>80</v>
      </c>
      <c r="D262">
        <v>79.951637267999999</v>
      </c>
      <c r="E262">
        <v>50</v>
      </c>
      <c r="F262">
        <v>14.999588965999999</v>
      </c>
      <c r="G262">
        <v>1342.2642822</v>
      </c>
      <c r="H262">
        <v>1339.3950195</v>
      </c>
      <c r="I262">
        <v>1320.1697998</v>
      </c>
      <c r="J262">
        <v>1315.6380615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16.561063999999998</v>
      </c>
      <c r="B263" s="1">
        <f>DATE(2010,5,17) + TIME(13,27,55)</f>
        <v>40315.561053240737</v>
      </c>
      <c r="C263">
        <v>80</v>
      </c>
      <c r="D263">
        <v>79.951606749999996</v>
      </c>
      <c r="E263">
        <v>50</v>
      </c>
      <c r="F263">
        <v>14.999590874000001</v>
      </c>
      <c r="G263">
        <v>1342.2537841999999</v>
      </c>
      <c r="H263">
        <v>1339.3873291</v>
      </c>
      <c r="I263">
        <v>1320.1702881000001</v>
      </c>
      <c r="J263">
        <v>1315.6384277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16.762656</v>
      </c>
      <c r="B264" s="1">
        <f>DATE(2010,5,17) + TIME(18,18,13)</f>
        <v>40315.762650462966</v>
      </c>
      <c r="C264">
        <v>80</v>
      </c>
      <c r="D264">
        <v>79.951576232999997</v>
      </c>
      <c r="E264">
        <v>50</v>
      </c>
      <c r="F264">
        <v>14.999591827</v>
      </c>
      <c r="G264">
        <v>1342.2432861</v>
      </c>
      <c r="H264">
        <v>1339.3796387</v>
      </c>
      <c r="I264">
        <v>1320.1707764</v>
      </c>
      <c r="J264">
        <v>1315.6387939000001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16.96855</v>
      </c>
      <c r="B265" s="1">
        <f>DATE(2010,5,17) + TIME(23,14,42)</f>
        <v>40315.968541666669</v>
      </c>
      <c r="C265">
        <v>80</v>
      </c>
      <c r="D265">
        <v>79.951545714999995</v>
      </c>
      <c r="E265">
        <v>50</v>
      </c>
      <c r="F265">
        <v>14.999593734999999</v>
      </c>
      <c r="G265">
        <v>1342.2326660000001</v>
      </c>
      <c r="H265">
        <v>1339.3719481999999</v>
      </c>
      <c r="I265">
        <v>1320.1712646000001</v>
      </c>
      <c r="J265">
        <v>1315.6392822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17.176345000000001</v>
      </c>
      <c r="B266" s="1">
        <f>DATE(2010,5,18) + TIME(4,13,56)</f>
        <v>40316.176342592589</v>
      </c>
      <c r="C266">
        <v>80</v>
      </c>
      <c r="D266">
        <v>79.951515197999996</v>
      </c>
      <c r="E266">
        <v>50</v>
      </c>
      <c r="F266">
        <v>14.999595641999999</v>
      </c>
      <c r="G266">
        <v>1342.2219238</v>
      </c>
      <c r="H266">
        <v>1339.3640137</v>
      </c>
      <c r="I266">
        <v>1320.1717529</v>
      </c>
      <c r="J266">
        <v>1315.6396483999999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17.281002000000001</v>
      </c>
      <c r="B267" s="1">
        <f>DATE(2010,5,18) + TIME(6,44,38)</f>
        <v>40316.280995370369</v>
      </c>
      <c r="C267">
        <v>80</v>
      </c>
      <c r="D267">
        <v>79.951492310000006</v>
      </c>
      <c r="E267">
        <v>50</v>
      </c>
      <c r="F267">
        <v>14.999596596</v>
      </c>
      <c r="G267">
        <v>1342.2110596</v>
      </c>
      <c r="H267">
        <v>1339.3560791</v>
      </c>
      <c r="I267">
        <v>1320.1721190999999</v>
      </c>
      <c r="J267">
        <v>1315.6400146000001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17.385607</v>
      </c>
      <c r="B268" s="1">
        <f>DATE(2010,5,18) + TIME(9,15,16)</f>
        <v>40316.385601851849</v>
      </c>
      <c r="C268">
        <v>80</v>
      </c>
      <c r="D268">
        <v>79.951469420999999</v>
      </c>
      <c r="E268">
        <v>50</v>
      </c>
      <c r="F268">
        <v>14.999597549000001</v>
      </c>
      <c r="G268">
        <v>1342.2056885</v>
      </c>
      <c r="H268">
        <v>1339.3521728999999</v>
      </c>
      <c r="I268">
        <v>1320.1723632999999</v>
      </c>
      <c r="J268">
        <v>1315.6401367000001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17.489975999999999</v>
      </c>
      <c r="B269" s="1">
        <f>DATE(2010,5,18) + TIME(11,45,33)</f>
        <v>40316.489965277775</v>
      </c>
      <c r="C269">
        <v>80</v>
      </c>
      <c r="D269">
        <v>79.951446532999995</v>
      </c>
      <c r="E269">
        <v>50</v>
      </c>
      <c r="F269">
        <v>14.999598503</v>
      </c>
      <c r="G269">
        <v>1342.2004394999999</v>
      </c>
      <c r="H269">
        <v>1339.3482666</v>
      </c>
      <c r="I269">
        <v>1320.1726074000001</v>
      </c>
      <c r="J269">
        <v>1315.6403809000001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17.594163000000002</v>
      </c>
      <c r="B270" s="1">
        <f>DATE(2010,5,18) + TIME(14,15,35)</f>
        <v>40316.594155092593</v>
      </c>
      <c r="C270">
        <v>80</v>
      </c>
      <c r="D270">
        <v>79.951431274000001</v>
      </c>
      <c r="E270">
        <v>50</v>
      </c>
      <c r="F270">
        <v>14.999598503</v>
      </c>
      <c r="G270">
        <v>1342.1951904</v>
      </c>
      <c r="H270">
        <v>1339.3443603999999</v>
      </c>
      <c r="I270">
        <v>1320.1728516000001</v>
      </c>
      <c r="J270">
        <v>1315.640625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17.698225000000001</v>
      </c>
      <c r="B271" s="1">
        <f>DATE(2010,5,18) + TIME(16,45,26)</f>
        <v>40316.698217592595</v>
      </c>
      <c r="C271">
        <v>80</v>
      </c>
      <c r="D271">
        <v>79.951416015999996</v>
      </c>
      <c r="E271">
        <v>50</v>
      </c>
      <c r="F271">
        <v>14.999599457</v>
      </c>
      <c r="G271">
        <v>1342.1899414</v>
      </c>
      <c r="H271">
        <v>1339.3405762</v>
      </c>
      <c r="I271">
        <v>1320.1732178</v>
      </c>
      <c r="J271">
        <v>1315.6407471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17.802192999999999</v>
      </c>
      <c r="B272" s="1">
        <f>DATE(2010,5,18) + TIME(19,15,9)</f>
        <v>40316.802187499998</v>
      </c>
      <c r="C272">
        <v>80</v>
      </c>
      <c r="D272">
        <v>79.951393127000003</v>
      </c>
      <c r="E272">
        <v>50</v>
      </c>
      <c r="F272">
        <v>14.999600409999999</v>
      </c>
      <c r="G272">
        <v>1342.1846923999999</v>
      </c>
      <c r="H272">
        <v>1339.3367920000001</v>
      </c>
      <c r="I272">
        <v>1320.1734618999999</v>
      </c>
      <c r="J272">
        <v>1315.6409911999999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17.906139</v>
      </c>
      <c r="B273" s="1">
        <f>DATE(2010,5,18) + TIME(21,44,50)</f>
        <v>40316.906134259261</v>
      </c>
      <c r="C273">
        <v>80</v>
      </c>
      <c r="D273">
        <v>79.951377868999998</v>
      </c>
      <c r="E273">
        <v>50</v>
      </c>
      <c r="F273">
        <v>14.999601364</v>
      </c>
      <c r="G273">
        <v>1342.1795654</v>
      </c>
      <c r="H273">
        <v>1339.3330077999999</v>
      </c>
      <c r="I273">
        <v>1320.1737060999999</v>
      </c>
      <c r="J273">
        <v>1315.6412353999999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18.010085</v>
      </c>
      <c r="B274" s="1">
        <f>DATE(2010,5,19) + TIME(0,14,31)</f>
        <v>40317.010081018518</v>
      </c>
      <c r="C274">
        <v>80</v>
      </c>
      <c r="D274">
        <v>79.951362610000004</v>
      </c>
      <c r="E274">
        <v>50</v>
      </c>
      <c r="F274">
        <v>14.999602318000001</v>
      </c>
      <c r="G274">
        <v>1342.1744385</v>
      </c>
      <c r="H274">
        <v>1339.3292236</v>
      </c>
      <c r="I274">
        <v>1320.1739502</v>
      </c>
      <c r="J274">
        <v>1315.6413574000001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18.114031000000001</v>
      </c>
      <c r="B275" s="1">
        <f>DATE(2010,5,19) + TIME(2,44,12)</f>
        <v>40317.114027777781</v>
      </c>
      <c r="C275">
        <v>80</v>
      </c>
      <c r="D275">
        <v>79.951347350999995</v>
      </c>
      <c r="E275">
        <v>50</v>
      </c>
      <c r="F275">
        <v>14.999603271</v>
      </c>
      <c r="G275">
        <v>1342.1693115</v>
      </c>
      <c r="H275">
        <v>1339.3255615</v>
      </c>
      <c r="I275">
        <v>1320.1741943</v>
      </c>
      <c r="J275">
        <v>1315.6416016000001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18.217977000000001</v>
      </c>
      <c r="B276" s="1">
        <f>DATE(2010,5,19) + TIME(5,13,53)</f>
        <v>40317.217974537038</v>
      </c>
      <c r="C276">
        <v>80</v>
      </c>
      <c r="D276">
        <v>79.951332092000001</v>
      </c>
      <c r="E276">
        <v>50</v>
      </c>
      <c r="F276">
        <v>14.999604225000001</v>
      </c>
      <c r="G276">
        <v>1342.1643065999999</v>
      </c>
      <c r="H276">
        <v>1339.3217772999999</v>
      </c>
      <c r="I276">
        <v>1320.1744385</v>
      </c>
      <c r="J276">
        <v>1315.6418457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18.321922000000001</v>
      </c>
      <c r="B277" s="1">
        <f>DATE(2010,5,19) + TIME(7,43,34)</f>
        <v>40317.321921296294</v>
      </c>
      <c r="C277">
        <v>80</v>
      </c>
      <c r="D277">
        <v>79.951316833000007</v>
      </c>
      <c r="E277">
        <v>50</v>
      </c>
      <c r="F277">
        <v>14.999604225000001</v>
      </c>
      <c r="G277">
        <v>1342.1591797000001</v>
      </c>
      <c r="H277">
        <v>1339.3181152</v>
      </c>
      <c r="I277">
        <v>1320.1746826000001</v>
      </c>
      <c r="J277">
        <v>1315.6419678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18.425868000000001</v>
      </c>
      <c r="B278" s="1">
        <f>DATE(2010,5,19) + TIME(10,13,15)</f>
        <v>40317.425868055558</v>
      </c>
      <c r="C278">
        <v>80</v>
      </c>
      <c r="D278">
        <v>79.951301575000002</v>
      </c>
      <c r="E278">
        <v>50</v>
      </c>
      <c r="F278">
        <v>14.999605179</v>
      </c>
      <c r="G278">
        <v>1342.1541748</v>
      </c>
      <c r="H278">
        <v>1339.3144531</v>
      </c>
      <c r="I278">
        <v>1320.1749268000001</v>
      </c>
      <c r="J278">
        <v>1315.6422118999999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18.633759999999999</v>
      </c>
      <c r="B279" s="1">
        <f>DATE(2010,5,19) + TIME(15,12,36)</f>
        <v>40317.633750000001</v>
      </c>
      <c r="C279">
        <v>80</v>
      </c>
      <c r="D279">
        <v>79.951278686999999</v>
      </c>
      <c r="E279">
        <v>50</v>
      </c>
      <c r="F279">
        <v>14.999607085999999</v>
      </c>
      <c r="G279">
        <v>1342.1494141000001</v>
      </c>
      <c r="H279">
        <v>1339.3110352000001</v>
      </c>
      <c r="I279">
        <v>1320.1751709</v>
      </c>
      <c r="J279">
        <v>1315.6424560999999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18.841746000000001</v>
      </c>
      <c r="B280" s="1">
        <f>DATE(2010,5,19) + TIME(20,12,6)</f>
        <v>40317.841736111113</v>
      </c>
      <c r="C280">
        <v>80</v>
      </c>
      <c r="D280">
        <v>79.951248168999996</v>
      </c>
      <c r="E280">
        <v>50</v>
      </c>
      <c r="F280">
        <v>14.99960804</v>
      </c>
      <c r="G280">
        <v>1342.1394043</v>
      </c>
      <c r="H280">
        <v>1339.3038329999999</v>
      </c>
      <c r="I280">
        <v>1320.1756591999999</v>
      </c>
      <c r="J280">
        <v>1315.6428223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19.051459999999999</v>
      </c>
      <c r="B281" s="1">
        <f>DATE(2010,5,20) + TIME(1,14,6)</f>
        <v>40318.051458333335</v>
      </c>
      <c r="C281">
        <v>80</v>
      </c>
      <c r="D281">
        <v>79.951225281000006</v>
      </c>
      <c r="E281">
        <v>50</v>
      </c>
      <c r="F281">
        <v>14.999609947</v>
      </c>
      <c r="G281">
        <v>1342.1296387</v>
      </c>
      <c r="H281">
        <v>1339.2967529</v>
      </c>
      <c r="I281">
        <v>1320.1762695</v>
      </c>
      <c r="J281">
        <v>1315.6433105000001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19.263286999999998</v>
      </c>
      <c r="B282" s="1">
        <f>DATE(2010,5,20) + TIME(6,19,7)</f>
        <v>40318.263275462959</v>
      </c>
      <c r="C282">
        <v>80</v>
      </c>
      <c r="D282">
        <v>79.951194763000004</v>
      </c>
      <c r="E282">
        <v>50</v>
      </c>
      <c r="F282">
        <v>14.999610901</v>
      </c>
      <c r="G282">
        <v>1342.1198730000001</v>
      </c>
      <c r="H282">
        <v>1339.2896728999999</v>
      </c>
      <c r="I282">
        <v>1320.1767577999999</v>
      </c>
      <c r="J282">
        <v>1315.6436768000001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19.477630999999999</v>
      </c>
      <c r="B283" s="1">
        <f>DATE(2010,5,20) + TIME(11,27,47)</f>
        <v>40318.477627314816</v>
      </c>
      <c r="C283">
        <v>80</v>
      </c>
      <c r="D283">
        <v>79.951164246000005</v>
      </c>
      <c r="E283">
        <v>50</v>
      </c>
      <c r="F283">
        <v>14.999612808</v>
      </c>
      <c r="G283">
        <v>1342.1099853999999</v>
      </c>
      <c r="H283">
        <v>1339.2825928</v>
      </c>
      <c r="I283">
        <v>1320.1772461</v>
      </c>
      <c r="J283">
        <v>1315.644043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19.694918999999999</v>
      </c>
      <c r="B284" s="1">
        <f>DATE(2010,5,20) + TIME(16,40,40)</f>
        <v>40318.694907407407</v>
      </c>
      <c r="C284">
        <v>80</v>
      </c>
      <c r="D284">
        <v>79.951141356999997</v>
      </c>
      <c r="E284">
        <v>50</v>
      </c>
      <c r="F284">
        <v>14.999613761999999</v>
      </c>
      <c r="G284">
        <v>1342.1002197</v>
      </c>
      <c r="H284">
        <v>1339.2755127</v>
      </c>
      <c r="I284">
        <v>1320.1777344</v>
      </c>
      <c r="J284">
        <v>1315.6445312000001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19.915611999999999</v>
      </c>
      <c r="B285" s="1">
        <f>DATE(2010,5,20) + TIME(21,58,28)</f>
        <v>40318.915601851855</v>
      </c>
      <c r="C285">
        <v>80</v>
      </c>
      <c r="D285">
        <v>79.951110839999998</v>
      </c>
      <c r="E285">
        <v>50</v>
      </c>
      <c r="F285">
        <v>14.999615669000001</v>
      </c>
      <c r="G285">
        <v>1342.090332</v>
      </c>
      <c r="H285">
        <v>1339.2684326000001</v>
      </c>
      <c r="I285">
        <v>1320.1783447</v>
      </c>
      <c r="J285">
        <v>1315.6448975000001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20.140312000000002</v>
      </c>
      <c r="B286" s="1">
        <f>DATE(2010,5,21) + TIME(3,22,2)</f>
        <v>40319.140300925923</v>
      </c>
      <c r="C286">
        <v>80</v>
      </c>
      <c r="D286">
        <v>79.951080321999996</v>
      </c>
      <c r="E286">
        <v>50</v>
      </c>
      <c r="F286">
        <v>14.999616623</v>
      </c>
      <c r="G286">
        <v>1342.0804443</v>
      </c>
      <c r="H286">
        <v>1339.2612305</v>
      </c>
      <c r="I286">
        <v>1320.1788329999999</v>
      </c>
      <c r="J286">
        <v>1315.6453856999999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20.369503999999999</v>
      </c>
      <c r="B287" s="1">
        <f>DATE(2010,5,21) + TIME(8,52,5)</f>
        <v>40319.369502314818</v>
      </c>
      <c r="C287">
        <v>80</v>
      </c>
      <c r="D287">
        <v>79.951049804999997</v>
      </c>
      <c r="E287">
        <v>50</v>
      </c>
      <c r="F287">
        <v>14.999618529999999</v>
      </c>
      <c r="G287">
        <v>1342.0704346</v>
      </c>
      <c r="H287">
        <v>1339.2540283000001</v>
      </c>
      <c r="I287">
        <v>1320.1794434000001</v>
      </c>
      <c r="J287">
        <v>1315.6457519999999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20.485257000000001</v>
      </c>
      <c r="B288" s="1">
        <f>DATE(2010,5,21) + TIME(11,38,46)</f>
        <v>40319.485254629632</v>
      </c>
      <c r="C288">
        <v>80</v>
      </c>
      <c r="D288">
        <v>79.951026916999993</v>
      </c>
      <c r="E288">
        <v>50</v>
      </c>
      <c r="F288">
        <v>14.999619484</v>
      </c>
      <c r="G288">
        <v>1342.0603027</v>
      </c>
      <c r="H288">
        <v>1339.2467041</v>
      </c>
      <c r="I288">
        <v>1320.1799315999999</v>
      </c>
      <c r="J288">
        <v>1315.6462402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20.601011</v>
      </c>
      <c r="B289" s="1">
        <f>DATE(2010,5,21) + TIME(14,25,27)</f>
        <v>40319.601006944446</v>
      </c>
      <c r="C289">
        <v>80</v>
      </c>
      <c r="D289">
        <v>79.951004028</v>
      </c>
      <c r="E289">
        <v>50</v>
      </c>
      <c r="F289">
        <v>14.999620438000001</v>
      </c>
      <c r="G289">
        <v>1342.0551757999999</v>
      </c>
      <c r="H289">
        <v>1339.2429199000001</v>
      </c>
      <c r="I289">
        <v>1320.1801757999999</v>
      </c>
      <c r="J289">
        <v>1315.6464844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20.716764000000001</v>
      </c>
      <c r="B290" s="1">
        <f>DATE(2010,5,21) + TIME(17,12,8)</f>
        <v>40319.71675925926</v>
      </c>
      <c r="C290">
        <v>80</v>
      </c>
      <c r="D290">
        <v>79.950988769999995</v>
      </c>
      <c r="E290">
        <v>50</v>
      </c>
      <c r="F290">
        <v>14.999621391</v>
      </c>
      <c r="G290">
        <v>1342.0501709</v>
      </c>
      <c r="H290">
        <v>1339.2393798999999</v>
      </c>
      <c r="I290">
        <v>1320.1805420000001</v>
      </c>
      <c r="J290">
        <v>1315.6467285000001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20.832518</v>
      </c>
      <c r="B291" s="1">
        <f>DATE(2010,5,21) + TIME(19,58,49)</f>
        <v>40319.832511574074</v>
      </c>
      <c r="C291">
        <v>80</v>
      </c>
      <c r="D291">
        <v>79.950973511000001</v>
      </c>
      <c r="E291">
        <v>50</v>
      </c>
      <c r="F291">
        <v>14.999621391</v>
      </c>
      <c r="G291">
        <v>1342.0451660000001</v>
      </c>
      <c r="H291">
        <v>1339.2357178</v>
      </c>
      <c r="I291">
        <v>1320.1807861</v>
      </c>
      <c r="J291">
        <v>1315.6468506000001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20.948271999999999</v>
      </c>
      <c r="B292" s="1">
        <f>DATE(2010,5,21) + TIME(22,45,30)</f>
        <v>40319.948263888888</v>
      </c>
      <c r="C292">
        <v>80</v>
      </c>
      <c r="D292">
        <v>79.950958252000007</v>
      </c>
      <c r="E292">
        <v>50</v>
      </c>
      <c r="F292">
        <v>14.999622345000001</v>
      </c>
      <c r="G292">
        <v>1342.0401611</v>
      </c>
      <c r="H292">
        <v>1339.2321777</v>
      </c>
      <c r="I292">
        <v>1320.1810303</v>
      </c>
      <c r="J292">
        <v>1315.6470947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21.064025000000001</v>
      </c>
      <c r="B293" s="1">
        <f>DATE(2010,5,22) + TIME(1,32,11)</f>
        <v>40320.064016203702</v>
      </c>
      <c r="C293">
        <v>80</v>
      </c>
      <c r="D293">
        <v>79.950935364000003</v>
      </c>
      <c r="E293">
        <v>50</v>
      </c>
      <c r="F293">
        <v>14.999623299</v>
      </c>
      <c r="G293">
        <v>1342.0352783000001</v>
      </c>
      <c r="H293">
        <v>1339.2286377</v>
      </c>
      <c r="I293">
        <v>1320.1813964999999</v>
      </c>
      <c r="J293">
        <v>1315.6473389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21.179779</v>
      </c>
      <c r="B294" s="1">
        <f>DATE(2010,5,22) + TIME(4,18,52)</f>
        <v>40320.179768518516</v>
      </c>
      <c r="C294">
        <v>80</v>
      </c>
      <c r="D294">
        <v>79.950920104999994</v>
      </c>
      <c r="E294">
        <v>50</v>
      </c>
      <c r="F294">
        <v>14.999624252</v>
      </c>
      <c r="G294">
        <v>1342.0302733999999</v>
      </c>
      <c r="H294">
        <v>1339.2249756000001</v>
      </c>
      <c r="I294">
        <v>1320.1816406</v>
      </c>
      <c r="J294">
        <v>1315.6475829999999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21.295532000000001</v>
      </c>
      <c r="B295" s="1">
        <f>DATE(2010,5,22) + TIME(7,5,34)</f>
        <v>40320.295532407406</v>
      </c>
      <c r="C295">
        <v>80</v>
      </c>
      <c r="D295">
        <v>79.950904846</v>
      </c>
      <c r="E295">
        <v>50</v>
      </c>
      <c r="F295">
        <v>14.999625205999999</v>
      </c>
      <c r="G295">
        <v>1342.0253906</v>
      </c>
      <c r="H295">
        <v>1339.2215576000001</v>
      </c>
      <c r="I295">
        <v>1320.1818848</v>
      </c>
      <c r="J295">
        <v>1315.6478271000001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21.411286</v>
      </c>
      <c r="B296" s="1">
        <f>DATE(2010,5,22) + TIME(9,52,15)</f>
        <v>40320.41128472222</v>
      </c>
      <c r="C296">
        <v>80</v>
      </c>
      <c r="D296">
        <v>79.950889587000006</v>
      </c>
      <c r="E296">
        <v>50</v>
      </c>
      <c r="F296">
        <v>14.99962616</v>
      </c>
      <c r="G296">
        <v>1342.0205077999999</v>
      </c>
      <c r="H296">
        <v>1339.2180175999999</v>
      </c>
      <c r="I296">
        <v>1320.182251</v>
      </c>
      <c r="J296">
        <v>1315.6480713000001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21.52704</v>
      </c>
      <c r="B297" s="1">
        <f>DATE(2010,5,22) + TIME(12,38,56)</f>
        <v>40320.527037037034</v>
      </c>
      <c r="C297">
        <v>80</v>
      </c>
      <c r="D297">
        <v>79.950874329000001</v>
      </c>
      <c r="E297">
        <v>50</v>
      </c>
      <c r="F297">
        <v>14.99962616</v>
      </c>
      <c r="G297">
        <v>1342.0157471</v>
      </c>
      <c r="H297">
        <v>1339.2144774999999</v>
      </c>
      <c r="I297">
        <v>1320.1824951000001</v>
      </c>
      <c r="J297">
        <v>1315.6483154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21.642793000000001</v>
      </c>
      <c r="B298" s="1">
        <f>DATE(2010,5,22) + TIME(15,25,37)</f>
        <v>40320.642789351848</v>
      </c>
      <c r="C298">
        <v>80</v>
      </c>
      <c r="D298">
        <v>79.950859070000007</v>
      </c>
      <c r="E298">
        <v>50</v>
      </c>
      <c r="F298">
        <v>14.999627113000001</v>
      </c>
      <c r="G298">
        <v>1342.0108643000001</v>
      </c>
      <c r="H298">
        <v>1339.2110596</v>
      </c>
      <c r="I298">
        <v>1320.1828613</v>
      </c>
      <c r="J298">
        <v>1315.6485596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21.758547</v>
      </c>
      <c r="B299" s="1">
        <f>DATE(2010,5,22) + TIME(18,12,18)</f>
        <v>40320.75854166667</v>
      </c>
      <c r="C299">
        <v>80</v>
      </c>
      <c r="D299">
        <v>79.950851439999994</v>
      </c>
      <c r="E299">
        <v>50</v>
      </c>
      <c r="F299">
        <v>14.999628067</v>
      </c>
      <c r="G299">
        <v>1342.0061035000001</v>
      </c>
      <c r="H299">
        <v>1339.2075195</v>
      </c>
      <c r="I299">
        <v>1320.1831055</v>
      </c>
      <c r="J299">
        <v>1315.6488036999999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21.874300000000002</v>
      </c>
      <c r="B300" s="1">
        <f>DATE(2010,5,22) + TIME(20,58,59)</f>
        <v>40320.874293981484</v>
      </c>
      <c r="C300">
        <v>80</v>
      </c>
      <c r="D300">
        <v>79.950836182000003</v>
      </c>
      <c r="E300">
        <v>50</v>
      </c>
      <c r="F300">
        <v>14.999629021000001</v>
      </c>
      <c r="G300">
        <v>1342.0013428</v>
      </c>
      <c r="H300">
        <v>1339.2041016000001</v>
      </c>
      <c r="I300">
        <v>1320.1833495999999</v>
      </c>
      <c r="J300">
        <v>1315.6489257999999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21.990054000000001</v>
      </c>
      <c r="B301" s="1">
        <f>DATE(2010,5,22) + TIME(23,45,40)</f>
        <v>40320.990046296298</v>
      </c>
      <c r="C301">
        <v>80</v>
      </c>
      <c r="D301">
        <v>79.950820922999995</v>
      </c>
      <c r="E301">
        <v>50</v>
      </c>
      <c r="F301">
        <v>14.999629973999999</v>
      </c>
      <c r="G301">
        <v>1341.996582</v>
      </c>
      <c r="H301">
        <v>1339.2006836</v>
      </c>
      <c r="I301">
        <v>1320.1837158000001</v>
      </c>
      <c r="J301">
        <v>1315.6491699000001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22.105808</v>
      </c>
      <c r="B302" s="1">
        <f>DATE(2010,5,23) + TIME(2,32,21)</f>
        <v>40321.105798611112</v>
      </c>
      <c r="C302">
        <v>80</v>
      </c>
      <c r="D302">
        <v>79.950805664000001</v>
      </c>
      <c r="E302">
        <v>50</v>
      </c>
      <c r="F302">
        <v>14.999629973999999</v>
      </c>
      <c r="G302">
        <v>1341.9918213000001</v>
      </c>
      <c r="H302">
        <v>1339.1972656</v>
      </c>
      <c r="I302">
        <v>1320.1839600000001</v>
      </c>
      <c r="J302">
        <v>1315.6494141000001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22.221561000000001</v>
      </c>
      <c r="B303" s="1">
        <f>DATE(2010,5,23) + TIME(5,19,2)</f>
        <v>40321.221550925926</v>
      </c>
      <c r="C303">
        <v>80</v>
      </c>
      <c r="D303">
        <v>79.950790405000006</v>
      </c>
      <c r="E303">
        <v>50</v>
      </c>
      <c r="F303">
        <v>14.999630928</v>
      </c>
      <c r="G303">
        <v>1341.9870605000001</v>
      </c>
      <c r="H303">
        <v>1339.1938477000001</v>
      </c>
      <c r="I303">
        <v>1320.1842041</v>
      </c>
      <c r="J303">
        <v>1315.6496582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22.337315</v>
      </c>
      <c r="B304" s="1">
        <f>DATE(2010,5,23) + TIME(8,5,44)</f>
        <v>40321.337314814817</v>
      </c>
      <c r="C304">
        <v>80</v>
      </c>
      <c r="D304">
        <v>79.950775145999998</v>
      </c>
      <c r="E304">
        <v>50</v>
      </c>
      <c r="F304">
        <v>14.999631881999999</v>
      </c>
      <c r="G304">
        <v>1341.9824219</v>
      </c>
      <c r="H304">
        <v>1339.1905518000001</v>
      </c>
      <c r="I304">
        <v>1320.1845702999999</v>
      </c>
      <c r="J304">
        <v>1315.6499022999999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22.568822000000001</v>
      </c>
      <c r="B305" s="1">
        <f>DATE(2010,5,23) + TIME(13,39,6)</f>
        <v>40321.568819444445</v>
      </c>
      <c r="C305">
        <v>80</v>
      </c>
      <c r="D305">
        <v>79.950759887999993</v>
      </c>
      <c r="E305">
        <v>50</v>
      </c>
      <c r="F305">
        <v>14.999632835</v>
      </c>
      <c r="G305">
        <v>1341.9779053</v>
      </c>
      <c r="H305">
        <v>1339.1872559000001</v>
      </c>
      <c r="I305">
        <v>1320.1849365</v>
      </c>
      <c r="J305">
        <v>1315.6501464999999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22.801113999999998</v>
      </c>
      <c r="B306" s="1">
        <f>DATE(2010,5,23) + TIME(19,13,36)</f>
        <v>40321.801111111112</v>
      </c>
      <c r="C306">
        <v>80</v>
      </c>
      <c r="D306">
        <v>79.950737000000004</v>
      </c>
      <c r="E306">
        <v>50</v>
      </c>
      <c r="F306">
        <v>14.999634743</v>
      </c>
      <c r="G306">
        <v>1341.9686279</v>
      </c>
      <c r="H306">
        <v>1339.1806641000001</v>
      </c>
      <c r="I306">
        <v>1320.1854248</v>
      </c>
      <c r="J306">
        <v>1315.6506348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23.03633</v>
      </c>
      <c r="B307" s="1">
        <f>DATE(2010,5,24) + TIME(0,52,18)</f>
        <v>40322.036319444444</v>
      </c>
      <c r="C307">
        <v>80</v>
      </c>
      <c r="D307">
        <v>79.950714110999996</v>
      </c>
      <c r="E307">
        <v>50</v>
      </c>
      <c r="F307">
        <v>14.999635696</v>
      </c>
      <c r="G307">
        <v>1341.9594727000001</v>
      </c>
      <c r="H307">
        <v>1339.1740723</v>
      </c>
      <c r="I307">
        <v>1320.1860352000001</v>
      </c>
      <c r="J307">
        <v>1315.6511230000001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23.274934999999999</v>
      </c>
      <c r="B308" s="1">
        <f>DATE(2010,5,24) + TIME(6,35,54)</f>
        <v>40322.274930555555</v>
      </c>
      <c r="C308">
        <v>80</v>
      </c>
      <c r="D308">
        <v>79.950691223000007</v>
      </c>
      <c r="E308">
        <v>50</v>
      </c>
      <c r="F308">
        <v>14.999636649999999</v>
      </c>
      <c r="G308">
        <v>1341.9501952999999</v>
      </c>
      <c r="H308">
        <v>1339.1674805</v>
      </c>
      <c r="I308">
        <v>1320.1866454999999</v>
      </c>
      <c r="J308">
        <v>1315.6516113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23.517444000000001</v>
      </c>
      <c r="B309" s="1">
        <f>DATE(2010,5,24) + TIME(12,25,7)</f>
        <v>40322.517442129632</v>
      </c>
      <c r="C309">
        <v>80</v>
      </c>
      <c r="D309">
        <v>79.950668335000003</v>
      </c>
      <c r="E309">
        <v>50</v>
      </c>
      <c r="F309">
        <v>14.999638557000001</v>
      </c>
      <c r="G309">
        <v>1341.940918</v>
      </c>
      <c r="H309">
        <v>1339.1608887</v>
      </c>
      <c r="I309">
        <v>1320.1872559000001</v>
      </c>
      <c r="J309">
        <v>1315.6520995999999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23.764513000000001</v>
      </c>
      <c r="B310" s="1">
        <f>DATE(2010,5,24) + TIME(18,20,53)</f>
        <v>40322.764502314814</v>
      </c>
      <c r="C310">
        <v>80</v>
      </c>
      <c r="D310">
        <v>79.950637817</v>
      </c>
      <c r="E310">
        <v>50</v>
      </c>
      <c r="F310">
        <v>14.999639511</v>
      </c>
      <c r="G310">
        <v>1341.9316406</v>
      </c>
      <c r="H310">
        <v>1339.1541748</v>
      </c>
      <c r="I310">
        <v>1320.1878661999999</v>
      </c>
      <c r="J310">
        <v>1315.6525879000001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24.016635999999998</v>
      </c>
      <c r="B311" s="1">
        <f>DATE(2010,5,25) + TIME(0,23,57)</f>
        <v>40323.016631944447</v>
      </c>
      <c r="C311">
        <v>80</v>
      </c>
      <c r="D311">
        <v>79.950614928999997</v>
      </c>
      <c r="E311">
        <v>50</v>
      </c>
      <c r="F311">
        <v>14.999641418</v>
      </c>
      <c r="G311">
        <v>1341.9221190999999</v>
      </c>
      <c r="H311">
        <v>1339.1474608999999</v>
      </c>
      <c r="I311">
        <v>1320.1884766000001</v>
      </c>
      <c r="J311">
        <v>1315.6530762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24.144131999999999</v>
      </c>
      <c r="B312" s="1">
        <f>DATE(2010,5,25) + TIME(3,27,32)</f>
        <v>40323.144120370373</v>
      </c>
      <c r="C312">
        <v>80</v>
      </c>
      <c r="D312">
        <v>79.950592040999993</v>
      </c>
      <c r="E312">
        <v>50</v>
      </c>
      <c r="F312">
        <v>14.999642372</v>
      </c>
      <c r="G312">
        <v>1341.9124756000001</v>
      </c>
      <c r="H312">
        <v>1339.1403809000001</v>
      </c>
      <c r="I312">
        <v>1320.1890868999999</v>
      </c>
      <c r="J312">
        <v>1315.6535644999999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24.271339999999999</v>
      </c>
      <c r="B313" s="1">
        <f>DATE(2010,5,25) + TIME(6,30,43)</f>
        <v>40323.271331018521</v>
      </c>
      <c r="C313">
        <v>80</v>
      </c>
      <c r="D313">
        <v>79.950576781999999</v>
      </c>
      <c r="E313">
        <v>50</v>
      </c>
      <c r="F313">
        <v>14.999643325999999</v>
      </c>
      <c r="G313">
        <v>1341.9077147999999</v>
      </c>
      <c r="H313">
        <v>1339.1369629000001</v>
      </c>
      <c r="I313">
        <v>1320.1894531</v>
      </c>
      <c r="J313">
        <v>1315.6538086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24.398157999999999</v>
      </c>
      <c r="B314" s="1">
        <f>DATE(2010,5,25) + TIME(9,33,20)</f>
        <v>40323.398148148146</v>
      </c>
      <c r="C314">
        <v>80</v>
      </c>
      <c r="D314">
        <v>79.950561523000005</v>
      </c>
      <c r="E314">
        <v>50</v>
      </c>
      <c r="F314">
        <v>14.999643325999999</v>
      </c>
      <c r="G314">
        <v>1341.9029541</v>
      </c>
      <c r="H314">
        <v>1339.1335449000001</v>
      </c>
      <c r="I314">
        <v>1320.1898193</v>
      </c>
      <c r="J314">
        <v>1315.6540527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24.524659</v>
      </c>
      <c r="B315" s="1">
        <f>DATE(2010,5,25) + TIME(12,35,30)</f>
        <v>40323.524652777778</v>
      </c>
      <c r="C315">
        <v>80</v>
      </c>
      <c r="D315">
        <v>79.950546265</v>
      </c>
      <c r="E315">
        <v>50</v>
      </c>
      <c r="F315">
        <v>14.999644279</v>
      </c>
      <c r="G315">
        <v>1341.8981934000001</v>
      </c>
      <c r="H315">
        <v>1339.1301269999999</v>
      </c>
      <c r="I315">
        <v>1320.1900635</v>
      </c>
      <c r="J315">
        <v>1315.6542969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24.650915999999999</v>
      </c>
      <c r="B316" s="1">
        <f>DATE(2010,5,25) + TIME(15,37,19)</f>
        <v>40323.650914351849</v>
      </c>
      <c r="C316">
        <v>80</v>
      </c>
      <c r="D316">
        <v>79.950531006000006</v>
      </c>
      <c r="E316">
        <v>50</v>
      </c>
      <c r="F316">
        <v>14.999645233000001</v>
      </c>
      <c r="G316">
        <v>1341.8935547000001</v>
      </c>
      <c r="H316">
        <v>1339.1268310999999</v>
      </c>
      <c r="I316">
        <v>1320.1904297000001</v>
      </c>
      <c r="J316">
        <v>1315.6545410000001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24.776997999999999</v>
      </c>
      <c r="B317" s="1">
        <f>DATE(2010,5,25) + TIME(18,38,52)</f>
        <v>40323.776990740742</v>
      </c>
      <c r="C317">
        <v>80</v>
      </c>
      <c r="D317">
        <v>79.950515746999997</v>
      </c>
      <c r="E317">
        <v>50</v>
      </c>
      <c r="F317">
        <v>14.999646187</v>
      </c>
      <c r="G317">
        <v>1341.8889160000001</v>
      </c>
      <c r="H317">
        <v>1339.1234131000001</v>
      </c>
      <c r="I317">
        <v>1320.1907959</v>
      </c>
      <c r="J317">
        <v>1315.6549072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24.902949</v>
      </c>
      <c r="B318" s="1">
        <f>DATE(2010,5,25) + TIME(21,40,14)</f>
        <v>40323.902939814812</v>
      </c>
      <c r="C318">
        <v>80</v>
      </c>
      <c r="D318">
        <v>79.950500488000003</v>
      </c>
      <c r="E318">
        <v>50</v>
      </c>
      <c r="F318">
        <v>14.999647141000001</v>
      </c>
      <c r="G318">
        <v>1341.8842772999999</v>
      </c>
      <c r="H318">
        <v>1339.1201172000001</v>
      </c>
      <c r="I318">
        <v>1320.1910399999999</v>
      </c>
      <c r="J318">
        <v>1315.6551514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25.028866000000001</v>
      </c>
      <c r="B319" s="1">
        <f>DATE(2010,5,26) + TIME(0,41,34)</f>
        <v>40324.028865740744</v>
      </c>
      <c r="C319">
        <v>80</v>
      </c>
      <c r="D319">
        <v>79.950485228999995</v>
      </c>
      <c r="E319">
        <v>50</v>
      </c>
      <c r="F319">
        <v>14.999647141000001</v>
      </c>
      <c r="G319">
        <v>1341.8796387</v>
      </c>
      <c r="H319">
        <v>1339.1168213000001</v>
      </c>
      <c r="I319">
        <v>1320.1914062000001</v>
      </c>
      <c r="J319">
        <v>1315.6553954999999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25.154783999999999</v>
      </c>
      <c r="B320" s="1">
        <f>DATE(2010,5,26) + TIME(3,42,53)</f>
        <v>40324.154780092591</v>
      </c>
      <c r="C320">
        <v>80</v>
      </c>
      <c r="D320">
        <v>79.950469971000004</v>
      </c>
      <c r="E320">
        <v>50</v>
      </c>
      <c r="F320">
        <v>14.999648093999999</v>
      </c>
      <c r="G320">
        <v>1341.8751221</v>
      </c>
      <c r="H320">
        <v>1339.1135254000001</v>
      </c>
      <c r="I320">
        <v>1320.1917725000001</v>
      </c>
      <c r="J320">
        <v>1315.6556396000001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25.280701000000001</v>
      </c>
      <c r="B321" s="1">
        <f>DATE(2010,5,26) + TIME(6,44,12)</f>
        <v>40324.280694444446</v>
      </c>
      <c r="C321">
        <v>80</v>
      </c>
      <c r="D321">
        <v>79.950462341000005</v>
      </c>
      <c r="E321">
        <v>50</v>
      </c>
      <c r="F321">
        <v>14.999649048</v>
      </c>
      <c r="G321">
        <v>1341.8706055</v>
      </c>
      <c r="H321">
        <v>1339.1102295000001</v>
      </c>
      <c r="I321">
        <v>1320.1920166</v>
      </c>
      <c r="J321">
        <v>1315.6558838000001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25.406618000000002</v>
      </c>
      <c r="B322" s="1">
        <f>DATE(2010,5,26) + TIME(9,45,31)</f>
        <v>40324.406608796293</v>
      </c>
      <c r="C322">
        <v>80</v>
      </c>
      <c r="D322">
        <v>79.950447083</v>
      </c>
      <c r="E322">
        <v>50</v>
      </c>
      <c r="F322">
        <v>14.999650001999999</v>
      </c>
      <c r="G322">
        <v>1341.8659668</v>
      </c>
      <c r="H322">
        <v>1339.1070557</v>
      </c>
      <c r="I322">
        <v>1320.1923827999999</v>
      </c>
      <c r="J322">
        <v>1315.6561279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25.532536</v>
      </c>
      <c r="B323" s="1">
        <f>DATE(2010,5,26) + TIME(12,46,51)</f>
        <v>40324.532534722224</v>
      </c>
      <c r="C323">
        <v>80</v>
      </c>
      <c r="D323">
        <v>79.950431824000006</v>
      </c>
      <c r="E323">
        <v>50</v>
      </c>
      <c r="F323">
        <v>14.999650955</v>
      </c>
      <c r="G323">
        <v>1341.8614502</v>
      </c>
      <c r="H323">
        <v>1339.1037598</v>
      </c>
      <c r="I323">
        <v>1320.192749</v>
      </c>
      <c r="J323">
        <v>1315.6563721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25.658453000000002</v>
      </c>
      <c r="B324" s="1">
        <f>DATE(2010,5,26) + TIME(15,48,10)</f>
        <v>40324.658449074072</v>
      </c>
      <c r="C324">
        <v>80</v>
      </c>
      <c r="D324">
        <v>79.950424193999993</v>
      </c>
      <c r="E324">
        <v>50</v>
      </c>
      <c r="F324">
        <v>14.999650955</v>
      </c>
      <c r="G324">
        <v>1341.8570557</v>
      </c>
      <c r="H324">
        <v>1339.1005858999999</v>
      </c>
      <c r="I324">
        <v>1320.1931152</v>
      </c>
      <c r="J324">
        <v>1315.6567382999999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25.784369999999999</v>
      </c>
      <c r="B325" s="1">
        <f>DATE(2010,5,26) + TIME(18,49,29)</f>
        <v>40324.784363425926</v>
      </c>
      <c r="C325">
        <v>80</v>
      </c>
      <c r="D325">
        <v>79.950408936000002</v>
      </c>
      <c r="E325">
        <v>50</v>
      </c>
      <c r="F325">
        <v>14.999651909000001</v>
      </c>
      <c r="G325">
        <v>1341.8525391000001</v>
      </c>
      <c r="H325">
        <v>1339.0972899999999</v>
      </c>
      <c r="I325">
        <v>1320.1933594</v>
      </c>
      <c r="J325">
        <v>1315.6569824000001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26.036204999999999</v>
      </c>
      <c r="B326" s="1">
        <f>DATE(2010,5,27) + TIME(0,52,8)</f>
        <v>40325.036203703705</v>
      </c>
      <c r="C326">
        <v>80</v>
      </c>
      <c r="D326">
        <v>79.950393676999994</v>
      </c>
      <c r="E326">
        <v>50</v>
      </c>
      <c r="F326">
        <v>14.999652863</v>
      </c>
      <c r="G326">
        <v>1341.8482666</v>
      </c>
      <c r="H326">
        <v>1339.0942382999999</v>
      </c>
      <c r="I326">
        <v>1320.1937256000001</v>
      </c>
      <c r="J326">
        <v>1315.6572266000001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26.288366</v>
      </c>
      <c r="B327" s="1">
        <f>DATE(2010,5,27) + TIME(6,55,14)</f>
        <v>40325.288356481484</v>
      </c>
      <c r="C327">
        <v>80</v>
      </c>
      <c r="D327">
        <v>79.950378418</v>
      </c>
      <c r="E327">
        <v>50</v>
      </c>
      <c r="F327">
        <v>14.999654769999999</v>
      </c>
      <c r="G327">
        <v>1341.8393555</v>
      </c>
      <c r="H327">
        <v>1339.0880127</v>
      </c>
      <c r="I327">
        <v>1320.1944579999999</v>
      </c>
      <c r="J327">
        <v>1315.6577147999999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26.543051999999999</v>
      </c>
      <c r="B328" s="1">
        <f>DATE(2010,5,27) + TIME(13,1,59)</f>
        <v>40325.543043981481</v>
      </c>
      <c r="C328">
        <v>80</v>
      </c>
      <c r="D328">
        <v>79.950355529999996</v>
      </c>
      <c r="E328">
        <v>50</v>
      </c>
      <c r="F328">
        <v>14.999655724</v>
      </c>
      <c r="G328">
        <v>1341.8305664</v>
      </c>
      <c r="H328">
        <v>1339.0816649999999</v>
      </c>
      <c r="I328">
        <v>1320.1950684000001</v>
      </c>
      <c r="J328">
        <v>1315.6583252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26.800777</v>
      </c>
      <c r="B329" s="1">
        <f>DATE(2010,5,27) + TIME(19,13,7)</f>
        <v>40325.800775462965</v>
      </c>
      <c r="C329">
        <v>80</v>
      </c>
      <c r="D329">
        <v>79.950332642000006</v>
      </c>
      <c r="E329">
        <v>50</v>
      </c>
      <c r="F329">
        <v>14.999656677000001</v>
      </c>
      <c r="G329">
        <v>1341.8217772999999</v>
      </c>
      <c r="H329">
        <v>1339.0754394999999</v>
      </c>
      <c r="I329">
        <v>1320.1958007999999</v>
      </c>
      <c r="J329">
        <v>1315.6588135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27.062090000000001</v>
      </c>
      <c r="B330" s="1">
        <f>DATE(2010,5,28) + TIME(1,29,24)</f>
        <v>40326.062083333331</v>
      </c>
      <c r="C330">
        <v>80</v>
      </c>
      <c r="D330">
        <v>79.950309752999999</v>
      </c>
      <c r="E330">
        <v>50</v>
      </c>
      <c r="F330">
        <v>14.999658585000001</v>
      </c>
      <c r="G330">
        <v>1341.8129882999999</v>
      </c>
      <c r="H330">
        <v>1339.0690918</v>
      </c>
      <c r="I330">
        <v>1320.1964111</v>
      </c>
      <c r="J330">
        <v>1315.6594238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27.327570999999999</v>
      </c>
      <c r="B331" s="1">
        <f>DATE(2010,5,28) + TIME(7,51,42)</f>
        <v>40326.327569444446</v>
      </c>
      <c r="C331">
        <v>80</v>
      </c>
      <c r="D331">
        <v>79.950286864999995</v>
      </c>
      <c r="E331">
        <v>50</v>
      </c>
      <c r="F331">
        <v>14.999659538</v>
      </c>
      <c r="G331">
        <v>1341.8040771000001</v>
      </c>
      <c r="H331">
        <v>1339.0627440999999</v>
      </c>
      <c r="I331">
        <v>1320.1971435999999</v>
      </c>
      <c r="J331">
        <v>1315.6599120999999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27.597902999999999</v>
      </c>
      <c r="B332" s="1">
        <f>DATE(2010,5,28) + TIME(14,20,58)</f>
        <v>40326.597893518519</v>
      </c>
      <c r="C332">
        <v>80</v>
      </c>
      <c r="D332">
        <v>79.950263977000006</v>
      </c>
      <c r="E332">
        <v>50</v>
      </c>
      <c r="F332">
        <v>14.999661445999999</v>
      </c>
      <c r="G332">
        <v>1341.7951660000001</v>
      </c>
      <c r="H332">
        <v>1339.0563964999999</v>
      </c>
      <c r="I332">
        <v>1320.197876</v>
      </c>
      <c r="J332">
        <v>1315.6605225000001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27.735759000000002</v>
      </c>
      <c r="B333" s="1">
        <f>DATE(2010,5,28) + TIME(17,39,29)</f>
        <v>40326.735752314817</v>
      </c>
      <c r="C333">
        <v>80</v>
      </c>
      <c r="D333">
        <v>79.950248717999997</v>
      </c>
      <c r="E333">
        <v>50</v>
      </c>
      <c r="F333">
        <v>14.999661445999999</v>
      </c>
      <c r="G333">
        <v>1341.7860106999999</v>
      </c>
      <c r="H333">
        <v>1339.0498047000001</v>
      </c>
      <c r="I333">
        <v>1320.1984863</v>
      </c>
      <c r="J333">
        <v>1315.6610106999999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27.873615999999998</v>
      </c>
      <c r="B334" s="1">
        <f>DATE(2010,5,28) + TIME(20,58,0)</f>
        <v>40326.873611111114</v>
      </c>
      <c r="C334">
        <v>80</v>
      </c>
      <c r="D334">
        <v>79.950233459000003</v>
      </c>
      <c r="E334">
        <v>50</v>
      </c>
      <c r="F334">
        <v>14.999662399</v>
      </c>
      <c r="G334">
        <v>1341.7814940999999</v>
      </c>
      <c r="H334">
        <v>1339.0465088000001</v>
      </c>
      <c r="I334">
        <v>1320.1988524999999</v>
      </c>
      <c r="J334">
        <v>1315.6612548999999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28.011472000000001</v>
      </c>
      <c r="B335" s="1">
        <f>DATE(2010,5,29) + TIME(0,16,31)</f>
        <v>40327.011469907404</v>
      </c>
      <c r="C335">
        <v>80</v>
      </c>
      <c r="D335">
        <v>79.950218200999998</v>
      </c>
      <c r="E335">
        <v>50</v>
      </c>
      <c r="F335">
        <v>14.999663353000001</v>
      </c>
      <c r="G335">
        <v>1341.7768555</v>
      </c>
      <c r="H335">
        <v>1339.0432129000001</v>
      </c>
      <c r="I335">
        <v>1320.1992187999999</v>
      </c>
      <c r="J335">
        <v>1315.6616211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28.149328000000001</v>
      </c>
      <c r="B336" s="1">
        <f>DATE(2010,5,29) + TIME(3,35,1)</f>
        <v>40327.149317129632</v>
      </c>
      <c r="C336">
        <v>80</v>
      </c>
      <c r="D336">
        <v>79.950202942000004</v>
      </c>
      <c r="E336">
        <v>50</v>
      </c>
      <c r="F336">
        <v>14.999664307</v>
      </c>
      <c r="G336">
        <v>1341.7723389</v>
      </c>
      <c r="H336">
        <v>1339.0400391000001</v>
      </c>
      <c r="I336">
        <v>1320.1995850000001</v>
      </c>
      <c r="J336">
        <v>1315.6618652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28.287185000000001</v>
      </c>
      <c r="B337" s="1">
        <f>DATE(2010,5,29) + TIME(6,53,32)</f>
        <v>40327.287175925929</v>
      </c>
      <c r="C337">
        <v>80</v>
      </c>
      <c r="D337">
        <v>79.950187682999996</v>
      </c>
      <c r="E337">
        <v>50</v>
      </c>
      <c r="F337">
        <v>14.99966526</v>
      </c>
      <c r="G337">
        <v>1341.7678223</v>
      </c>
      <c r="H337">
        <v>1339.0367432</v>
      </c>
      <c r="I337">
        <v>1320.2000731999999</v>
      </c>
      <c r="J337">
        <v>1315.6622314000001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28.424859000000001</v>
      </c>
      <c r="B338" s="1">
        <f>DATE(2010,5,29) + TIME(10,11,47)</f>
        <v>40327.424849537034</v>
      </c>
      <c r="C338">
        <v>80</v>
      </c>
      <c r="D338">
        <v>79.950180054</v>
      </c>
      <c r="E338">
        <v>50</v>
      </c>
      <c r="F338">
        <v>14.99966526</v>
      </c>
      <c r="G338">
        <v>1341.7634277</v>
      </c>
      <c r="H338">
        <v>1339.0335693</v>
      </c>
      <c r="I338">
        <v>1320.2004394999999</v>
      </c>
      <c r="J338">
        <v>1315.6624756000001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28.562256999999999</v>
      </c>
      <c r="B339" s="1">
        <f>DATE(2010,5,29) + TIME(13,29,38)</f>
        <v>40327.562245370369</v>
      </c>
      <c r="C339">
        <v>80</v>
      </c>
      <c r="D339">
        <v>79.950164795000006</v>
      </c>
      <c r="E339">
        <v>50</v>
      </c>
      <c r="F339">
        <v>14.999666213999999</v>
      </c>
      <c r="G339">
        <v>1341.7589111</v>
      </c>
      <c r="H339">
        <v>1339.0303954999999</v>
      </c>
      <c r="I339">
        <v>1320.2008057</v>
      </c>
      <c r="J339">
        <v>1315.6627197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28.699459000000001</v>
      </c>
      <c r="B340" s="1">
        <f>DATE(2010,5,29) + TIME(16,47,13)</f>
        <v>40327.699456018519</v>
      </c>
      <c r="C340">
        <v>80</v>
      </c>
      <c r="D340">
        <v>79.950149535999998</v>
      </c>
      <c r="E340">
        <v>50</v>
      </c>
      <c r="F340">
        <v>14.999667168</v>
      </c>
      <c r="G340">
        <v>1341.7545166</v>
      </c>
      <c r="H340">
        <v>1339.0270995999999</v>
      </c>
      <c r="I340">
        <v>1320.2011719</v>
      </c>
      <c r="J340">
        <v>1315.6630858999999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28.836518999999999</v>
      </c>
      <c r="B341" s="1">
        <f>DATE(2010,5,29) + TIME(20,4,35)</f>
        <v>40327.836516203701</v>
      </c>
      <c r="C341">
        <v>80</v>
      </c>
      <c r="D341">
        <v>79.950141907000003</v>
      </c>
      <c r="E341">
        <v>50</v>
      </c>
      <c r="F341">
        <v>14.999668120999999</v>
      </c>
      <c r="G341">
        <v>1341.7501221</v>
      </c>
      <c r="H341">
        <v>1339.0239257999999</v>
      </c>
      <c r="I341">
        <v>1320.2015381000001</v>
      </c>
      <c r="J341">
        <v>1315.6633300999999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28.973534000000001</v>
      </c>
      <c r="B342" s="1">
        <f>DATE(2010,5,29) + TIME(23,21,53)</f>
        <v>40327.973530092589</v>
      </c>
      <c r="C342">
        <v>80</v>
      </c>
      <c r="D342">
        <v>79.950126647999994</v>
      </c>
      <c r="E342">
        <v>50</v>
      </c>
      <c r="F342">
        <v>14.999668120999999</v>
      </c>
      <c r="G342">
        <v>1341.7457274999999</v>
      </c>
      <c r="H342">
        <v>1339.020874</v>
      </c>
      <c r="I342">
        <v>1320.2019043</v>
      </c>
      <c r="J342">
        <v>1315.6636963000001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29.110548000000001</v>
      </c>
      <c r="B343" s="1">
        <f>DATE(2010,5,30) + TIME(2,39,11)</f>
        <v>40328.110543981478</v>
      </c>
      <c r="C343">
        <v>80</v>
      </c>
      <c r="D343">
        <v>79.950119018999999</v>
      </c>
      <c r="E343">
        <v>50</v>
      </c>
      <c r="F343">
        <v>14.999669075</v>
      </c>
      <c r="G343">
        <v>1341.7413329999999</v>
      </c>
      <c r="H343">
        <v>1339.0177002</v>
      </c>
      <c r="I343">
        <v>1320.2022704999999</v>
      </c>
      <c r="J343">
        <v>1315.6639404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29.247563</v>
      </c>
      <c r="B344" s="1">
        <f>DATE(2010,5,30) + TIME(5,56,29)</f>
        <v>40328.247557870367</v>
      </c>
      <c r="C344">
        <v>80</v>
      </c>
      <c r="D344">
        <v>79.950111389</v>
      </c>
      <c r="E344">
        <v>50</v>
      </c>
      <c r="F344">
        <v>14.999670029000001</v>
      </c>
      <c r="G344">
        <v>1341.7369385</v>
      </c>
      <c r="H344">
        <v>1339.0145264</v>
      </c>
      <c r="I344">
        <v>1320.2026367000001</v>
      </c>
      <c r="J344">
        <v>1315.6641846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29.384577</v>
      </c>
      <c r="B345" s="1">
        <f>DATE(2010,5,30) + TIME(9,13,47)</f>
        <v>40328.384571759256</v>
      </c>
      <c r="C345">
        <v>80</v>
      </c>
      <c r="D345">
        <v>79.950096130000006</v>
      </c>
      <c r="E345">
        <v>50</v>
      </c>
      <c r="F345">
        <v>14.999670982</v>
      </c>
      <c r="G345">
        <v>1341.7326660000001</v>
      </c>
      <c r="H345">
        <v>1339.0114745999999</v>
      </c>
      <c r="I345">
        <v>1320.2030029</v>
      </c>
      <c r="J345">
        <v>1315.6645507999999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29.521591999999998</v>
      </c>
      <c r="B346" s="1">
        <f>DATE(2010,5,30) + TIME(12,31,5)</f>
        <v>40328.521585648145</v>
      </c>
      <c r="C346">
        <v>80</v>
      </c>
      <c r="D346">
        <v>79.950088500999996</v>
      </c>
      <c r="E346">
        <v>50</v>
      </c>
      <c r="F346">
        <v>14.999670982</v>
      </c>
      <c r="G346">
        <v>1341.7283935999999</v>
      </c>
      <c r="H346">
        <v>1339.0083007999999</v>
      </c>
      <c r="I346">
        <v>1320.2033690999999</v>
      </c>
      <c r="J346">
        <v>1315.6647949000001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29.658605999999999</v>
      </c>
      <c r="B347" s="1">
        <f>DATE(2010,5,30) + TIME(15,48,23)</f>
        <v>40328.658599537041</v>
      </c>
      <c r="C347">
        <v>80</v>
      </c>
      <c r="D347">
        <v>79.950073242000002</v>
      </c>
      <c r="E347">
        <v>50</v>
      </c>
      <c r="F347">
        <v>14.999671936</v>
      </c>
      <c r="G347">
        <v>1341.7241211</v>
      </c>
      <c r="H347">
        <v>1339.005249</v>
      </c>
      <c r="I347">
        <v>1320.2037353999999</v>
      </c>
      <c r="J347">
        <v>1315.6651611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29.795621000000001</v>
      </c>
      <c r="B348" s="1">
        <f>DATE(2010,5,30) + TIME(19,5,41)</f>
        <v>40328.795613425929</v>
      </c>
      <c r="C348">
        <v>80</v>
      </c>
      <c r="D348">
        <v>79.950065613000007</v>
      </c>
      <c r="E348">
        <v>50</v>
      </c>
      <c r="F348">
        <v>14.999672889999999</v>
      </c>
      <c r="G348">
        <v>1341.7198486</v>
      </c>
      <c r="H348">
        <v>1339.0021973</v>
      </c>
      <c r="I348">
        <v>1320.2041016000001</v>
      </c>
      <c r="J348">
        <v>1315.6654053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29.932635000000001</v>
      </c>
      <c r="B349" s="1">
        <f>DATE(2010,5,30) + TIME(22,22,59)</f>
        <v>40328.932627314818</v>
      </c>
      <c r="C349">
        <v>80</v>
      </c>
      <c r="D349">
        <v>79.950057982999994</v>
      </c>
      <c r="E349">
        <v>50</v>
      </c>
      <c r="F349">
        <v>14.999673843</v>
      </c>
      <c r="G349">
        <v>1341.7155762</v>
      </c>
      <c r="H349">
        <v>1338.9991454999999</v>
      </c>
      <c r="I349">
        <v>1320.2044678</v>
      </c>
      <c r="J349">
        <v>1315.6657714999999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30.206664</v>
      </c>
      <c r="B350" s="1">
        <f>DATE(2010,5,31) + TIME(4,57,35)</f>
        <v>40329.206655092596</v>
      </c>
      <c r="C350">
        <v>80</v>
      </c>
      <c r="D350">
        <v>79.950042725000003</v>
      </c>
      <c r="E350">
        <v>50</v>
      </c>
      <c r="F350">
        <v>14.999674797000001</v>
      </c>
      <c r="G350">
        <v>1341.7114257999999</v>
      </c>
      <c r="H350">
        <v>1338.9962158000001</v>
      </c>
      <c r="I350">
        <v>1320.2049560999999</v>
      </c>
      <c r="J350">
        <v>1315.6660156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30.481158000000001</v>
      </c>
      <c r="B351" s="1">
        <f>DATE(2010,5,31) + TIME(11,32,52)</f>
        <v>40329.481157407405</v>
      </c>
      <c r="C351">
        <v>80</v>
      </c>
      <c r="D351">
        <v>79.950035095000004</v>
      </c>
      <c r="E351">
        <v>50</v>
      </c>
      <c r="F351">
        <v>14.999675751</v>
      </c>
      <c r="G351">
        <v>1341.7030029</v>
      </c>
      <c r="H351">
        <v>1338.9901123</v>
      </c>
      <c r="I351">
        <v>1320.2056885</v>
      </c>
      <c r="J351">
        <v>1315.666626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30.759086</v>
      </c>
      <c r="B352" s="1">
        <f>DATE(2010,5,31) + TIME(18,13,5)</f>
        <v>40329.759085648147</v>
      </c>
      <c r="C352">
        <v>80</v>
      </c>
      <c r="D352">
        <v>79.950012207</v>
      </c>
      <c r="E352">
        <v>50</v>
      </c>
      <c r="F352">
        <v>14.999676704000001</v>
      </c>
      <c r="G352">
        <v>1341.6945800999999</v>
      </c>
      <c r="H352">
        <v>1338.9841309000001</v>
      </c>
      <c r="I352">
        <v>1320.2064209</v>
      </c>
      <c r="J352">
        <v>1315.6672363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31</v>
      </c>
      <c r="B353" s="1">
        <f>DATE(2010,6,1) + TIME(0,0,0)</f>
        <v>40330</v>
      </c>
      <c r="C353">
        <v>80</v>
      </c>
      <c r="D353">
        <v>79.949996948000006</v>
      </c>
      <c r="E353">
        <v>50</v>
      </c>
      <c r="F353">
        <v>14.999678612</v>
      </c>
      <c r="G353">
        <v>1341.6861572</v>
      </c>
      <c r="H353">
        <v>1338.9780272999999</v>
      </c>
      <c r="I353">
        <v>1320.2071533000001</v>
      </c>
      <c r="J353">
        <v>1315.6678466999999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31.281943999999999</v>
      </c>
      <c r="B354" s="1">
        <f>DATE(2010,6,1) + TIME(6,45,59)</f>
        <v>40330.28193287037</v>
      </c>
      <c r="C354">
        <v>80</v>
      </c>
      <c r="D354">
        <v>79.949981688999998</v>
      </c>
      <c r="E354">
        <v>50</v>
      </c>
      <c r="F354">
        <v>14.999679564999999</v>
      </c>
      <c r="G354">
        <v>1341.6789550999999</v>
      </c>
      <c r="H354">
        <v>1338.9729004000001</v>
      </c>
      <c r="I354">
        <v>1320.2078856999999</v>
      </c>
      <c r="J354">
        <v>1315.6683350000001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31.573128000000001</v>
      </c>
      <c r="B355" s="1">
        <f>DATE(2010,6,1) + TIME(13,45,18)</f>
        <v>40330.573125000003</v>
      </c>
      <c r="C355">
        <v>80</v>
      </c>
      <c r="D355">
        <v>79.949958800999994</v>
      </c>
      <c r="E355">
        <v>50</v>
      </c>
      <c r="F355">
        <v>14.999680519</v>
      </c>
      <c r="G355">
        <v>1341.6705322</v>
      </c>
      <c r="H355">
        <v>1338.9667969</v>
      </c>
      <c r="I355">
        <v>1320.2087402</v>
      </c>
      <c r="J355">
        <v>1315.6689452999999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31.721629</v>
      </c>
      <c r="B356" s="1">
        <f>DATE(2010,6,1) + TIME(17,19,8)</f>
        <v>40330.721620370372</v>
      </c>
      <c r="C356">
        <v>80</v>
      </c>
      <c r="D356">
        <v>79.949943542</v>
      </c>
      <c r="E356">
        <v>50</v>
      </c>
      <c r="F356">
        <v>14.999681473000001</v>
      </c>
      <c r="G356">
        <v>1341.6618652</v>
      </c>
      <c r="H356">
        <v>1338.9605713000001</v>
      </c>
      <c r="I356">
        <v>1320.2094727000001</v>
      </c>
      <c r="J356">
        <v>1315.6695557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31.870128999999999</v>
      </c>
      <c r="B357" s="1">
        <f>DATE(2010,6,1) + TIME(20,52,59)</f>
        <v>40330.870127314818</v>
      </c>
      <c r="C357">
        <v>80</v>
      </c>
      <c r="D357">
        <v>79.949935913000004</v>
      </c>
      <c r="E357">
        <v>50</v>
      </c>
      <c r="F357">
        <v>14.999682426</v>
      </c>
      <c r="G357">
        <v>1341.6574707</v>
      </c>
      <c r="H357">
        <v>1338.9573975000001</v>
      </c>
      <c r="I357">
        <v>1320.2098389</v>
      </c>
      <c r="J357">
        <v>1315.6699219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32.018628999999997</v>
      </c>
      <c r="B358" s="1">
        <f>DATE(2010,6,2) + TIME(0,26,49)</f>
        <v>40331.018622685187</v>
      </c>
      <c r="C358">
        <v>80</v>
      </c>
      <c r="D358">
        <v>79.949920653999996</v>
      </c>
      <c r="E358">
        <v>50</v>
      </c>
      <c r="F358">
        <v>14.99968338</v>
      </c>
      <c r="G358">
        <v>1341.6530762</v>
      </c>
      <c r="H358">
        <v>1338.9542236</v>
      </c>
      <c r="I358">
        <v>1320.2103271000001</v>
      </c>
      <c r="J358">
        <v>1315.6702881000001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32.167129000000003</v>
      </c>
      <c r="B359" s="1">
        <f>DATE(2010,6,2) + TIME(4,0,39)</f>
        <v>40331.167118055557</v>
      </c>
      <c r="C359">
        <v>80</v>
      </c>
      <c r="D359">
        <v>79.949905396000005</v>
      </c>
      <c r="E359">
        <v>50</v>
      </c>
      <c r="F359">
        <v>14.99968338</v>
      </c>
      <c r="G359">
        <v>1341.6488036999999</v>
      </c>
      <c r="H359">
        <v>1338.9510498</v>
      </c>
      <c r="I359">
        <v>1320.2106934000001</v>
      </c>
      <c r="J359">
        <v>1315.6705322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32.315629999999999</v>
      </c>
      <c r="B360" s="1">
        <f>DATE(2010,6,2) + TIME(7,34,30)</f>
        <v>40331.315625000003</v>
      </c>
      <c r="C360">
        <v>80</v>
      </c>
      <c r="D360">
        <v>79.949897766000007</v>
      </c>
      <c r="E360">
        <v>50</v>
      </c>
      <c r="F360">
        <v>14.999684333999999</v>
      </c>
      <c r="G360">
        <v>1341.6445312000001</v>
      </c>
      <c r="H360">
        <v>1338.9479980000001</v>
      </c>
      <c r="I360">
        <v>1320.2111815999999</v>
      </c>
      <c r="J360">
        <v>1315.6708983999999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32.464008</v>
      </c>
      <c r="B361" s="1">
        <f>DATE(2010,6,2) + TIME(11,8,10)</f>
        <v>40331.464004629626</v>
      </c>
      <c r="C361">
        <v>80</v>
      </c>
      <c r="D361">
        <v>79.949890136999997</v>
      </c>
      <c r="E361">
        <v>50</v>
      </c>
      <c r="F361">
        <v>14.999685287</v>
      </c>
      <c r="G361">
        <v>1341.6402588000001</v>
      </c>
      <c r="H361">
        <v>1338.9449463000001</v>
      </c>
      <c r="I361">
        <v>1320.2115478999999</v>
      </c>
      <c r="J361">
        <v>1315.6712646000001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32.612099000000001</v>
      </c>
      <c r="B362" s="1">
        <f>DATE(2010,6,2) + TIME(14,41,25)</f>
        <v>40331.61209490741</v>
      </c>
      <c r="C362">
        <v>80</v>
      </c>
      <c r="D362">
        <v>79.949874878000003</v>
      </c>
      <c r="E362">
        <v>50</v>
      </c>
      <c r="F362">
        <v>14.999686240999999</v>
      </c>
      <c r="G362">
        <v>1341.6359863</v>
      </c>
      <c r="H362">
        <v>1338.9417725000001</v>
      </c>
      <c r="I362">
        <v>1320.2120361</v>
      </c>
      <c r="J362">
        <v>1315.6716309000001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32.759988999999997</v>
      </c>
      <c r="B363" s="1">
        <f>DATE(2010,6,2) + TIME(18,14,23)</f>
        <v>40331.759988425925</v>
      </c>
      <c r="C363">
        <v>80</v>
      </c>
      <c r="D363">
        <v>79.949867248999993</v>
      </c>
      <c r="E363">
        <v>50</v>
      </c>
      <c r="F363">
        <v>14.999686240999999</v>
      </c>
      <c r="G363">
        <v>1341.6317139</v>
      </c>
      <c r="H363">
        <v>1338.9387207</v>
      </c>
      <c r="I363">
        <v>1320.2124022999999</v>
      </c>
      <c r="J363">
        <v>1315.671875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32.907733</v>
      </c>
      <c r="B364" s="1">
        <f>DATE(2010,6,2) + TIME(21,47,8)</f>
        <v>40331.907731481479</v>
      </c>
      <c r="C364">
        <v>80</v>
      </c>
      <c r="D364">
        <v>79.949859618999994</v>
      </c>
      <c r="E364">
        <v>50</v>
      </c>
      <c r="F364">
        <v>14.999687195</v>
      </c>
      <c r="G364">
        <v>1341.6274414</v>
      </c>
      <c r="H364">
        <v>1338.9356689000001</v>
      </c>
      <c r="I364">
        <v>1320.2128906</v>
      </c>
      <c r="J364">
        <v>1315.6722411999999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33.055438000000002</v>
      </c>
      <c r="B365" s="1">
        <f>DATE(2010,6,3) + TIME(1,19,49)</f>
        <v>40332.055428240739</v>
      </c>
      <c r="C365">
        <v>80</v>
      </c>
      <c r="D365">
        <v>79.949851989999999</v>
      </c>
      <c r="E365">
        <v>50</v>
      </c>
      <c r="F365">
        <v>14.999688148000001</v>
      </c>
      <c r="G365">
        <v>1341.6232910000001</v>
      </c>
      <c r="H365">
        <v>1338.9326172000001</v>
      </c>
      <c r="I365">
        <v>1320.2132568</v>
      </c>
      <c r="J365">
        <v>1315.6726074000001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33.203142999999997</v>
      </c>
      <c r="B366" s="1">
        <f>DATE(2010,6,3) + TIME(4,52,31)</f>
        <v>40332.203136574077</v>
      </c>
      <c r="C366">
        <v>80</v>
      </c>
      <c r="D366">
        <v>79.949836731000005</v>
      </c>
      <c r="E366">
        <v>50</v>
      </c>
      <c r="F366">
        <v>14.999689102</v>
      </c>
      <c r="G366">
        <v>1341.6191406</v>
      </c>
      <c r="H366">
        <v>1338.9296875</v>
      </c>
      <c r="I366">
        <v>1320.2137451000001</v>
      </c>
      <c r="J366">
        <v>1315.6728516000001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33.350847999999999</v>
      </c>
      <c r="B367" s="1">
        <f>DATE(2010,6,3) + TIME(8,25,13)</f>
        <v>40332.350844907407</v>
      </c>
      <c r="C367">
        <v>80</v>
      </c>
      <c r="D367">
        <v>79.949829101999995</v>
      </c>
      <c r="E367">
        <v>50</v>
      </c>
      <c r="F367">
        <v>14.999689102</v>
      </c>
      <c r="G367">
        <v>1341.6148682</v>
      </c>
      <c r="H367">
        <v>1338.9266356999999</v>
      </c>
      <c r="I367">
        <v>1320.2141113</v>
      </c>
      <c r="J367">
        <v>1315.6732178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33.498553000000001</v>
      </c>
      <c r="B368" s="1">
        <f>DATE(2010,6,3) + TIME(11,57,55)</f>
        <v>40332.498553240737</v>
      </c>
      <c r="C368">
        <v>80</v>
      </c>
      <c r="D368">
        <v>79.949821471999996</v>
      </c>
      <c r="E368">
        <v>50</v>
      </c>
      <c r="F368">
        <v>14.999690056</v>
      </c>
      <c r="G368">
        <v>1341.6107178</v>
      </c>
      <c r="H368">
        <v>1338.9237060999999</v>
      </c>
      <c r="I368">
        <v>1320.2145995999999</v>
      </c>
      <c r="J368">
        <v>1315.6735839999999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33.646258000000003</v>
      </c>
      <c r="B369" s="1">
        <f>DATE(2010,6,3) + TIME(15,30,36)</f>
        <v>40332.646249999998</v>
      </c>
      <c r="C369">
        <v>80</v>
      </c>
      <c r="D369">
        <v>79.949813843000001</v>
      </c>
      <c r="E369">
        <v>50</v>
      </c>
      <c r="F369">
        <v>14.999691009999999</v>
      </c>
      <c r="G369">
        <v>1341.6066894999999</v>
      </c>
      <c r="H369">
        <v>1338.9206543</v>
      </c>
      <c r="I369">
        <v>1320.2149658000001</v>
      </c>
      <c r="J369">
        <v>1315.6739502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33.793962999999998</v>
      </c>
      <c r="B370" s="1">
        <f>DATE(2010,6,3) + TIME(19,3,18)</f>
        <v>40332.793958333335</v>
      </c>
      <c r="C370">
        <v>80</v>
      </c>
      <c r="D370">
        <v>79.949806213000002</v>
      </c>
      <c r="E370">
        <v>50</v>
      </c>
      <c r="F370">
        <v>14.999691009999999</v>
      </c>
      <c r="G370">
        <v>1341.6025391000001</v>
      </c>
      <c r="H370">
        <v>1338.9177245999999</v>
      </c>
      <c r="I370">
        <v>1320.2154541</v>
      </c>
      <c r="J370">
        <v>1315.6741943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33.941668</v>
      </c>
      <c r="B371" s="1">
        <f>DATE(2010,6,3) + TIME(22,36,0)</f>
        <v>40332.941666666666</v>
      </c>
      <c r="C371">
        <v>80</v>
      </c>
      <c r="D371">
        <v>79.949798584000007</v>
      </c>
      <c r="E371">
        <v>50</v>
      </c>
      <c r="F371">
        <v>14.999691963</v>
      </c>
      <c r="G371">
        <v>1341.5983887</v>
      </c>
      <c r="H371">
        <v>1338.9146728999999</v>
      </c>
      <c r="I371">
        <v>1320.2158202999999</v>
      </c>
      <c r="J371">
        <v>1315.6745605000001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34.089373000000002</v>
      </c>
      <c r="B372" s="1">
        <f>DATE(2010,6,4) + TIME(2,8,41)</f>
        <v>40333.089363425926</v>
      </c>
      <c r="C372">
        <v>80</v>
      </c>
      <c r="D372">
        <v>79.949790954999997</v>
      </c>
      <c r="E372">
        <v>50</v>
      </c>
      <c r="F372">
        <v>14.999692917000001</v>
      </c>
      <c r="G372">
        <v>1341.5943603999999</v>
      </c>
      <c r="H372">
        <v>1338.9117432</v>
      </c>
      <c r="I372">
        <v>1320.2163086</v>
      </c>
      <c r="J372">
        <v>1315.6749268000001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34.384782999999999</v>
      </c>
      <c r="B373" s="1">
        <f>DATE(2010,6,4) + TIME(9,14,5)</f>
        <v>40333.384780092594</v>
      </c>
      <c r="C373">
        <v>80</v>
      </c>
      <c r="D373">
        <v>79.949783324999999</v>
      </c>
      <c r="E373">
        <v>50</v>
      </c>
      <c r="F373">
        <v>14.999693871</v>
      </c>
      <c r="G373">
        <v>1341.590332</v>
      </c>
      <c r="H373">
        <v>1338.9089355000001</v>
      </c>
      <c r="I373">
        <v>1320.2166748</v>
      </c>
      <c r="J373">
        <v>1315.675293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34.681015000000002</v>
      </c>
      <c r="B374" s="1">
        <f>DATE(2010,6,4) + TIME(16,20,39)</f>
        <v>40333.681006944447</v>
      </c>
      <c r="C374">
        <v>80</v>
      </c>
      <c r="D374">
        <v>79.949768066000004</v>
      </c>
      <c r="E374">
        <v>50</v>
      </c>
      <c r="F374">
        <v>14.999694824000001</v>
      </c>
      <c r="G374">
        <v>1341.5822754000001</v>
      </c>
      <c r="H374">
        <v>1338.9030762</v>
      </c>
      <c r="I374">
        <v>1320.2175293</v>
      </c>
      <c r="J374">
        <v>1315.6759033000001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34.981028999999999</v>
      </c>
      <c r="B375" s="1">
        <f>DATE(2010,6,4) + TIME(23,32,40)</f>
        <v>40333.98101851852</v>
      </c>
      <c r="C375">
        <v>80</v>
      </c>
      <c r="D375">
        <v>79.949760436999995</v>
      </c>
      <c r="E375">
        <v>50</v>
      </c>
      <c r="F375">
        <v>14.999695778</v>
      </c>
      <c r="G375">
        <v>1341.5742187999999</v>
      </c>
      <c r="H375">
        <v>1338.8972168</v>
      </c>
      <c r="I375">
        <v>1320.2185059000001</v>
      </c>
      <c r="J375">
        <v>1315.6766356999999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35.285474999999998</v>
      </c>
      <c r="B376" s="1">
        <f>DATE(2010,6,5) + TIME(6,51,5)</f>
        <v>40334.285474537035</v>
      </c>
      <c r="C376">
        <v>80</v>
      </c>
      <c r="D376">
        <v>79.949745178000001</v>
      </c>
      <c r="E376">
        <v>50</v>
      </c>
      <c r="F376">
        <v>14.999697684999999</v>
      </c>
      <c r="G376">
        <v>1341.5661620999999</v>
      </c>
      <c r="H376">
        <v>1338.8913574000001</v>
      </c>
      <c r="I376">
        <v>1320.2193603999999</v>
      </c>
      <c r="J376">
        <v>1315.6772461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35.595073999999997</v>
      </c>
      <c r="B377" s="1">
        <f>DATE(2010,6,5) + TIME(14,16,54)</f>
        <v>40334.595069444447</v>
      </c>
      <c r="C377">
        <v>80</v>
      </c>
      <c r="D377">
        <v>79.949729919000006</v>
      </c>
      <c r="E377">
        <v>50</v>
      </c>
      <c r="F377">
        <v>14.999698639</v>
      </c>
      <c r="G377">
        <v>1341.5579834</v>
      </c>
      <c r="H377">
        <v>1338.8854980000001</v>
      </c>
      <c r="I377">
        <v>1320.2202147999999</v>
      </c>
      <c r="J377">
        <v>1315.6779785000001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35.910654000000001</v>
      </c>
      <c r="B378" s="1">
        <f>DATE(2010,6,5) + TIME(21,51,20)</f>
        <v>40334.91064814815</v>
      </c>
      <c r="C378">
        <v>80</v>
      </c>
      <c r="D378">
        <v>79.949714661000002</v>
      </c>
      <c r="E378">
        <v>50</v>
      </c>
      <c r="F378">
        <v>14.999699593000001</v>
      </c>
      <c r="G378">
        <v>1341.5498047000001</v>
      </c>
      <c r="H378">
        <v>1338.8795166</v>
      </c>
      <c r="I378">
        <v>1320.2211914</v>
      </c>
      <c r="J378">
        <v>1315.6787108999999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36.070765999999999</v>
      </c>
      <c r="B379" s="1">
        <f>DATE(2010,6,6) + TIME(1,41,54)</f>
        <v>40335.070763888885</v>
      </c>
      <c r="C379">
        <v>80</v>
      </c>
      <c r="D379">
        <v>79.949699401999993</v>
      </c>
      <c r="E379">
        <v>50</v>
      </c>
      <c r="F379">
        <v>14.999700546</v>
      </c>
      <c r="G379">
        <v>1341.5413818</v>
      </c>
      <c r="H379">
        <v>1338.8734131000001</v>
      </c>
      <c r="I379">
        <v>1320.2220459</v>
      </c>
      <c r="J379">
        <v>1315.6794434000001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36.230352000000003</v>
      </c>
      <c r="B380" s="1">
        <f>DATE(2010,6,6) + TIME(5,31,42)</f>
        <v>40335.230347222219</v>
      </c>
      <c r="C380">
        <v>80</v>
      </c>
      <c r="D380">
        <v>79.949691771999994</v>
      </c>
      <c r="E380">
        <v>50</v>
      </c>
      <c r="F380">
        <v>14.9997015</v>
      </c>
      <c r="G380">
        <v>1341.5372314000001</v>
      </c>
      <c r="H380">
        <v>1338.8702393000001</v>
      </c>
      <c r="I380">
        <v>1320.2225341999999</v>
      </c>
      <c r="J380">
        <v>1315.6798096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36.389384</v>
      </c>
      <c r="B381" s="1">
        <f>DATE(2010,6,6) + TIME(9,20,42)</f>
        <v>40335.389374999999</v>
      </c>
      <c r="C381">
        <v>80</v>
      </c>
      <c r="D381">
        <v>79.949676514000004</v>
      </c>
      <c r="E381">
        <v>50</v>
      </c>
      <c r="F381">
        <v>14.999702453999999</v>
      </c>
      <c r="G381">
        <v>1341.5330810999999</v>
      </c>
      <c r="H381">
        <v>1338.8673096</v>
      </c>
      <c r="I381">
        <v>1320.2230225000001</v>
      </c>
      <c r="J381">
        <v>1315.6801757999999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36.547963000000003</v>
      </c>
      <c r="B382" s="1">
        <f>DATE(2010,6,6) + TIME(13,9,3)</f>
        <v>40335.547951388886</v>
      </c>
      <c r="C382">
        <v>80</v>
      </c>
      <c r="D382">
        <v>79.949668884000005</v>
      </c>
      <c r="E382">
        <v>50</v>
      </c>
      <c r="F382">
        <v>14.999703407</v>
      </c>
      <c r="G382">
        <v>1341.5289307</v>
      </c>
      <c r="H382">
        <v>1338.8642577999999</v>
      </c>
      <c r="I382">
        <v>1320.2235106999999</v>
      </c>
      <c r="J382">
        <v>1315.6805420000001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36.706189999999999</v>
      </c>
      <c r="B383" s="1">
        <f>DATE(2010,6,6) + TIME(16,56,54)</f>
        <v>40335.706180555557</v>
      </c>
      <c r="C383">
        <v>80</v>
      </c>
      <c r="D383">
        <v>79.949661254999995</v>
      </c>
      <c r="E383">
        <v>50</v>
      </c>
      <c r="F383">
        <v>14.999703407</v>
      </c>
      <c r="G383">
        <v>1341.5247803</v>
      </c>
      <c r="H383">
        <v>1338.8612060999999</v>
      </c>
      <c r="I383">
        <v>1320.223999</v>
      </c>
      <c r="J383">
        <v>1315.6809082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36.864164000000002</v>
      </c>
      <c r="B384" s="1">
        <f>DATE(2010,6,6) + TIME(20,44,23)</f>
        <v>40335.864155092589</v>
      </c>
      <c r="C384">
        <v>80</v>
      </c>
      <c r="D384">
        <v>79.949653624999996</v>
      </c>
      <c r="E384">
        <v>50</v>
      </c>
      <c r="F384">
        <v>14.999704360999999</v>
      </c>
      <c r="G384">
        <v>1341.5207519999999</v>
      </c>
      <c r="H384">
        <v>1338.8582764</v>
      </c>
      <c r="I384">
        <v>1320.2244873</v>
      </c>
      <c r="J384">
        <v>1315.6812743999999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37.021963</v>
      </c>
      <c r="B385" s="1">
        <f>DATE(2010,6,7) + TIME(0,31,37)</f>
        <v>40336.021956018521</v>
      </c>
      <c r="C385">
        <v>80</v>
      </c>
      <c r="D385">
        <v>79.949645996000001</v>
      </c>
      <c r="E385">
        <v>50</v>
      </c>
      <c r="F385">
        <v>14.999705315</v>
      </c>
      <c r="G385">
        <v>1341.5167236</v>
      </c>
      <c r="H385">
        <v>1338.8553466999999</v>
      </c>
      <c r="I385">
        <v>1320.2248535000001</v>
      </c>
      <c r="J385">
        <v>1315.6816406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37.179678000000003</v>
      </c>
      <c r="B386" s="1">
        <f>DATE(2010,6,7) + TIME(4,18,44)</f>
        <v>40336.179675925923</v>
      </c>
      <c r="C386">
        <v>80</v>
      </c>
      <c r="D386">
        <v>79.949638367000006</v>
      </c>
      <c r="E386">
        <v>50</v>
      </c>
      <c r="F386">
        <v>14.999705315</v>
      </c>
      <c r="G386">
        <v>1341.5126952999999</v>
      </c>
      <c r="H386">
        <v>1338.8524170000001</v>
      </c>
      <c r="I386">
        <v>1320.2253418</v>
      </c>
      <c r="J386">
        <v>1315.6820068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37.337392999999999</v>
      </c>
      <c r="B387" s="1">
        <f>DATE(2010,6,7) + TIME(8,5,50)</f>
        <v>40336.337384259263</v>
      </c>
      <c r="C387">
        <v>80</v>
      </c>
      <c r="D387">
        <v>79.949630737000007</v>
      </c>
      <c r="E387">
        <v>50</v>
      </c>
      <c r="F387">
        <v>14.999706268000001</v>
      </c>
      <c r="G387">
        <v>1341.5086670000001</v>
      </c>
      <c r="H387">
        <v>1338.8494873</v>
      </c>
      <c r="I387">
        <v>1320.2258300999999</v>
      </c>
      <c r="J387">
        <v>1315.6823730000001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37.495108999999999</v>
      </c>
      <c r="B388" s="1">
        <f>DATE(2010,6,7) + TIME(11,52,57)</f>
        <v>40336.495104166665</v>
      </c>
      <c r="C388">
        <v>80</v>
      </c>
      <c r="D388">
        <v>79.949623107999997</v>
      </c>
      <c r="E388">
        <v>50</v>
      </c>
      <c r="F388">
        <v>14.999707222</v>
      </c>
      <c r="G388">
        <v>1341.5046387</v>
      </c>
      <c r="H388">
        <v>1338.8465576000001</v>
      </c>
      <c r="I388">
        <v>1320.2263184000001</v>
      </c>
      <c r="J388">
        <v>1315.6827393000001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37.652824000000003</v>
      </c>
      <c r="B389" s="1">
        <f>DATE(2010,6,7) + TIME(15,40,4)</f>
        <v>40336.652824074074</v>
      </c>
      <c r="C389">
        <v>80</v>
      </c>
      <c r="D389">
        <v>79.949615479000002</v>
      </c>
      <c r="E389">
        <v>50</v>
      </c>
      <c r="F389">
        <v>14.999708176</v>
      </c>
      <c r="G389">
        <v>1341.5007324000001</v>
      </c>
      <c r="H389">
        <v>1338.8436279</v>
      </c>
      <c r="I389">
        <v>1320.2268065999999</v>
      </c>
      <c r="J389">
        <v>1315.6831055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37.810540000000003</v>
      </c>
      <c r="B390" s="1">
        <f>DATE(2010,6,7) + TIME(19,27,10)</f>
        <v>40336.810532407406</v>
      </c>
      <c r="C390">
        <v>80</v>
      </c>
      <c r="D390">
        <v>79.949615479000002</v>
      </c>
      <c r="E390">
        <v>50</v>
      </c>
      <c r="F390">
        <v>14.999708176</v>
      </c>
      <c r="G390">
        <v>1341.4967041</v>
      </c>
      <c r="H390">
        <v>1338.8406981999999</v>
      </c>
      <c r="I390">
        <v>1320.2272949000001</v>
      </c>
      <c r="J390">
        <v>1315.6834716999999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37.968254999999999</v>
      </c>
      <c r="B391" s="1">
        <f>DATE(2010,6,7) + TIME(23,14,17)</f>
        <v>40336.968252314815</v>
      </c>
      <c r="C391">
        <v>80</v>
      </c>
      <c r="D391">
        <v>79.949607849000003</v>
      </c>
      <c r="E391">
        <v>50</v>
      </c>
      <c r="F391">
        <v>14.999709128999999</v>
      </c>
      <c r="G391">
        <v>1341.4927978999999</v>
      </c>
      <c r="H391">
        <v>1338.8377685999999</v>
      </c>
      <c r="I391">
        <v>1320.2277832</v>
      </c>
      <c r="J391">
        <v>1315.6838379000001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38.125970000000002</v>
      </c>
      <c r="B392" s="1">
        <f>DATE(2010,6,8) + TIME(3,1,23)</f>
        <v>40337.125960648147</v>
      </c>
      <c r="C392">
        <v>80</v>
      </c>
      <c r="D392">
        <v>79.949600219999994</v>
      </c>
      <c r="E392">
        <v>50</v>
      </c>
      <c r="F392">
        <v>14.999710083</v>
      </c>
      <c r="G392">
        <v>1341.4888916</v>
      </c>
      <c r="H392">
        <v>1338.8349608999999</v>
      </c>
      <c r="I392">
        <v>1320.2282714999999</v>
      </c>
      <c r="J392">
        <v>1315.6842041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38.441400999999999</v>
      </c>
      <c r="B393" s="1">
        <f>DATE(2010,6,8) + TIME(10,35,37)</f>
        <v>40337.441400462965</v>
      </c>
      <c r="C393">
        <v>80</v>
      </c>
      <c r="D393">
        <v>79.949600219999994</v>
      </c>
      <c r="E393">
        <v>50</v>
      </c>
      <c r="F393">
        <v>14.999711037000001</v>
      </c>
      <c r="G393">
        <v>1341.4849853999999</v>
      </c>
      <c r="H393">
        <v>1338.8321533000001</v>
      </c>
      <c r="I393">
        <v>1320.2287598</v>
      </c>
      <c r="J393">
        <v>1315.6845702999999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38.756939000000003</v>
      </c>
      <c r="B394" s="1">
        <f>DATE(2010,6,8) + TIME(18,9,59)</f>
        <v>40337.756932870368</v>
      </c>
      <c r="C394">
        <v>80</v>
      </c>
      <c r="D394">
        <v>79.949592589999995</v>
      </c>
      <c r="E394">
        <v>50</v>
      </c>
      <c r="F394">
        <v>14.99971199</v>
      </c>
      <c r="G394">
        <v>1341.4772949000001</v>
      </c>
      <c r="H394">
        <v>1338.8265381000001</v>
      </c>
      <c r="I394">
        <v>1320.2297363</v>
      </c>
      <c r="J394">
        <v>1315.6854248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39.075806999999998</v>
      </c>
      <c r="B395" s="1">
        <f>DATE(2010,6,9) + TIME(1,49,9)</f>
        <v>40338.075798611113</v>
      </c>
      <c r="C395">
        <v>80</v>
      </c>
      <c r="D395">
        <v>79.949577332000004</v>
      </c>
      <c r="E395">
        <v>50</v>
      </c>
      <c r="F395">
        <v>14.999712944000001</v>
      </c>
      <c r="G395">
        <v>1341.4694824000001</v>
      </c>
      <c r="H395">
        <v>1338.8208007999999</v>
      </c>
      <c r="I395">
        <v>1320.2307129000001</v>
      </c>
      <c r="J395">
        <v>1315.6861572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39.398688</v>
      </c>
      <c r="B396" s="1">
        <f>DATE(2010,6,9) + TIME(9,34,6)</f>
        <v>40338.398680555554</v>
      </c>
      <c r="C396">
        <v>80</v>
      </c>
      <c r="D396">
        <v>79.949569702000005</v>
      </c>
      <c r="E396">
        <v>50</v>
      </c>
      <c r="F396">
        <v>14.999713898</v>
      </c>
      <c r="G396">
        <v>1341.4616699000001</v>
      </c>
      <c r="H396">
        <v>1338.8151855000001</v>
      </c>
      <c r="I396">
        <v>1320.2316894999999</v>
      </c>
      <c r="J396">
        <v>1315.6868896000001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39.726345000000002</v>
      </c>
      <c r="B397" s="1">
        <f>DATE(2010,6,9) + TIME(17,25,56)</f>
        <v>40338.726342592592</v>
      </c>
      <c r="C397">
        <v>80</v>
      </c>
      <c r="D397">
        <v>79.949562072999996</v>
      </c>
      <c r="E397">
        <v>50</v>
      </c>
      <c r="F397">
        <v>14.999715804999999</v>
      </c>
      <c r="G397">
        <v>1341.4539795000001</v>
      </c>
      <c r="H397">
        <v>1338.8094481999999</v>
      </c>
      <c r="I397">
        <v>1320.2327881000001</v>
      </c>
      <c r="J397">
        <v>1315.6876221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40.059553999999999</v>
      </c>
      <c r="B398" s="1">
        <f>DATE(2010,6,10) + TIME(1,25,45)</f>
        <v>40339.059548611112</v>
      </c>
      <c r="C398">
        <v>80</v>
      </c>
      <c r="D398">
        <v>79.949546814000001</v>
      </c>
      <c r="E398">
        <v>50</v>
      </c>
      <c r="F398">
        <v>14.999716759</v>
      </c>
      <c r="G398">
        <v>1341.4460449000001</v>
      </c>
      <c r="H398">
        <v>1338.8037108999999</v>
      </c>
      <c r="I398">
        <v>1320.2337646000001</v>
      </c>
      <c r="J398">
        <v>1315.6884766000001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40.399067000000002</v>
      </c>
      <c r="B399" s="1">
        <f>DATE(2010,6,10) + TIME(9,34,39)</f>
        <v>40339.399062500001</v>
      </c>
      <c r="C399">
        <v>80</v>
      </c>
      <c r="D399">
        <v>79.949539185000006</v>
      </c>
      <c r="E399">
        <v>50</v>
      </c>
      <c r="F399">
        <v>14.999717712000001</v>
      </c>
      <c r="G399">
        <v>1341.4381103999999</v>
      </c>
      <c r="H399">
        <v>1338.7979736</v>
      </c>
      <c r="I399">
        <v>1320.2348632999999</v>
      </c>
      <c r="J399">
        <v>1315.6892089999999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40.569043999999998</v>
      </c>
      <c r="B400" s="1">
        <f>DATE(2010,6,10) + TIME(13,39,25)</f>
        <v>40339.569039351853</v>
      </c>
      <c r="C400">
        <v>80</v>
      </c>
      <c r="D400">
        <v>79.949523925999998</v>
      </c>
      <c r="E400">
        <v>50</v>
      </c>
      <c r="F400">
        <v>14.999718666</v>
      </c>
      <c r="G400">
        <v>1341.4300536999999</v>
      </c>
      <c r="H400">
        <v>1338.7919922000001</v>
      </c>
      <c r="I400">
        <v>1320.2358397999999</v>
      </c>
      <c r="J400">
        <v>1315.6900635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40.739021999999999</v>
      </c>
      <c r="B401" s="1">
        <f>DATE(2010,6,10) + TIME(17,44,11)</f>
        <v>40339.739016203705</v>
      </c>
      <c r="C401">
        <v>80</v>
      </c>
      <c r="D401">
        <v>79.949516295999999</v>
      </c>
      <c r="E401">
        <v>50</v>
      </c>
      <c r="F401">
        <v>14.99971962</v>
      </c>
      <c r="G401">
        <v>1341.4260254000001</v>
      </c>
      <c r="H401">
        <v>1338.7890625</v>
      </c>
      <c r="I401">
        <v>1320.2364502</v>
      </c>
      <c r="J401">
        <v>1315.6904297000001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40.908543999999999</v>
      </c>
      <c r="B402" s="1">
        <f>DATE(2010,6,10) + TIME(21,48,18)</f>
        <v>40339.908541666664</v>
      </c>
      <c r="C402">
        <v>80</v>
      </c>
      <c r="D402">
        <v>79.949508667000003</v>
      </c>
      <c r="E402">
        <v>50</v>
      </c>
      <c r="F402">
        <v>14.999720572999999</v>
      </c>
      <c r="G402">
        <v>1341.4219971</v>
      </c>
      <c r="H402">
        <v>1338.7861327999999</v>
      </c>
      <c r="I402">
        <v>1320.2369385</v>
      </c>
      <c r="J402">
        <v>1315.690918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41.077652999999998</v>
      </c>
      <c r="B403" s="1">
        <f>DATE(2010,6,11) + TIME(1,51,49)</f>
        <v>40340.077650462961</v>
      </c>
      <c r="C403">
        <v>80</v>
      </c>
      <c r="D403">
        <v>79.949501037999994</v>
      </c>
      <c r="E403">
        <v>50</v>
      </c>
      <c r="F403">
        <v>14.999721527</v>
      </c>
      <c r="G403">
        <v>1341.4180908000001</v>
      </c>
      <c r="H403">
        <v>1338.7832031</v>
      </c>
      <c r="I403">
        <v>1320.2375488</v>
      </c>
      <c r="J403">
        <v>1315.6912841999999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41.246450000000003</v>
      </c>
      <c r="B404" s="1">
        <f>DATE(2010,6,11) + TIME(5,54,53)</f>
        <v>40340.246446759258</v>
      </c>
      <c r="C404">
        <v>80</v>
      </c>
      <c r="D404">
        <v>79.949493407999995</v>
      </c>
      <c r="E404">
        <v>50</v>
      </c>
      <c r="F404">
        <v>14.999721527</v>
      </c>
      <c r="G404">
        <v>1341.4141846</v>
      </c>
      <c r="H404">
        <v>1338.7803954999999</v>
      </c>
      <c r="I404">
        <v>1320.2380370999999</v>
      </c>
      <c r="J404">
        <v>1315.6917725000001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41.415033999999999</v>
      </c>
      <c r="B405" s="1">
        <f>DATE(2010,6,11) + TIME(9,57,38)</f>
        <v>40340.415023148147</v>
      </c>
      <c r="C405">
        <v>80</v>
      </c>
      <c r="D405">
        <v>79.949485779</v>
      </c>
      <c r="E405">
        <v>50</v>
      </c>
      <c r="F405">
        <v>14.999722480999999</v>
      </c>
      <c r="G405">
        <v>1341.4102783000001</v>
      </c>
      <c r="H405">
        <v>1338.7774658000001</v>
      </c>
      <c r="I405">
        <v>1320.2385254000001</v>
      </c>
      <c r="J405">
        <v>1315.6921387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41.583505000000002</v>
      </c>
      <c r="B406" s="1">
        <f>DATE(2010,6,11) + TIME(14,0,14)</f>
        <v>40340.583495370367</v>
      </c>
      <c r="C406">
        <v>80</v>
      </c>
      <c r="D406">
        <v>79.949485779</v>
      </c>
      <c r="E406">
        <v>50</v>
      </c>
      <c r="F406">
        <v>14.999723434</v>
      </c>
      <c r="G406">
        <v>1341.4063721</v>
      </c>
      <c r="H406">
        <v>1338.7746582</v>
      </c>
      <c r="I406">
        <v>1320.2391356999999</v>
      </c>
      <c r="J406">
        <v>1315.6925048999999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41.751927000000002</v>
      </c>
      <c r="B407" s="1">
        <f>DATE(2010,6,11) + TIME(18,2,46)</f>
        <v>40340.751921296294</v>
      </c>
      <c r="C407">
        <v>80</v>
      </c>
      <c r="D407">
        <v>79.949478149000001</v>
      </c>
      <c r="E407">
        <v>50</v>
      </c>
      <c r="F407">
        <v>14.999723434</v>
      </c>
      <c r="G407">
        <v>1341.4024658000001</v>
      </c>
      <c r="H407">
        <v>1338.7717285000001</v>
      </c>
      <c r="I407">
        <v>1320.239624</v>
      </c>
      <c r="J407">
        <v>1315.6929932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41.920349000000002</v>
      </c>
      <c r="B408" s="1">
        <f>DATE(2010,6,11) + TIME(22,5,18)</f>
        <v>40340.920347222222</v>
      </c>
      <c r="C408">
        <v>80</v>
      </c>
      <c r="D408">
        <v>79.949470520000006</v>
      </c>
      <c r="E408">
        <v>50</v>
      </c>
      <c r="F408">
        <v>14.999724388000001</v>
      </c>
      <c r="G408">
        <v>1341.3986815999999</v>
      </c>
      <c r="H408">
        <v>1338.7689209</v>
      </c>
      <c r="I408">
        <v>1320.2402344</v>
      </c>
      <c r="J408">
        <v>1315.6933594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42.088771999999999</v>
      </c>
      <c r="B409" s="1">
        <f>DATE(2010,6,12) + TIME(2,7,49)</f>
        <v>40341.088761574072</v>
      </c>
      <c r="C409">
        <v>80</v>
      </c>
      <c r="D409">
        <v>79.949462890999996</v>
      </c>
      <c r="E409">
        <v>50</v>
      </c>
      <c r="F409">
        <v>14.999725342</v>
      </c>
      <c r="G409">
        <v>1341.3947754000001</v>
      </c>
      <c r="H409">
        <v>1338.7661132999999</v>
      </c>
      <c r="I409">
        <v>1320.2407227000001</v>
      </c>
      <c r="J409">
        <v>1315.6938477000001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42.257193999999998</v>
      </c>
      <c r="B410" s="1">
        <f>DATE(2010,6,12) + TIME(6,10,21)</f>
        <v>40341.257187499999</v>
      </c>
      <c r="C410">
        <v>80</v>
      </c>
      <c r="D410">
        <v>79.949462890999996</v>
      </c>
      <c r="E410">
        <v>50</v>
      </c>
      <c r="F410">
        <v>14.999725342</v>
      </c>
      <c r="G410">
        <v>1341.3909911999999</v>
      </c>
      <c r="H410">
        <v>1338.7633057</v>
      </c>
      <c r="I410">
        <v>1320.2413329999999</v>
      </c>
      <c r="J410">
        <v>1315.6942139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42.425615999999998</v>
      </c>
      <c r="B411" s="1">
        <f>DATE(2010,6,12) + TIME(10,12,53)</f>
        <v>40341.425613425927</v>
      </c>
      <c r="C411">
        <v>80</v>
      </c>
      <c r="D411">
        <v>79.949455260999997</v>
      </c>
      <c r="E411">
        <v>50</v>
      </c>
      <c r="F411">
        <v>14.999726295</v>
      </c>
      <c r="G411">
        <v>1341.387207</v>
      </c>
      <c r="H411">
        <v>1338.7604980000001</v>
      </c>
      <c r="I411">
        <v>1320.2418213000001</v>
      </c>
      <c r="J411">
        <v>1315.6947021000001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42.594037999999998</v>
      </c>
      <c r="B412" s="1">
        <f>DATE(2010,6,12) + TIME(14,15,24)</f>
        <v>40341.594027777777</v>
      </c>
      <c r="C412">
        <v>80</v>
      </c>
      <c r="D412">
        <v>79.949455260999997</v>
      </c>
      <c r="E412">
        <v>50</v>
      </c>
      <c r="F412">
        <v>14.999727248999999</v>
      </c>
      <c r="G412">
        <v>1341.3834228999999</v>
      </c>
      <c r="H412">
        <v>1338.7576904</v>
      </c>
      <c r="I412">
        <v>1320.2424315999999</v>
      </c>
      <c r="J412">
        <v>1315.6950684000001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42.762461000000002</v>
      </c>
      <c r="B413" s="1">
        <f>DATE(2010,6,12) + TIME(18,17,56)</f>
        <v>40341.762453703705</v>
      </c>
      <c r="C413">
        <v>80</v>
      </c>
      <c r="D413">
        <v>79.949447632000002</v>
      </c>
      <c r="E413">
        <v>50</v>
      </c>
      <c r="F413">
        <v>14.999728203</v>
      </c>
      <c r="G413">
        <v>1341.3796387</v>
      </c>
      <c r="H413">
        <v>1338.7550048999999</v>
      </c>
      <c r="I413">
        <v>1320.2429199000001</v>
      </c>
      <c r="J413">
        <v>1315.6954346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43.099305000000001</v>
      </c>
      <c r="B414" s="1">
        <f>DATE(2010,6,13) + TIME(2,22,59)</f>
        <v>40342.099293981482</v>
      </c>
      <c r="C414">
        <v>80</v>
      </c>
      <c r="D414">
        <v>79.949447632000002</v>
      </c>
      <c r="E414">
        <v>50</v>
      </c>
      <c r="F414">
        <v>14.999729156000001</v>
      </c>
      <c r="G414">
        <v>1341.3759766000001</v>
      </c>
      <c r="H414">
        <v>1338.7523193</v>
      </c>
      <c r="I414">
        <v>1320.2435303</v>
      </c>
      <c r="J414">
        <v>1315.6959228999999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43.437063000000002</v>
      </c>
      <c r="B415" s="1">
        <f>DATE(2010,6,13) + TIME(10,29,22)</f>
        <v>40342.437060185184</v>
      </c>
      <c r="C415">
        <v>80</v>
      </c>
      <c r="D415">
        <v>79.949447632000002</v>
      </c>
      <c r="E415">
        <v>50</v>
      </c>
      <c r="F415">
        <v>14.99973011</v>
      </c>
      <c r="G415">
        <v>1341.3684082</v>
      </c>
      <c r="H415">
        <v>1338.7468262</v>
      </c>
      <c r="I415">
        <v>1320.2446289</v>
      </c>
      <c r="J415">
        <v>1315.6967772999999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43.778879000000003</v>
      </c>
      <c r="B416" s="1">
        <f>DATE(2010,6,13) + TIME(18,41,35)</f>
        <v>40342.778877314813</v>
      </c>
      <c r="C416">
        <v>80</v>
      </c>
      <c r="D416">
        <v>79.949440002000003</v>
      </c>
      <c r="E416">
        <v>50</v>
      </c>
      <c r="F416">
        <v>14.999731064000001</v>
      </c>
      <c r="G416">
        <v>1341.3609618999999</v>
      </c>
      <c r="H416">
        <v>1338.7413329999999</v>
      </c>
      <c r="I416">
        <v>1320.2458495999999</v>
      </c>
      <c r="J416">
        <v>1315.6976318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44.125517000000002</v>
      </c>
      <c r="B417" s="1">
        <f>DATE(2010,6,14) + TIME(3,0,44)</f>
        <v>40343.125509259262</v>
      </c>
      <c r="C417">
        <v>80</v>
      </c>
      <c r="D417">
        <v>79.949432372999993</v>
      </c>
      <c r="E417">
        <v>50</v>
      </c>
      <c r="F417">
        <v>14.999732018</v>
      </c>
      <c r="G417">
        <v>1341.3535156</v>
      </c>
      <c r="H417">
        <v>1338.7357178</v>
      </c>
      <c r="I417">
        <v>1320.2469481999999</v>
      </c>
      <c r="J417">
        <v>1315.6984863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44.477806000000001</v>
      </c>
      <c r="B418" s="1">
        <f>DATE(2010,6,14) + TIME(11,28,2)</f>
        <v>40343.477800925924</v>
      </c>
      <c r="C418">
        <v>80</v>
      </c>
      <c r="D418">
        <v>79.949424743999998</v>
      </c>
      <c r="E418">
        <v>50</v>
      </c>
      <c r="F418">
        <v>14.999733924999999</v>
      </c>
      <c r="G418">
        <v>1341.3459473</v>
      </c>
      <c r="H418">
        <v>1338.7301024999999</v>
      </c>
      <c r="I418">
        <v>1320.2480469</v>
      </c>
      <c r="J418">
        <v>1315.6993408000001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44.836492</v>
      </c>
      <c r="B419" s="1">
        <f>DATE(2010,6,14) + TIME(20,4,32)</f>
        <v>40343.836481481485</v>
      </c>
      <c r="C419">
        <v>80</v>
      </c>
      <c r="D419">
        <v>79.949424743999998</v>
      </c>
      <c r="E419">
        <v>50</v>
      </c>
      <c r="F419">
        <v>14.999734879</v>
      </c>
      <c r="G419">
        <v>1341.3383789</v>
      </c>
      <c r="H419">
        <v>1338.7244873</v>
      </c>
      <c r="I419">
        <v>1320.2492675999999</v>
      </c>
      <c r="J419">
        <v>1315.7003173999999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45.018113</v>
      </c>
      <c r="B420" s="1">
        <f>DATE(2010,6,15) + TIME(0,26,4)</f>
        <v>40344.018101851849</v>
      </c>
      <c r="C420">
        <v>80</v>
      </c>
      <c r="D420">
        <v>79.949409485000004</v>
      </c>
      <c r="E420">
        <v>50</v>
      </c>
      <c r="F420">
        <v>14.999735832000001</v>
      </c>
      <c r="G420">
        <v>1341.3305664</v>
      </c>
      <c r="H420">
        <v>1338.71875</v>
      </c>
      <c r="I420">
        <v>1320.2504882999999</v>
      </c>
      <c r="J420">
        <v>1315.7011719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45.199672999999997</v>
      </c>
      <c r="B421" s="1">
        <f>DATE(2010,6,15) + TIME(4,47,31)</f>
        <v>40344.199664351851</v>
      </c>
      <c r="C421">
        <v>80</v>
      </c>
      <c r="D421">
        <v>79.949401855000005</v>
      </c>
      <c r="E421">
        <v>50</v>
      </c>
      <c r="F421">
        <v>14.999736786</v>
      </c>
      <c r="G421">
        <v>1341.3266602000001</v>
      </c>
      <c r="H421">
        <v>1338.7158202999999</v>
      </c>
      <c r="I421">
        <v>1320.2510986</v>
      </c>
      <c r="J421">
        <v>1315.7016602000001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45.380583000000001</v>
      </c>
      <c r="B422" s="1">
        <f>DATE(2010,6,15) + TIME(9,8,2)</f>
        <v>40344.380578703705</v>
      </c>
      <c r="C422">
        <v>80</v>
      </c>
      <c r="D422">
        <v>79.949401855000005</v>
      </c>
      <c r="E422">
        <v>50</v>
      </c>
      <c r="F422">
        <v>14.999736786</v>
      </c>
      <c r="G422">
        <v>1341.3227539</v>
      </c>
      <c r="H422">
        <v>1338.7130127</v>
      </c>
      <c r="I422">
        <v>1320.2517089999999</v>
      </c>
      <c r="J422">
        <v>1315.7021483999999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45.560955</v>
      </c>
      <c r="B423" s="1">
        <f>DATE(2010,6,15) + TIME(13,27,46)</f>
        <v>40344.560949074075</v>
      </c>
      <c r="C423">
        <v>80</v>
      </c>
      <c r="D423">
        <v>79.949394225999995</v>
      </c>
      <c r="E423">
        <v>50</v>
      </c>
      <c r="F423">
        <v>14.99973774</v>
      </c>
      <c r="G423">
        <v>1341.3189697</v>
      </c>
      <c r="H423">
        <v>1338.7100829999999</v>
      </c>
      <c r="I423">
        <v>1320.2523193</v>
      </c>
      <c r="J423">
        <v>1315.7026367000001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45.740907</v>
      </c>
      <c r="B424" s="1">
        <f>DATE(2010,6,15) + TIME(17,46,54)</f>
        <v>40344.740902777776</v>
      </c>
      <c r="C424">
        <v>80</v>
      </c>
      <c r="D424">
        <v>79.949386597</v>
      </c>
      <c r="E424">
        <v>50</v>
      </c>
      <c r="F424">
        <v>14.999738692999999</v>
      </c>
      <c r="G424">
        <v>1341.3151855000001</v>
      </c>
      <c r="H424">
        <v>1338.7072754000001</v>
      </c>
      <c r="I424">
        <v>1320.2529297000001</v>
      </c>
      <c r="J424">
        <v>1315.7030029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45.920552000000001</v>
      </c>
      <c r="B425" s="1">
        <f>DATE(2010,6,15) + TIME(22,5,35)</f>
        <v>40344.920543981483</v>
      </c>
      <c r="C425">
        <v>80</v>
      </c>
      <c r="D425">
        <v>79.949386597</v>
      </c>
      <c r="E425">
        <v>50</v>
      </c>
      <c r="F425">
        <v>14.999739647</v>
      </c>
      <c r="G425">
        <v>1341.3114014</v>
      </c>
      <c r="H425">
        <v>1338.7044678</v>
      </c>
      <c r="I425">
        <v>1320.2535399999999</v>
      </c>
      <c r="J425">
        <v>1315.7034911999999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46.099998999999997</v>
      </c>
      <c r="B426" s="1">
        <f>DATE(2010,6,16) + TIME(2,23,59)</f>
        <v>40345.099988425929</v>
      </c>
      <c r="C426">
        <v>80</v>
      </c>
      <c r="D426">
        <v>79.949378967000001</v>
      </c>
      <c r="E426">
        <v>50</v>
      </c>
      <c r="F426">
        <v>14.999739647</v>
      </c>
      <c r="G426">
        <v>1341.3076172000001</v>
      </c>
      <c r="H426">
        <v>1338.7016602000001</v>
      </c>
      <c r="I426">
        <v>1320.2541504000001</v>
      </c>
      <c r="J426">
        <v>1315.7039795000001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46.279339999999998</v>
      </c>
      <c r="B427" s="1">
        <f>DATE(2010,6,16) + TIME(6,42,14)</f>
        <v>40345.279328703706</v>
      </c>
      <c r="C427">
        <v>80</v>
      </c>
      <c r="D427">
        <v>79.949378967000001</v>
      </c>
      <c r="E427">
        <v>50</v>
      </c>
      <c r="F427">
        <v>14.999740600999999</v>
      </c>
      <c r="G427">
        <v>1341.3038329999999</v>
      </c>
      <c r="H427">
        <v>1338.6988524999999</v>
      </c>
      <c r="I427">
        <v>1320.2547606999999</v>
      </c>
      <c r="J427">
        <v>1315.7044678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46.458674999999999</v>
      </c>
      <c r="B428" s="1">
        <f>DATE(2010,6,16) + TIME(11,0,29)</f>
        <v>40345.458668981482</v>
      </c>
      <c r="C428">
        <v>80</v>
      </c>
      <c r="D428">
        <v>79.949378967000001</v>
      </c>
      <c r="E428">
        <v>50</v>
      </c>
      <c r="F428">
        <v>14.999741554</v>
      </c>
      <c r="G428">
        <v>1341.3001709</v>
      </c>
      <c r="H428">
        <v>1338.6960449000001</v>
      </c>
      <c r="I428">
        <v>1320.2553711</v>
      </c>
      <c r="J428">
        <v>1315.7049560999999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46.638010999999999</v>
      </c>
      <c r="B429" s="1">
        <f>DATE(2010,6,16) + TIME(15,18,44)</f>
        <v>40345.638009259259</v>
      </c>
      <c r="C429">
        <v>80</v>
      </c>
      <c r="D429">
        <v>79.949371338000006</v>
      </c>
      <c r="E429">
        <v>50</v>
      </c>
      <c r="F429">
        <v>14.999741554</v>
      </c>
      <c r="G429">
        <v>1341.2965088000001</v>
      </c>
      <c r="H429">
        <v>1338.6933594</v>
      </c>
      <c r="I429">
        <v>1320.2559814000001</v>
      </c>
      <c r="J429">
        <v>1315.7054443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46.817346000000001</v>
      </c>
      <c r="B430" s="1">
        <f>DATE(2010,6,16) + TIME(19,36,58)</f>
        <v>40345.817337962966</v>
      </c>
      <c r="C430">
        <v>80</v>
      </c>
      <c r="D430">
        <v>79.949371338000006</v>
      </c>
      <c r="E430">
        <v>50</v>
      </c>
      <c r="F430">
        <v>14.999742508000001</v>
      </c>
      <c r="G430">
        <v>1341.2927245999999</v>
      </c>
      <c r="H430">
        <v>1338.6905518000001</v>
      </c>
      <c r="I430">
        <v>1320.2567139</v>
      </c>
      <c r="J430">
        <v>1315.7059326000001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46.996682</v>
      </c>
      <c r="B431" s="1">
        <f>DATE(2010,6,16) + TIME(23,55,13)</f>
        <v>40345.996678240743</v>
      </c>
      <c r="C431">
        <v>80</v>
      </c>
      <c r="D431">
        <v>79.949371338000006</v>
      </c>
      <c r="E431">
        <v>50</v>
      </c>
      <c r="F431">
        <v>14.999743462</v>
      </c>
      <c r="G431">
        <v>1341.2890625</v>
      </c>
      <c r="H431">
        <v>1338.6877440999999</v>
      </c>
      <c r="I431">
        <v>1320.2573242000001</v>
      </c>
      <c r="J431">
        <v>1315.7062988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47.176017999999999</v>
      </c>
      <c r="B432" s="1">
        <f>DATE(2010,6,17) + TIME(4,13,27)</f>
        <v>40346.176006944443</v>
      </c>
      <c r="C432">
        <v>80</v>
      </c>
      <c r="D432">
        <v>79.949363708000007</v>
      </c>
      <c r="E432">
        <v>50</v>
      </c>
      <c r="F432">
        <v>14.999743462</v>
      </c>
      <c r="G432">
        <v>1341.2854004000001</v>
      </c>
      <c r="H432">
        <v>1338.6850586</v>
      </c>
      <c r="I432">
        <v>1320.2579346</v>
      </c>
      <c r="J432">
        <v>1315.7067870999999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47.355353000000001</v>
      </c>
      <c r="B433" s="1">
        <f>DATE(2010,6,17) + TIME(8,31,42)</f>
        <v>40346.355347222219</v>
      </c>
      <c r="C433">
        <v>80</v>
      </c>
      <c r="D433">
        <v>79.949363708000007</v>
      </c>
      <c r="E433">
        <v>50</v>
      </c>
      <c r="F433">
        <v>14.999744415</v>
      </c>
      <c r="G433">
        <v>1341.2817382999999</v>
      </c>
      <c r="H433">
        <v>1338.6823730000001</v>
      </c>
      <c r="I433">
        <v>1320.2585449000001</v>
      </c>
      <c r="J433">
        <v>1315.7072754000001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47.534689</v>
      </c>
      <c r="B434" s="1">
        <f>DATE(2010,6,17) + TIME(12,49,57)</f>
        <v>40346.534687500003</v>
      </c>
      <c r="C434">
        <v>80</v>
      </c>
      <c r="D434">
        <v>79.949363708000007</v>
      </c>
      <c r="E434">
        <v>50</v>
      </c>
      <c r="F434">
        <v>14.999745368999999</v>
      </c>
      <c r="G434">
        <v>1341.2780762</v>
      </c>
      <c r="H434">
        <v>1338.6795654</v>
      </c>
      <c r="I434">
        <v>1320.2591553</v>
      </c>
      <c r="J434">
        <v>1315.7077637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47.893360000000001</v>
      </c>
      <c r="B435" s="1">
        <f>DATE(2010,6,17) + TIME(21,26,26)</f>
        <v>40346.89335648148</v>
      </c>
      <c r="C435">
        <v>80</v>
      </c>
      <c r="D435">
        <v>79.949371338000006</v>
      </c>
      <c r="E435">
        <v>50</v>
      </c>
      <c r="F435">
        <v>14.999746323</v>
      </c>
      <c r="G435">
        <v>1341.2745361</v>
      </c>
      <c r="H435">
        <v>1338.6770019999999</v>
      </c>
      <c r="I435">
        <v>1320.2598877</v>
      </c>
      <c r="J435">
        <v>1315.7082519999999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48.253241000000003</v>
      </c>
      <c r="B436" s="1">
        <f>DATE(2010,6,18) + TIME(6,4,40)</f>
        <v>40347.253240740742</v>
      </c>
      <c r="C436">
        <v>80</v>
      </c>
      <c r="D436">
        <v>79.949371338000006</v>
      </c>
      <c r="E436">
        <v>50</v>
      </c>
      <c r="F436">
        <v>14.999747276000001</v>
      </c>
      <c r="G436">
        <v>1341.2673339999999</v>
      </c>
      <c r="H436">
        <v>1338.6716309000001</v>
      </c>
      <c r="I436">
        <v>1320.2611084</v>
      </c>
      <c r="J436">
        <v>1315.7092285000001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48.617587</v>
      </c>
      <c r="B437" s="1">
        <f>DATE(2010,6,18) + TIME(14,49,19)</f>
        <v>40347.617581018516</v>
      </c>
      <c r="C437">
        <v>80</v>
      </c>
      <c r="D437">
        <v>79.949371338000006</v>
      </c>
      <c r="E437">
        <v>50</v>
      </c>
      <c r="F437">
        <v>14.99974823</v>
      </c>
      <c r="G437">
        <v>1341.2601318</v>
      </c>
      <c r="H437">
        <v>1338.6662598</v>
      </c>
      <c r="I437">
        <v>1320.2624512</v>
      </c>
      <c r="J437">
        <v>1315.7102050999999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48.987234000000001</v>
      </c>
      <c r="B438" s="1">
        <f>DATE(2010,6,18) + TIME(23,41,37)</f>
        <v>40347.987233796295</v>
      </c>
      <c r="C438">
        <v>80</v>
      </c>
      <c r="D438">
        <v>79.949363708000007</v>
      </c>
      <c r="E438">
        <v>50</v>
      </c>
      <c r="F438">
        <v>14.999749184000001</v>
      </c>
      <c r="G438">
        <v>1341.2529297000001</v>
      </c>
      <c r="H438">
        <v>1338.6607666</v>
      </c>
      <c r="I438">
        <v>1320.2636719</v>
      </c>
      <c r="J438">
        <v>1315.7111815999999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49.363087999999998</v>
      </c>
      <c r="B439" s="1">
        <f>DATE(2010,6,19) + TIME(8,42,50)</f>
        <v>40348.363078703704</v>
      </c>
      <c r="C439">
        <v>80</v>
      </c>
      <c r="D439">
        <v>79.949363708000007</v>
      </c>
      <c r="E439">
        <v>50</v>
      </c>
      <c r="F439">
        <v>14.999751091</v>
      </c>
      <c r="G439">
        <v>1341.2456055</v>
      </c>
      <c r="H439">
        <v>1338.6553954999999</v>
      </c>
      <c r="I439">
        <v>1320.2650146000001</v>
      </c>
      <c r="J439">
        <v>1315.7121582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49.745150000000002</v>
      </c>
      <c r="B440" s="1">
        <f>DATE(2010,6,19) + TIME(17,53,0)</f>
        <v>40348.745138888888</v>
      </c>
      <c r="C440">
        <v>80</v>
      </c>
      <c r="D440">
        <v>79.949363708000007</v>
      </c>
      <c r="E440">
        <v>50</v>
      </c>
      <c r="F440">
        <v>14.999752044999999</v>
      </c>
      <c r="G440">
        <v>1341.2382812000001</v>
      </c>
      <c r="H440">
        <v>1338.6497803</v>
      </c>
      <c r="I440">
        <v>1320.2663574000001</v>
      </c>
      <c r="J440">
        <v>1315.7132568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49.937967</v>
      </c>
      <c r="B441" s="1">
        <f>DATE(2010,6,19) + TIME(22,30,40)</f>
        <v>40348.937962962962</v>
      </c>
      <c r="C441">
        <v>80</v>
      </c>
      <c r="D441">
        <v>79.949356078999998</v>
      </c>
      <c r="E441">
        <v>50</v>
      </c>
      <c r="F441">
        <v>14.999752998</v>
      </c>
      <c r="G441">
        <v>1341.2307129000001</v>
      </c>
      <c r="H441">
        <v>1338.6441649999999</v>
      </c>
      <c r="I441">
        <v>1320.2678223</v>
      </c>
      <c r="J441">
        <v>1315.7142334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50.130513000000001</v>
      </c>
      <c r="B442" s="1">
        <f>DATE(2010,6,20) + TIME(3,7,56)</f>
        <v>40349.130509259259</v>
      </c>
      <c r="C442">
        <v>80</v>
      </c>
      <c r="D442">
        <v>79.949348450000002</v>
      </c>
      <c r="E442">
        <v>50</v>
      </c>
      <c r="F442">
        <v>14.999753952000001</v>
      </c>
      <c r="G442">
        <v>1341.2270507999999</v>
      </c>
      <c r="H442">
        <v>1338.6413574000001</v>
      </c>
      <c r="I442">
        <v>1320.2684326000001</v>
      </c>
      <c r="J442">
        <v>1315.7147216999999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50.322411000000002</v>
      </c>
      <c r="B443" s="1">
        <f>DATE(2010,6,20) + TIME(7,44,16)</f>
        <v>40349.32240740741</v>
      </c>
      <c r="C443">
        <v>80</v>
      </c>
      <c r="D443">
        <v>79.949348450000002</v>
      </c>
      <c r="E443">
        <v>50</v>
      </c>
      <c r="F443">
        <v>14.999754906</v>
      </c>
      <c r="G443">
        <v>1341.2232666</v>
      </c>
      <c r="H443">
        <v>1338.6385498</v>
      </c>
      <c r="I443">
        <v>1320.2691649999999</v>
      </c>
      <c r="J443">
        <v>1315.715332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50.51379</v>
      </c>
      <c r="B444" s="1">
        <f>DATE(2010,6,20) + TIME(12,19,51)</f>
        <v>40349.513784722221</v>
      </c>
      <c r="C444">
        <v>80</v>
      </c>
      <c r="D444">
        <v>79.949340820000003</v>
      </c>
      <c r="E444">
        <v>50</v>
      </c>
      <c r="F444">
        <v>14.999754906</v>
      </c>
      <c r="G444">
        <v>1341.2196045000001</v>
      </c>
      <c r="H444">
        <v>1338.6357422000001</v>
      </c>
      <c r="I444">
        <v>1320.2698975000001</v>
      </c>
      <c r="J444">
        <v>1315.7158202999999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50.704777999999997</v>
      </c>
      <c r="B445" s="1">
        <f>DATE(2010,6,20) + TIME(16,54,52)</f>
        <v>40349.704768518517</v>
      </c>
      <c r="C445">
        <v>80</v>
      </c>
      <c r="D445">
        <v>79.949340820000003</v>
      </c>
      <c r="E445">
        <v>50</v>
      </c>
      <c r="F445">
        <v>14.999755859</v>
      </c>
      <c r="G445">
        <v>1341.2159423999999</v>
      </c>
      <c r="H445">
        <v>1338.6330565999999</v>
      </c>
      <c r="I445">
        <v>1320.2706298999999</v>
      </c>
      <c r="J445">
        <v>1315.7163086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50.895502999999998</v>
      </c>
      <c r="B446" s="1">
        <f>DATE(2010,6,20) + TIME(21,29,31)</f>
        <v>40349.895497685182</v>
      </c>
      <c r="C446">
        <v>80</v>
      </c>
      <c r="D446">
        <v>79.949340820000003</v>
      </c>
      <c r="E446">
        <v>50</v>
      </c>
      <c r="F446">
        <v>14.999756812999999</v>
      </c>
      <c r="G446">
        <v>1341.2122803</v>
      </c>
      <c r="H446">
        <v>1338.6303711</v>
      </c>
      <c r="I446">
        <v>1320.2713623</v>
      </c>
      <c r="J446">
        <v>1315.7169189000001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51.086086000000002</v>
      </c>
      <c r="B447" s="1">
        <f>DATE(2010,6,21) + TIME(2,3,57)</f>
        <v>40350.086076388892</v>
      </c>
      <c r="C447">
        <v>80</v>
      </c>
      <c r="D447">
        <v>79.949340820000003</v>
      </c>
      <c r="E447">
        <v>50</v>
      </c>
      <c r="F447">
        <v>14.999757767</v>
      </c>
      <c r="G447">
        <v>1341.2087402</v>
      </c>
      <c r="H447">
        <v>1338.6275635</v>
      </c>
      <c r="I447">
        <v>1320.2720947</v>
      </c>
      <c r="J447">
        <v>1315.7174072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51.276606999999998</v>
      </c>
      <c r="B448" s="1">
        <f>DATE(2010,6,21) + TIME(6,38,18)</f>
        <v>40350.276597222219</v>
      </c>
      <c r="C448">
        <v>80</v>
      </c>
      <c r="D448">
        <v>79.949340820000003</v>
      </c>
      <c r="E448">
        <v>50</v>
      </c>
      <c r="F448">
        <v>14.999757767</v>
      </c>
      <c r="G448">
        <v>1341.2050781</v>
      </c>
      <c r="H448">
        <v>1338.6248779</v>
      </c>
      <c r="I448">
        <v>1320.2727050999999</v>
      </c>
      <c r="J448">
        <v>1315.7178954999999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51.467129</v>
      </c>
      <c r="B449" s="1">
        <f>DATE(2010,6,21) + TIME(11,12,39)</f>
        <v>40350.467118055552</v>
      </c>
      <c r="C449">
        <v>80</v>
      </c>
      <c r="D449">
        <v>79.949333190999994</v>
      </c>
      <c r="E449">
        <v>50</v>
      </c>
      <c r="F449">
        <v>14.999758720000001</v>
      </c>
      <c r="G449">
        <v>1341.2015381000001</v>
      </c>
      <c r="H449">
        <v>1338.6221923999999</v>
      </c>
      <c r="I449">
        <v>1320.2734375</v>
      </c>
      <c r="J449">
        <v>1315.7185059000001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51.657649999999997</v>
      </c>
      <c r="B450" s="1">
        <f>DATE(2010,6,21) + TIME(15,47,0)</f>
        <v>40350.657638888886</v>
      </c>
      <c r="C450">
        <v>80</v>
      </c>
      <c r="D450">
        <v>79.949333190999994</v>
      </c>
      <c r="E450">
        <v>50</v>
      </c>
      <c r="F450">
        <v>14.999759674</v>
      </c>
      <c r="G450">
        <v>1341.197876</v>
      </c>
      <c r="H450">
        <v>1338.6195068</v>
      </c>
      <c r="I450">
        <v>1320.2741699000001</v>
      </c>
      <c r="J450">
        <v>1315.7189940999999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51.848171999999998</v>
      </c>
      <c r="B451" s="1">
        <f>DATE(2010,6,21) + TIME(20,21,22)</f>
        <v>40350.848171296297</v>
      </c>
      <c r="C451">
        <v>80</v>
      </c>
      <c r="D451">
        <v>79.949333190999994</v>
      </c>
      <c r="E451">
        <v>50</v>
      </c>
      <c r="F451">
        <v>14.999759674</v>
      </c>
      <c r="G451">
        <v>1341.1943358999999</v>
      </c>
      <c r="H451">
        <v>1338.6168213000001</v>
      </c>
      <c r="I451">
        <v>1320.2749022999999</v>
      </c>
      <c r="J451">
        <v>1315.7196045000001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52.038693000000002</v>
      </c>
      <c r="B452" s="1">
        <f>DATE(2010,6,22) + TIME(0,55,43)</f>
        <v>40351.03869212963</v>
      </c>
      <c r="C452">
        <v>80</v>
      </c>
      <c r="D452">
        <v>79.949333190999994</v>
      </c>
      <c r="E452">
        <v>50</v>
      </c>
      <c r="F452">
        <v>14.999760628000001</v>
      </c>
      <c r="G452">
        <v>1341.1907959</v>
      </c>
      <c r="H452">
        <v>1338.6141356999999</v>
      </c>
      <c r="I452">
        <v>1320.2756348</v>
      </c>
      <c r="J452">
        <v>1315.7200928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52.229215000000003</v>
      </c>
      <c r="B453" s="1">
        <f>DATE(2010,6,22) + TIME(5,30,4)</f>
        <v>40351.229212962964</v>
      </c>
      <c r="C453">
        <v>80</v>
      </c>
      <c r="D453">
        <v>79.949333190999994</v>
      </c>
      <c r="E453">
        <v>50</v>
      </c>
      <c r="F453">
        <v>14.999761581</v>
      </c>
      <c r="G453">
        <v>1341.1872559000001</v>
      </c>
      <c r="H453">
        <v>1338.6114502</v>
      </c>
      <c r="I453">
        <v>1320.2763672000001</v>
      </c>
      <c r="J453">
        <v>1315.7205810999999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52.419736</v>
      </c>
      <c r="B454" s="1">
        <f>DATE(2010,6,22) + TIME(10,4,25)</f>
        <v>40351.419733796298</v>
      </c>
      <c r="C454">
        <v>80</v>
      </c>
      <c r="D454">
        <v>79.949333190999994</v>
      </c>
      <c r="E454">
        <v>50</v>
      </c>
      <c r="F454">
        <v>14.999762535</v>
      </c>
      <c r="G454">
        <v>1341.1837158000001</v>
      </c>
      <c r="H454">
        <v>1338.6087646000001</v>
      </c>
      <c r="I454">
        <v>1320.2770995999999</v>
      </c>
      <c r="J454">
        <v>1315.7211914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52.800780000000003</v>
      </c>
      <c r="B455" s="1">
        <f>DATE(2010,6,22) + TIME(19,13,7)</f>
        <v>40351.800775462965</v>
      </c>
      <c r="C455">
        <v>80</v>
      </c>
      <c r="D455">
        <v>79.949340820000003</v>
      </c>
      <c r="E455">
        <v>50</v>
      </c>
      <c r="F455">
        <v>14.999763488999999</v>
      </c>
      <c r="G455">
        <v>1341.1802978999999</v>
      </c>
      <c r="H455">
        <v>1338.6062012</v>
      </c>
      <c r="I455">
        <v>1320.277832</v>
      </c>
      <c r="J455">
        <v>1315.7218018000001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53.182741999999998</v>
      </c>
      <c r="B456" s="1">
        <f>DATE(2010,6,23) + TIME(4,23,8)</f>
        <v>40352.18273148148</v>
      </c>
      <c r="C456">
        <v>80</v>
      </c>
      <c r="D456">
        <v>79.949348450000002</v>
      </c>
      <c r="E456">
        <v>50</v>
      </c>
      <c r="F456">
        <v>14.999764442</v>
      </c>
      <c r="G456">
        <v>1341.1733397999999</v>
      </c>
      <c r="H456">
        <v>1338.6009521000001</v>
      </c>
      <c r="I456">
        <v>1320.2792969</v>
      </c>
      <c r="J456">
        <v>1315.7227783000001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53.569350999999997</v>
      </c>
      <c r="B457" s="1">
        <f>DATE(2010,6,23) + TIME(13,39,51)</f>
        <v>40352.569340277776</v>
      </c>
      <c r="C457">
        <v>80</v>
      </c>
      <c r="D457">
        <v>79.949348450000002</v>
      </c>
      <c r="E457">
        <v>50</v>
      </c>
      <c r="F457">
        <v>14.999765396000001</v>
      </c>
      <c r="G457">
        <v>1341.1663818</v>
      </c>
      <c r="H457">
        <v>1338.5957031</v>
      </c>
      <c r="I457">
        <v>1320.2807617000001</v>
      </c>
      <c r="J457">
        <v>1315.7238769999999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53.961489999999998</v>
      </c>
      <c r="B458" s="1">
        <f>DATE(2010,6,23) + TIME(23,4,32)</f>
        <v>40352.961481481485</v>
      </c>
      <c r="C458">
        <v>80</v>
      </c>
      <c r="D458">
        <v>79.949348450000002</v>
      </c>
      <c r="E458">
        <v>50</v>
      </c>
      <c r="F458">
        <v>14.999767303</v>
      </c>
      <c r="G458">
        <v>1341.1594238</v>
      </c>
      <c r="H458">
        <v>1338.5904541</v>
      </c>
      <c r="I458">
        <v>1320.2823486</v>
      </c>
      <c r="J458">
        <v>1315.7250977000001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54.360131000000003</v>
      </c>
      <c r="B459" s="1">
        <f>DATE(2010,6,24) + TIME(8,38,35)</f>
        <v>40353.360127314816</v>
      </c>
      <c r="C459">
        <v>80</v>
      </c>
      <c r="D459">
        <v>79.949356078999998</v>
      </c>
      <c r="E459">
        <v>50</v>
      </c>
      <c r="F459">
        <v>14.999768256999999</v>
      </c>
      <c r="G459">
        <v>1341.1523437999999</v>
      </c>
      <c r="H459">
        <v>1338.5850829999999</v>
      </c>
      <c r="I459">
        <v>1320.2838135</v>
      </c>
      <c r="J459">
        <v>1315.7261963000001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54.765436000000001</v>
      </c>
      <c r="B460" s="1">
        <f>DATE(2010,6,24) + TIME(18,22,13)</f>
        <v>40353.765428240738</v>
      </c>
      <c r="C460">
        <v>80</v>
      </c>
      <c r="D460">
        <v>79.949356078999998</v>
      </c>
      <c r="E460">
        <v>50</v>
      </c>
      <c r="F460">
        <v>14.999770163999999</v>
      </c>
      <c r="G460">
        <v>1341.1452637</v>
      </c>
      <c r="H460">
        <v>1338.5797118999999</v>
      </c>
      <c r="I460">
        <v>1320.2854004000001</v>
      </c>
      <c r="J460">
        <v>1315.7272949000001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54.969800999999997</v>
      </c>
      <c r="B461" s="1">
        <f>DATE(2010,6,24) + TIME(23,16,30)</f>
        <v>40353.96979166667</v>
      </c>
      <c r="C461">
        <v>80</v>
      </c>
      <c r="D461">
        <v>79.949348450000002</v>
      </c>
      <c r="E461">
        <v>50</v>
      </c>
      <c r="F461">
        <v>14.999771118</v>
      </c>
      <c r="G461">
        <v>1341.1380615</v>
      </c>
      <c r="H461">
        <v>1338.5742187999999</v>
      </c>
      <c r="I461">
        <v>1320.2869873</v>
      </c>
      <c r="J461">
        <v>1315.7285156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55.173681999999999</v>
      </c>
      <c r="B462" s="1">
        <f>DATE(2010,6,25) + TIME(4,10,6)</f>
        <v>40354.173680555556</v>
      </c>
      <c r="C462">
        <v>80</v>
      </c>
      <c r="D462">
        <v>79.949348450000002</v>
      </c>
      <c r="E462">
        <v>50</v>
      </c>
      <c r="F462">
        <v>14.999772072000001</v>
      </c>
      <c r="G462">
        <v>1341.1343993999999</v>
      </c>
      <c r="H462">
        <v>1338.5714111</v>
      </c>
      <c r="I462">
        <v>1320.2878418</v>
      </c>
      <c r="J462">
        <v>1315.729126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55.376911999999997</v>
      </c>
      <c r="B463" s="1">
        <f>DATE(2010,6,25) + TIME(9,2,45)</f>
        <v>40354.376909722225</v>
      </c>
      <c r="C463">
        <v>80</v>
      </c>
      <c r="D463">
        <v>79.949348450000002</v>
      </c>
      <c r="E463">
        <v>50</v>
      </c>
      <c r="F463">
        <v>14.999773026</v>
      </c>
      <c r="G463">
        <v>1341.1308594</v>
      </c>
      <c r="H463">
        <v>1338.5687256000001</v>
      </c>
      <c r="I463">
        <v>1320.2885742000001</v>
      </c>
      <c r="J463">
        <v>1315.7297363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55.579622000000001</v>
      </c>
      <c r="B464" s="1">
        <f>DATE(2010,6,25) + TIME(13,54,39)</f>
        <v>40354.579618055555</v>
      </c>
      <c r="C464">
        <v>80</v>
      </c>
      <c r="D464">
        <v>79.949348450000002</v>
      </c>
      <c r="E464">
        <v>50</v>
      </c>
      <c r="F464">
        <v>14.999773979</v>
      </c>
      <c r="G464">
        <v>1341.1273193</v>
      </c>
      <c r="H464">
        <v>1338.5660399999999</v>
      </c>
      <c r="I464">
        <v>1320.2894286999999</v>
      </c>
      <c r="J464">
        <v>1315.7303466999999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55.781942000000001</v>
      </c>
      <c r="B465" s="1">
        <f>DATE(2010,6,25) + TIME(18,45,59)</f>
        <v>40354.78193287037</v>
      </c>
      <c r="C465">
        <v>80</v>
      </c>
      <c r="D465">
        <v>79.949348450000002</v>
      </c>
      <c r="E465">
        <v>50</v>
      </c>
      <c r="F465">
        <v>14.999773979</v>
      </c>
      <c r="G465">
        <v>1341.1237793</v>
      </c>
      <c r="H465">
        <v>1338.5633545000001</v>
      </c>
      <c r="I465">
        <v>1320.2902832</v>
      </c>
      <c r="J465">
        <v>1315.7308350000001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55.984000000000002</v>
      </c>
      <c r="B466" s="1">
        <f>DATE(2010,6,25) + TIME(23,36,57)</f>
        <v>40354.983993055554</v>
      </c>
      <c r="C466">
        <v>80</v>
      </c>
      <c r="D466">
        <v>79.949348450000002</v>
      </c>
      <c r="E466">
        <v>50</v>
      </c>
      <c r="F466">
        <v>14.999774932999999</v>
      </c>
      <c r="G466">
        <v>1341.1202393000001</v>
      </c>
      <c r="H466">
        <v>1338.5606689000001</v>
      </c>
      <c r="I466">
        <v>1320.2911377</v>
      </c>
      <c r="J466">
        <v>1315.7314452999999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56.185918999999998</v>
      </c>
      <c r="B467" s="1">
        <f>DATE(2010,6,26) + TIME(4,27,43)</f>
        <v>40355.185914351852</v>
      </c>
      <c r="C467">
        <v>80</v>
      </c>
      <c r="D467">
        <v>79.949348450000002</v>
      </c>
      <c r="E467">
        <v>50</v>
      </c>
      <c r="F467">
        <v>14.999775887</v>
      </c>
      <c r="G467">
        <v>1341.1168213000001</v>
      </c>
      <c r="H467">
        <v>1338.5581055</v>
      </c>
      <c r="I467">
        <v>1320.2918701000001</v>
      </c>
      <c r="J467">
        <v>1315.7320557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56.387821000000002</v>
      </c>
      <c r="B468" s="1">
        <f>DATE(2010,6,26) + TIME(9,18,27)</f>
        <v>40355.387812499997</v>
      </c>
      <c r="C468">
        <v>80</v>
      </c>
      <c r="D468">
        <v>79.949348450000002</v>
      </c>
      <c r="E468">
        <v>50</v>
      </c>
      <c r="F468">
        <v>14.999776839999999</v>
      </c>
      <c r="G468">
        <v>1341.1132812000001</v>
      </c>
      <c r="H468">
        <v>1338.5554199000001</v>
      </c>
      <c r="I468">
        <v>1320.2927245999999</v>
      </c>
      <c r="J468">
        <v>1315.7326660000001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56.589722999999999</v>
      </c>
      <c r="B469" s="1">
        <f>DATE(2010,6,26) + TIME(14,9,12)</f>
        <v>40355.589722222219</v>
      </c>
      <c r="C469">
        <v>80</v>
      </c>
      <c r="D469">
        <v>79.949348450000002</v>
      </c>
      <c r="E469">
        <v>50</v>
      </c>
      <c r="F469">
        <v>14.999777794</v>
      </c>
      <c r="G469">
        <v>1341.1098632999999</v>
      </c>
      <c r="H469">
        <v>1338.5527344</v>
      </c>
      <c r="I469">
        <v>1320.2935791</v>
      </c>
      <c r="J469">
        <v>1315.7332764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56.791625000000003</v>
      </c>
      <c r="B470" s="1">
        <f>DATE(2010,6,26) + TIME(18,59,56)</f>
        <v>40355.791620370372</v>
      </c>
      <c r="C470">
        <v>80</v>
      </c>
      <c r="D470">
        <v>79.949348450000002</v>
      </c>
      <c r="E470">
        <v>50</v>
      </c>
      <c r="F470">
        <v>14.999778748000001</v>
      </c>
      <c r="G470">
        <v>1341.1064452999999</v>
      </c>
      <c r="H470">
        <v>1338.5501709</v>
      </c>
      <c r="I470">
        <v>1320.2944336</v>
      </c>
      <c r="J470">
        <v>1315.7338867000001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56.993526000000003</v>
      </c>
      <c r="B471" s="1">
        <f>DATE(2010,6,26) + TIME(23,50,40)</f>
        <v>40355.993518518517</v>
      </c>
      <c r="C471">
        <v>80</v>
      </c>
      <c r="D471">
        <v>79.949348450000002</v>
      </c>
      <c r="E471">
        <v>50</v>
      </c>
      <c r="F471">
        <v>14.999779701</v>
      </c>
      <c r="G471">
        <v>1341.1029053</v>
      </c>
      <c r="H471">
        <v>1338.5474853999999</v>
      </c>
      <c r="I471">
        <v>1320.2952881000001</v>
      </c>
      <c r="J471">
        <v>1315.7344971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57.195428</v>
      </c>
      <c r="B472" s="1">
        <f>DATE(2010,6,27) + TIME(4,41,24)</f>
        <v>40356.195416666669</v>
      </c>
      <c r="C472">
        <v>80</v>
      </c>
      <c r="D472">
        <v>79.949356078999998</v>
      </c>
      <c r="E472">
        <v>50</v>
      </c>
      <c r="F472">
        <v>14.999780655</v>
      </c>
      <c r="G472">
        <v>1341.0994873</v>
      </c>
      <c r="H472">
        <v>1338.5449219</v>
      </c>
      <c r="I472">
        <v>1320.2960204999999</v>
      </c>
      <c r="J472">
        <v>1315.7351074000001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57.397329999999997</v>
      </c>
      <c r="B473" s="1">
        <f>DATE(2010,6,27) + TIME(9,32,9)</f>
        <v>40356.397326388891</v>
      </c>
      <c r="C473">
        <v>80</v>
      </c>
      <c r="D473">
        <v>79.949356078999998</v>
      </c>
      <c r="E473">
        <v>50</v>
      </c>
      <c r="F473">
        <v>14.999781608999999</v>
      </c>
      <c r="G473">
        <v>1341.0960693</v>
      </c>
      <c r="H473">
        <v>1338.5423584</v>
      </c>
      <c r="I473">
        <v>1320.296875</v>
      </c>
      <c r="J473">
        <v>1315.7357178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57.801133999999998</v>
      </c>
      <c r="B474" s="1">
        <f>DATE(2010,6,27) + TIME(19,13,37)</f>
        <v>40356.801122685189</v>
      </c>
      <c r="C474">
        <v>80</v>
      </c>
      <c r="D474">
        <v>79.949363708000007</v>
      </c>
      <c r="E474">
        <v>50</v>
      </c>
      <c r="F474">
        <v>14.999783516000001</v>
      </c>
      <c r="G474">
        <v>1341.0927733999999</v>
      </c>
      <c r="H474">
        <v>1338.5397949000001</v>
      </c>
      <c r="I474">
        <v>1320.2978516000001</v>
      </c>
      <c r="J474">
        <v>1315.7364502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58.205229000000003</v>
      </c>
      <c r="B475" s="1">
        <f>DATE(2010,6,28) + TIME(4,55,31)</f>
        <v>40357.20521990741</v>
      </c>
      <c r="C475">
        <v>80</v>
      </c>
      <c r="D475">
        <v>79.949371338000006</v>
      </c>
      <c r="E475">
        <v>50</v>
      </c>
      <c r="F475">
        <v>14.999785423000001</v>
      </c>
      <c r="G475">
        <v>1341.0860596</v>
      </c>
      <c r="H475">
        <v>1338.534668</v>
      </c>
      <c r="I475">
        <v>1320.2995605000001</v>
      </c>
      <c r="J475">
        <v>1315.7376709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58.613905000000003</v>
      </c>
      <c r="B476" s="1">
        <f>DATE(2010,6,28) + TIME(14,44,1)</f>
        <v>40357.613900462966</v>
      </c>
      <c r="C476">
        <v>80</v>
      </c>
      <c r="D476">
        <v>79.949378967000001</v>
      </c>
      <c r="E476">
        <v>50</v>
      </c>
      <c r="F476">
        <v>14.999787331</v>
      </c>
      <c r="G476">
        <v>1341.0793457</v>
      </c>
      <c r="H476">
        <v>1338.5295410000001</v>
      </c>
      <c r="I476">
        <v>1320.3012695</v>
      </c>
      <c r="J476">
        <v>1315.7388916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59.028111000000003</v>
      </c>
      <c r="B477" s="1">
        <f>DATE(2010,6,29) + TIME(0,40,28)</f>
        <v>40358.028101851851</v>
      </c>
      <c r="C477">
        <v>80</v>
      </c>
      <c r="D477">
        <v>79.949386597</v>
      </c>
      <c r="E477">
        <v>50</v>
      </c>
      <c r="F477">
        <v>14.999789238</v>
      </c>
      <c r="G477">
        <v>1341.0725098</v>
      </c>
      <c r="H477">
        <v>1338.5244141000001</v>
      </c>
      <c r="I477">
        <v>1320.3029785000001</v>
      </c>
      <c r="J477">
        <v>1315.7401123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59.448886000000002</v>
      </c>
      <c r="B478" s="1">
        <f>DATE(2010,6,29) + TIME(10,46,23)</f>
        <v>40358.448877314811</v>
      </c>
      <c r="C478">
        <v>80</v>
      </c>
      <c r="D478">
        <v>79.949394225999995</v>
      </c>
      <c r="E478">
        <v>50</v>
      </c>
      <c r="F478">
        <v>14.999792099</v>
      </c>
      <c r="G478">
        <v>1341.0657959</v>
      </c>
      <c r="H478">
        <v>1338.5191649999999</v>
      </c>
      <c r="I478">
        <v>1320.3046875</v>
      </c>
      <c r="J478">
        <v>1315.7414550999999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59.875931999999999</v>
      </c>
      <c r="B479" s="1">
        <f>DATE(2010,6,29) + TIME(21,1,20)</f>
        <v>40358.875925925924</v>
      </c>
      <c r="C479">
        <v>80</v>
      </c>
      <c r="D479">
        <v>79.949394225999995</v>
      </c>
      <c r="E479">
        <v>50</v>
      </c>
      <c r="F479">
        <v>14.999794959999999</v>
      </c>
      <c r="G479">
        <v>1341.0588379000001</v>
      </c>
      <c r="H479">
        <v>1338.5139160000001</v>
      </c>
      <c r="I479">
        <v>1320.3065185999999</v>
      </c>
      <c r="J479">
        <v>1315.7427978999999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60.307433000000003</v>
      </c>
      <c r="B480" s="1">
        <f>DATE(2010,6,30) + TIME(7,22,42)</f>
        <v>40359.307430555556</v>
      </c>
      <c r="C480">
        <v>80</v>
      </c>
      <c r="D480">
        <v>79.949401855000005</v>
      </c>
      <c r="E480">
        <v>50</v>
      </c>
      <c r="F480">
        <v>14.999797821</v>
      </c>
      <c r="G480">
        <v>1341.0520019999999</v>
      </c>
      <c r="H480">
        <v>1338.5086670000001</v>
      </c>
      <c r="I480">
        <v>1320.3084716999999</v>
      </c>
      <c r="J480">
        <v>1315.7441406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60.523468000000001</v>
      </c>
      <c r="B481" s="1">
        <f>DATE(2010,6,30) + TIME(12,33,47)</f>
        <v>40359.523460648146</v>
      </c>
      <c r="C481">
        <v>80</v>
      </c>
      <c r="D481">
        <v>79.949401855000005</v>
      </c>
      <c r="E481">
        <v>50</v>
      </c>
      <c r="F481">
        <v>14.999799727999999</v>
      </c>
      <c r="G481">
        <v>1341.0449219</v>
      </c>
      <c r="H481">
        <v>1338.5032959</v>
      </c>
      <c r="I481">
        <v>1320.3103027</v>
      </c>
      <c r="J481">
        <v>1315.7454834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60.738810999999998</v>
      </c>
      <c r="B482" s="1">
        <f>DATE(2010,6,30) + TIME(17,43,53)</f>
        <v>40359.738807870373</v>
      </c>
      <c r="C482">
        <v>80</v>
      </c>
      <c r="D482">
        <v>79.949401855000005</v>
      </c>
      <c r="E482">
        <v>50</v>
      </c>
      <c r="F482">
        <v>14.999801636000001</v>
      </c>
      <c r="G482">
        <v>1341.0415039</v>
      </c>
      <c r="H482">
        <v>1338.5006103999999</v>
      </c>
      <c r="I482">
        <v>1320.3112793</v>
      </c>
      <c r="J482">
        <v>1315.7460937999999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61</v>
      </c>
      <c r="B483" s="1">
        <f>DATE(2010,7,1) + TIME(0,0,0)</f>
        <v>40360</v>
      </c>
      <c r="C483">
        <v>80</v>
      </c>
      <c r="D483">
        <v>79.949401855000005</v>
      </c>
      <c r="E483">
        <v>50</v>
      </c>
      <c r="F483">
        <v>14.999804497</v>
      </c>
      <c r="G483">
        <v>1341.0380858999999</v>
      </c>
      <c r="H483">
        <v>1338.4980469</v>
      </c>
      <c r="I483">
        <v>1320.3122559000001</v>
      </c>
      <c r="J483">
        <v>1315.7468262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61.214832999999999</v>
      </c>
      <c r="B484" s="1">
        <f>DATE(2010,7,1) + TIME(5,9,21)</f>
        <v>40360.214826388888</v>
      </c>
      <c r="C484">
        <v>80</v>
      </c>
      <c r="D484">
        <v>79.949401855000005</v>
      </c>
      <c r="E484">
        <v>50</v>
      </c>
      <c r="F484">
        <v>14.999806403999999</v>
      </c>
      <c r="G484">
        <v>1341.0339355000001</v>
      </c>
      <c r="H484">
        <v>1338.494751</v>
      </c>
      <c r="I484">
        <v>1320.3133545000001</v>
      </c>
      <c r="J484">
        <v>1315.7476807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61.429031000000002</v>
      </c>
      <c r="B485" s="1">
        <f>DATE(2010,7,1) + TIME(10,17,48)</f>
        <v>40360.429027777776</v>
      </c>
      <c r="C485">
        <v>80</v>
      </c>
      <c r="D485">
        <v>79.949401855000005</v>
      </c>
      <c r="E485">
        <v>50</v>
      </c>
      <c r="F485">
        <v>14.999809265</v>
      </c>
      <c r="G485">
        <v>1341.0305175999999</v>
      </c>
      <c r="H485">
        <v>1338.4921875</v>
      </c>
      <c r="I485">
        <v>1320.3143310999999</v>
      </c>
      <c r="J485">
        <v>1315.7484131000001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61.643160999999999</v>
      </c>
      <c r="B486" s="1">
        <f>DATE(2010,7,1) + TIME(15,26,9)</f>
        <v>40360.643159722225</v>
      </c>
      <c r="C486">
        <v>80</v>
      </c>
      <c r="D486">
        <v>79.949409485000004</v>
      </c>
      <c r="E486">
        <v>50</v>
      </c>
      <c r="F486">
        <v>14.999811171999999</v>
      </c>
      <c r="G486">
        <v>1341.0270995999999</v>
      </c>
      <c r="H486">
        <v>1338.489624</v>
      </c>
      <c r="I486">
        <v>1320.3153076000001</v>
      </c>
      <c r="J486">
        <v>1315.7490233999999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61.857290999999996</v>
      </c>
      <c r="B487" s="1">
        <f>DATE(2010,7,1) + TIME(20,34,29)</f>
        <v>40360.85728009259</v>
      </c>
      <c r="C487">
        <v>80</v>
      </c>
      <c r="D487">
        <v>79.949409485000004</v>
      </c>
      <c r="E487">
        <v>50</v>
      </c>
      <c r="F487">
        <v>14.999814034</v>
      </c>
      <c r="G487">
        <v>1341.0238036999999</v>
      </c>
      <c r="H487">
        <v>1338.4870605000001</v>
      </c>
      <c r="I487">
        <v>1320.3162841999999</v>
      </c>
      <c r="J487">
        <v>1315.7497559000001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62.071421999999998</v>
      </c>
      <c r="B488" s="1">
        <f>DATE(2010,7,2) + TIME(1,42,50)</f>
        <v>40361.071412037039</v>
      </c>
      <c r="C488">
        <v>80</v>
      </c>
      <c r="D488">
        <v>79.949409485000004</v>
      </c>
      <c r="E488">
        <v>50</v>
      </c>
      <c r="F488">
        <v>14.999816895</v>
      </c>
      <c r="G488">
        <v>1341.0205077999999</v>
      </c>
      <c r="H488">
        <v>1338.484375</v>
      </c>
      <c r="I488">
        <v>1320.3172606999999</v>
      </c>
      <c r="J488">
        <v>1315.7504882999999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62.285552000000003</v>
      </c>
      <c r="B489" s="1">
        <f>DATE(2010,7,2) + TIME(6,51,11)</f>
        <v>40361.285543981481</v>
      </c>
      <c r="C489">
        <v>80</v>
      </c>
      <c r="D489">
        <v>79.949417113999999</v>
      </c>
      <c r="E489">
        <v>50</v>
      </c>
      <c r="F489">
        <v>14.999819756000001</v>
      </c>
      <c r="G489">
        <v>1341.0170897999999</v>
      </c>
      <c r="H489">
        <v>1338.4818115</v>
      </c>
      <c r="I489">
        <v>1320.3182373</v>
      </c>
      <c r="J489">
        <v>1315.7512207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62.499682999999997</v>
      </c>
      <c r="B490" s="1">
        <f>DATE(2010,7,2) + TIME(11,59,32)</f>
        <v>40361.499675925923</v>
      </c>
      <c r="C490">
        <v>80</v>
      </c>
      <c r="D490">
        <v>79.949417113999999</v>
      </c>
      <c r="E490">
        <v>50</v>
      </c>
      <c r="F490">
        <v>14.999822617</v>
      </c>
      <c r="G490">
        <v>1341.0137939000001</v>
      </c>
      <c r="H490">
        <v>1338.4793701000001</v>
      </c>
      <c r="I490">
        <v>1320.3192139</v>
      </c>
      <c r="J490">
        <v>1315.7518310999999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62.713813000000002</v>
      </c>
      <c r="B491" s="1">
        <f>DATE(2010,7,2) + TIME(17,7,53)</f>
        <v>40361.713807870372</v>
      </c>
      <c r="C491">
        <v>80</v>
      </c>
      <c r="D491">
        <v>79.949424743999998</v>
      </c>
      <c r="E491">
        <v>50</v>
      </c>
      <c r="F491">
        <v>14.999825478</v>
      </c>
      <c r="G491">
        <v>1341.0104980000001</v>
      </c>
      <c r="H491">
        <v>1338.4768065999999</v>
      </c>
      <c r="I491">
        <v>1320.3201904</v>
      </c>
      <c r="J491">
        <v>1315.7525635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63.142074000000001</v>
      </c>
      <c r="B492" s="1">
        <f>DATE(2010,7,3) + TIME(3,24,35)</f>
        <v>40362.142071759263</v>
      </c>
      <c r="C492">
        <v>80</v>
      </c>
      <c r="D492">
        <v>79.949440002000003</v>
      </c>
      <c r="E492">
        <v>50</v>
      </c>
      <c r="F492">
        <v>14.999831199999999</v>
      </c>
      <c r="G492">
        <v>1341.0073242000001</v>
      </c>
      <c r="H492">
        <v>1338.4742432</v>
      </c>
      <c r="I492">
        <v>1320.3212891000001</v>
      </c>
      <c r="J492">
        <v>1315.7532959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63.570779999999999</v>
      </c>
      <c r="B493" s="1">
        <f>DATE(2010,7,3) + TIME(13,41,55)</f>
        <v>40362.570775462962</v>
      </c>
      <c r="C493">
        <v>80</v>
      </c>
      <c r="D493">
        <v>79.949447632000002</v>
      </c>
      <c r="E493">
        <v>50</v>
      </c>
      <c r="F493">
        <v>14.999837875000001</v>
      </c>
      <c r="G493">
        <v>1341.0007324000001</v>
      </c>
      <c r="H493">
        <v>1338.4692382999999</v>
      </c>
      <c r="I493">
        <v>1320.3232422000001</v>
      </c>
      <c r="J493">
        <v>1315.7547606999999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64.004115999999996</v>
      </c>
      <c r="B494" s="1">
        <f>DATE(2010,7,4) + TIME(0,5,55)</f>
        <v>40363.004108796296</v>
      </c>
      <c r="C494">
        <v>80</v>
      </c>
      <c r="D494">
        <v>79.949462890999996</v>
      </c>
      <c r="E494">
        <v>50</v>
      </c>
      <c r="F494">
        <v>14.999846458</v>
      </c>
      <c r="G494">
        <v>1340.9941406</v>
      </c>
      <c r="H494">
        <v>1338.4642334</v>
      </c>
      <c r="I494">
        <v>1320.3253173999999</v>
      </c>
      <c r="J494">
        <v>1315.7562256000001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64.443138000000005</v>
      </c>
      <c r="B495" s="1">
        <f>DATE(2010,7,4) + TIME(10,38,7)</f>
        <v>40363.443136574075</v>
      </c>
      <c r="C495">
        <v>80</v>
      </c>
      <c r="D495">
        <v>79.949470520000006</v>
      </c>
      <c r="E495">
        <v>50</v>
      </c>
      <c r="F495">
        <v>14.999855042</v>
      </c>
      <c r="G495">
        <v>1340.9876709</v>
      </c>
      <c r="H495">
        <v>1338.4591064000001</v>
      </c>
      <c r="I495">
        <v>1320.3273925999999</v>
      </c>
      <c r="J495">
        <v>1315.7576904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64.888964999999999</v>
      </c>
      <c r="B496" s="1">
        <f>DATE(2010,7,4) + TIME(21,20,6)</f>
        <v>40363.888958333337</v>
      </c>
      <c r="C496">
        <v>80</v>
      </c>
      <c r="D496">
        <v>79.949478149000001</v>
      </c>
      <c r="E496">
        <v>50</v>
      </c>
      <c r="F496">
        <v>14.999866486</v>
      </c>
      <c r="G496">
        <v>1340.9810791</v>
      </c>
      <c r="H496">
        <v>1338.4541016000001</v>
      </c>
      <c r="I496">
        <v>1320.3294678</v>
      </c>
      <c r="J496">
        <v>1315.7591553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65.339606000000003</v>
      </c>
      <c r="B497" s="1">
        <f>DATE(2010,7,5) + TIME(8,9,1)</f>
        <v>40364.339594907404</v>
      </c>
      <c r="C497">
        <v>80</v>
      </c>
      <c r="D497">
        <v>79.949485779</v>
      </c>
      <c r="E497">
        <v>50</v>
      </c>
      <c r="F497">
        <v>14.999878882999999</v>
      </c>
      <c r="G497">
        <v>1340.9743652</v>
      </c>
      <c r="H497">
        <v>1338.4489745999999</v>
      </c>
      <c r="I497">
        <v>1320.3316649999999</v>
      </c>
      <c r="J497">
        <v>1315.7606201000001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65.795603999999997</v>
      </c>
      <c r="B498" s="1">
        <f>DATE(2010,7,5) + TIME(19,5,40)</f>
        <v>40364.795601851853</v>
      </c>
      <c r="C498">
        <v>80</v>
      </c>
      <c r="D498">
        <v>79.949493407999995</v>
      </c>
      <c r="E498">
        <v>50</v>
      </c>
      <c r="F498">
        <v>14.999894142</v>
      </c>
      <c r="G498">
        <v>1340.9677733999999</v>
      </c>
      <c r="H498">
        <v>1338.4438477000001</v>
      </c>
      <c r="I498">
        <v>1320.3338623</v>
      </c>
      <c r="J498">
        <v>1315.762207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66.023999000000003</v>
      </c>
      <c r="B499" s="1">
        <f>DATE(2010,7,6) + TIME(0,34,33)</f>
        <v>40365.023993055554</v>
      </c>
      <c r="C499">
        <v>80</v>
      </c>
      <c r="D499">
        <v>79.949493407999995</v>
      </c>
      <c r="E499">
        <v>50</v>
      </c>
      <c r="F499">
        <v>14.999904633</v>
      </c>
      <c r="G499">
        <v>1340.9609375</v>
      </c>
      <c r="H499">
        <v>1338.4384766000001</v>
      </c>
      <c r="I499">
        <v>1320.3360596</v>
      </c>
      <c r="J499">
        <v>1315.7637939000001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66.251721000000003</v>
      </c>
      <c r="B500" s="1">
        <f>DATE(2010,7,6) + TIME(6,2,28)</f>
        <v>40365.251712962963</v>
      </c>
      <c r="C500">
        <v>80</v>
      </c>
      <c r="D500">
        <v>79.949493407999995</v>
      </c>
      <c r="E500">
        <v>50</v>
      </c>
      <c r="F500">
        <v>14.999915122999999</v>
      </c>
      <c r="G500">
        <v>1340.9576416</v>
      </c>
      <c r="H500">
        <v>1338.4359131000001</v>
      </c>
      <c r="I500">
        <v>1320.3371582</v>
      </c>
      <c r="J500">
        <v>1315.7645264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66.478908000000004</v>
      </c>
      <c r="B501" s="1">
        <f>DATE(2010,7,6) + TIME(11,29,37)</f>
        <v>40365.478900462964</v>
      </c>
      <c r="C501">
        <v>80</v>
      </c>
      <c r="D501">
        <v>79.949501037999994</v>
      </c>
      <c r="E501">
        <v>50</v>
      </c>
      <c r="F501">
        <v>14.999926566999999</v>
      </c>
      <c r="G501">
        <v>1340.9543457</v>
      </c>
      <c r="H501">
        <v>1338.4333495999999</v>
      </c>
      <c r="I501">
        <v>1320.3382568</v>
      </c>
      <c r="J501">
        <v>1315.7653809000001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66.705713000000003</v>
      </c>
      <c r="B502" s="1">
        <f>DATE(2010,7,6) + TIME(16,56,13)</f>
        <v>40365.705706018518</v>
      </c>
      <c r="C502">
        <v>80</v>
      </c>
      <c r="D502">
        <v>79.949501037999994</v>
      </c>
      <c r="E502">
        <v>50</v>
      </c>
      <c r="F502">
        <v>14.999938965</v>
      </c>
      <c r="G502">
        <v>1340.9510498</v>
      </c>
      <c r="H502">
        <v>1338.4307861</v>
      </c>
      <c r="I502">
        <v>1320.3394774999999</v>
      </c>
      <c r="J502">
        <v>1315.7661132999999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66.932289999999995</v>
      </c>
      <c r="B503" s="1">
        <f>DATE(2010,7,6) + TIME(22,22,29)</f>
        <v>40365.932280092595</v>
      </c>
      <c r="C503">
        <v>80</v>
      </c>
      <c r="D503">
        <v>79.949508667000003</v>
      </c>
      <c r="E503">
        <v>50</v>
      </c>
      <c r="F503">
        <v>14.999951362999999</v>
      </c>
      <c r="G503">
        <v>1340.9477539</v>
      </c>
      <c r="H503">
        <v>1338.4282227000001</v>
      </c>
      <c r="I503">
        <v>1320.3405762</v>
      </c>
      <c r="J503">
        <v>1315.7669678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67.158788000000001</v>
      </c>
      <c r="B504" s="1">
        <f>DATE(2010,7,7) + TIME(3,48,39)</f>
        <v>40366.158784722225</v>
      </c>
      <c r="C504">
        <v>80</v>
      </c>
      <c r="D504">
        <v>79.949508667000003</v>
      </c>
      <c r="E504">
        <v>50</v>
      </c>
      <c r="F504">
        <v>14.999965668</v>
      </c>
      <c r="G504">
        <v>1340.9444579999999</v>
      </c>
      <c r="H504">
        <v>1338.4257812000001</v>
      </c>
      <c r="I504">
        <v>1320.3417969</v>
      </c>
      <c r="J504">
        <v>1315.7678223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67.385285999999994</v>
      </c>
      <c r="B505" s="1">
        <f>DATE(2010,7,7) + TIME(9,14,48)</f>
        <v>40366.385277777779</v>
      </c>
      <c r="C505">
        <v>80</v>
      </c>
      <c r="D505">
        <v>79.949516295999999</v>
      </c>
      <c r="E505">
        <v>50</v>
      </c>
      <c r="F505">
        <v>14.999979973</v>
      </c>
      <c r="G505">
        <v>1340.9411620999999</v>
      </c>
      <c r="H505">
        <v>1338.4232178</v>
      </c>
      <c r="I505">
        <v>1320.3428954999999</v>
      </c>
      <c r="J505">
        <v>1315.7685547000001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67.611783000000003</v>
      </c>
      <c r="B506" s="1">
        <f>DATE(2010,7,7) + TIME(14,40,58)</f>
        <v>40366.61178240741</v>
      </c>
      <c r="C506">
        <v>80</v>
      </c>
      <c r="D506">
        <v>79.949523925999998</v>
      </c>
      <c r="E506">
        <v>50</v>
      </c>
      <c r="F506">
        <v>14.999995232</v>
      </c>
      <c r="G506">
        <v>1340.9379882999999</v>
      </c>
      <c r="H506">
        <v>1338.4206543</v>
      </c>
      <c r="I506">
        <v>1320.3441161999999</v>
      </c>
      <c r="J506">
        <v>1315.7694091999999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67.838280999999995</v>
      </c>
      <c r="B507" s="1">
        <f>DATE(2010,7,7) + TIME(20,7,7)</f>
        <v>40366.838275462964</v>
      </c>
      <c r="C507">
        <v>80</v>
      </c>
      <c r="D507">
        <v>79.949523925999998</v>
      </c>
      <c r="E507">
        <v>50</v>
      </c>
      <c r="F507">
        <v>15.000011444</v>
      </c>
      <c r="G507">
        <v>1340.9346923999999</v>
      </c>
      <c r="H507">
        <v>1338.4182129000001</v>
      </c>
      <c r="I507">
        <v>1320.3452147999999</v>
      </c>
      <c r="J507">
        <v>1315.7702637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68.064778000000004</v>
      </c>
      <c r="B508" s="1">
        <f>DATE(2010,7,8) + TIME(1,33,16)</f>
        <v>40367.064768518518</v>
      </c>
      <c r="C508">
        <v>80</v>
      </c>
      <c r="D508">
        <v>79.949531554999993</v>
      </c>
      <c r="E508">
        <v>50</v>
      </c>
      <c r="F508">
        <v>15.000029564</v>
      </c>
      <c r="G508">
        <v>1340.9315185999999</v>
      </c>
      <c r="H508">
        <v>1338.4156493999999</v>
      </c>
      <c r="I508">
        <v>1320.3464355000001</v>
      </c>
      <c r="J508">
        <v>1315.7709961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68.291275999999996</v>
      </c>
      <c r="B509" s="1">
        <f>DATE(2010,7,8) + TIME(6,59,26)</f>
        <v>40367.291273148148</v>
      </c>
      <c r="C509">
        <v>80</v>
      </c>
      <c r="D509">
        <v>79.949539185000006</v>
      </c>
      <c r="E509">
        <v>50</v>
      </c>
      <c r="F509">
        <v>15.000048637000001</v>
      </c>
      <c r="G509">
        <v>1340.9283447</v>
      </c>
      <c r="H509">
        <v>1338.4132079999999</v>
      </c>
      <c r="I509">
        <v>1320.3476562000001</v>
      </c>
      <c r="J509">
        <v>1315.7718506000001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68.517773000000005</v>
      </c>
      <c r="B510" s="1">
        <f>DATE(2010,7,8) + TIME(12,25,35)</f>
        <v>40367.517766203702</v>
      </c>
      <c r="C510">
        <v>80</v>
      </c>
      <c r="D510">
        <v>79.949539185000006</v>
      </c>
      <c r="E510">
        <v>50</v>
      </c>
      <c r="F510">
        <v>15.000068665000001</v>
      </c>
      <c r="G510">
        <v>1340.9251709</v>
      </c>
      <c r="H510">
        <v>1338.4106445</v>
      </c>
      <c r="I510">
        <v>1320.3488769999999</v>
      </c>
      <c r="J510">
        <v>1315.7727050999999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68.970768000000007</v>
      </c>
      <c r="B511" s="1">
        <f>DATE(2010,7,8) + TIME(23,17,54)</f>
        <v>40367.970763888887</v>
      </c>
      <c r="C511">
        <v>80</v>
      </c>
      <c r="D511">
        <v>79.949562072999996</v>
      </c>
      <c r="E511">
        <v>50</v>
      </c>
      <c r="F511">
        <v>15.000104904000001</v>
      </c>
      <c r="G511">
        <v>1340.9219971</v>
      </c>
      <c r="H511">
        <v>1338.4083252</v>
      </c>
      <c r="I511">
        <v>1320.3500977000001</v>
      </c>
      <c r="J511">
        <v>1315.7735596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69.424952000000005</v>
      </c>
      <c r="B512" s="1">
        <f>DATE(2010,7,9) + TIME(10,11,55)</f>
        <v>40368.424942129626</v>
      </c>
      <c r="C512">
        <v>80</v>
      </c>
      <c r="D512">
        <v>79.949577332000004</v>
      </c>
      <c r="E512">
        <v>50</v>
      </c>
      <c r="F512">
        <v>15.000148772999999</v>
      </c>
      <c r="G512">
        <v>1340.9156493999999</v>
      </c>
      <c r="H512">
        <v>1338.4034423999999</v>
      </c>
      <c r="I512">
        <v>1320.3524170000001</v>
      </c>
      <c r="J512">
        <v>1315.7752685999999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69.884567000000004</v>
      </c>
      <c r="B513" s="1">
        <f>DATE(2010,7,9) + TIME(21,13,46)</f>
        <v>40368.884560185186</v>
      </c>
      <c r="C513">
        <v>80</v>
      </c>
      <c r="D513">
        <v>79.949592589999995</v>
      </c>
      <c r="E513">
        <v>50</v>
      </c>
      <c r="F513">
        <v>15.000202179</v>
      </c>
      <c r="G513">
        <v>1340.9094238</v>
      </c>
      <c r="H513">
        <v>1338.3984375</v>
      </c>
      <c r="I513">
        <v>1320.3548584</v>
      </c>
      <c r="J513">
        <v>1315.7768555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70.350722000000005</v>
      </c>
      <c r="B514" s="1">
        <f>DATE(2010,7,10) + TIME(8,25,2)</f>
        <v>40369.350717592592</v>
      </c>
      <c r="C514">
        <v>80</v>
      </c>
      <c r="D514">
        <v>79.949600219999994</v>
      </c>
      <c r="E514">
        <v>50</v>
      </c>
      <c r="F514">
        <v>15.000266075000001</v>
      </c>
      <c r="G514">
        <v>1340.9030762</v>
      </c>
      <c r="H514">
        <v>1338.3935547000001</v>
      </c>
      <c r="I514">
        <v>1320.3574219</v>
      </c>
      <c r="J514">
        <v>1315.7785644999999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70.824618999999998</v>
      </c>
      <c r="B515" s="1">
        <f>DATE(2010,7,10) + TIME(19,47,27)</f>
        <v>40369.824618055558</v>
      </c>
      <c r="C515">
        <v>80</v>
      </c>
      <c r="D515">
        <v>79.949615479000002</v>
      </c>
      <c r="E515">
        <v>50</v>
      </c>
      <c r="F515">
        <v>15.000340462</v>
      </c>
      <c r="G515">
        <v>1340.8966064000001</v>
      </c>
      <c r="H515">
        <v>1338.3885498</v>
      </c>
      <c r="I515">
        <v>1320.3599853999999</v>
      </c>
      <c r="J515">
        <v>1315.7803954999999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71.302824999999999</v>
      </c>
      <c r="B516" s="1">
        <f>DATE(2010,7,11) + TIME(7,16,4)</f>
        <v>40370.302824074075</v>
      </c>
      <c r="C516">
        <v>80</v>
      </c>
      <c r="D516">
        <v>79.949630737000007</v>
      </c>
      <c r="E516">
        <v>50</v>
      </c>
      <c r="F516">
        <v>15.0004282</v>
      </c>
      <c r="G516">
        <v>1340.8902588000001</v>
      </c>
      <c r="H516">
        <v>1338.3835449000001</v>
      </c>
      <c r="I516">
        <v>1320.3626709</v>
      </c>
      <c r="J516">
        <v>1315.7822266000001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71.54468</v>
      </c>
      <c r="B517" s="1">
        <f>DATE(2010,7,11) + TIME(13,4,20)</f>
        <v>40370.544675925928</v>
      </c>
      <c r="C517">
        <v>80</v>
      </c>
      <c r="D517">
        <v>79.949630737000007</v>
      </c>
      <c r="E517">
        <v>50</v>
      </c>
      <c r="F517">
        <v>15.000492096</v>
      </c>
      <c r="G517">
        <v>1340.8836670000001</v>
      </c>
      <c r="H517">
        <v>1338.378418</v>
      </c>
      <c r="I517">
        <v>1320.3652344</v>
      </c>
      <c r="J517">
        <v>1315.7839355000001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71.786394999999999</v>
      </c>
      <c r="B518" s="1">
        <f>DATE(2010,7,11) + TIME(18,52,24)</f>
        <v>40370.78638888889</v>
      </c>
      <c r="C518">
        <v>80</v>
      </c>
      <c r="D518">
        <v>79.949630737000007</v>
      </c>
      <c r="E518">
        <v>50</v>
      </c>
      <c r="F518">
        <v>15.000557899</v>
      </c>
      <c r="G518">
        <v>1340.8803711</v>
      </c>
      <c r="H518">
        <v>1338.3758545000001</v>
      </c>
      <c r="I518">
        <v>1320.3666992000001</v>
      </c>
      <c r="J518">
        <v>1315.7849120999999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72.027392000000006</v>
      </c>
      <c r="B519" s="1">
        <f>DATE(2010,7,12) + TIME(0,39,26)</f>
        <v>40371.027384259258</v>
      </c>
      <c r="C519">
        <v>80</v>
      </c>
      <c r="D519">
        <v>79.949638367000006</v>
      </c>
      <c r="E519">
        <v>50</v>
      </c>
      <c r="F519">
        <v>15.000626563999999</v>
      </c>
      <c r="G519">
        <v>1340.8771973</v>
      </c>
      <c r="H519">
        <v>1338.3732910000001</v>
      </c>
      <c r="I519">
        <v>1320.3680420000001</v>
      </c>
      <c r="J519">
        <v>1315.7858887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72.267838999999995</v>
      </c>
      <c r="B520" s="1">
        <f>DATE(2010,7,12) + TIME(6,25,41)</f>
        <v>40371.267835648148</v>
      </c>
      <c r="C520">
        <v>80</v>
      </c>
      <c r="D520">
        <v>79.949645996000001</v>
      </c>
      <c r="E520">
        <v>50</v>
      </c>
      <c r="F520">
        <v>15.000699042999999</v>
      </c>
      <c r="G520">
        <v>1340.8740233999999</v>
      </c>
      <c r="H520">
        <v>1338.3708495999999</v>
      </c>
      <c r="I520">
        <v>1320.3695068</v>
      </c>
      <c r="J520">
        <v>1315.7868652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72.507906000000006</v>
      </c>
      <c r="B521" s="1">
        <f>DATE(2010,7,12) + TIME(12,11,23)</f>
        <v>40371.507905092592</v>
      </c>
      <c r="C521">
        <v>80</v>
      </c>
      <c r="D521">
        <v>79.949645996000001</v>
      </c>
      <c r="E521">
        <v>50</v>
      </c>
      <c r="F521">
        <v>15.000775337</v>
      </c>
      <c r="G521">
        <v>1340.8707274999999</v>
      </c>
      <c r="H521">
        <v>1338.3682861</v>
      </c>
      <c r="I521">
        <v>1320.3708495999999</v>
      </c>
      <c r="J521">
        <v>1315.7877197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72.747754</v>
      </c>
      <c r="B522" s="1">
        <f>DATE(2010,7,12) + TIME(17,56,45)</f>
        <v>40371.747743055559</v>
      </c>
      <c r="C522">
        <v>80</v>
      </c>
      <c r="D522">
        <v>79.949653624999996</v>
      </c>
      <c r="E522">
        <v>50</v>
      </c>
      <c r="F522">
        <v>15.0008564</v>
      </c>
      <c r="G522">
        <v>1340.8675536999999</v>
      </c>
      <c r="H522">
        <v>1338.3658447</v>
      </c>
      <c r="I522">
        <v>1320.3723144999999</v>
      </c>
      <c r="J522">
        <v>1315.7886963000001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72.987547000000006</v>
      </c>
      <c r="B523" s="1">
        <f>DATE(2010,7,12) + TIME(23,42,4)</f>
        <v>40371.987546296295</v>
      </c>
      <c r="C523">
        <v>80</v>
      </c>
      <c r="D523">
        <v>79.949661254999995</v>
      </c>
      <c r="E523">
        <v>50</v>
      </c>
      <c r="F523">
        <v>15.000944137999999</v>
      </c>
      <c r="G523">
        <v>1340.8645019999999</v>
      </c>
      <c r="H523">
        <v>1338.3632812000001</v>
      </c>
      <c r="I523">
        <v>1320.3736572</v>
      </c>
      <c r="J523">
        <v>1315.7896728999999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73.227339000000001</v>
      </c>
      <c r="B524" s="1">
        <f>DATE(2010,7,13) + TIME(5,27,22)</f>
        <v>40372.227337962962</v>
      </c>
      <c r="C524">
        <v>80</v>
      </c>
      <c r="D524">
        <v>79.949668884000005</v>
      </c>
      <c r="E524">
        <v>50</v>
      </c>
      <c r="F524">
        <v>15.001036643999999</v>
      </c>
      <c r="G524">
        <v>1340.8613281</v>
      </c>
      <c r="H524">
        <v>1338.3608397999999</v>
      </c>
      <c r="I524">
        <v>1320.3751221</v>
      </c>
      <c r="J524">
        <v>1315.7906493999999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73.467132000000007</v>
      </c>
      <c r="B525" s="1">
        <f>DATE(2010,7,13) + TIME(11,12,40)</f>
        <v>40372.467129629629</v>
      </c>
      <c r="C525">
        <v>80</v>
      </c>
      <c r="D525">
        <v>79.949676514000004</v>
      </c>
      <c r="E525">
        <v>50</v>
      </c>
      <c r="F525">
        <v>15.001135826000001</v>
      </c>
      <c r="G525">
        <v>1340.8581543</v>
      </c>
      <c r="H525">
        <v>1338.3583983999999</v>
      </c>
      <c r="I525">
        <v>1320.3765868999999</v>
      </c>
      <c r="J525">
        <v>1315.791626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73.706924000000001</v>
      </c>
      <c r="B526" s="1">
        <f>DATE(2010,7,13) + TIME(16,57,58)</f>
        <v>40372.706921296296</v>
      </c>
      <c r="C526">
        <v>80</v>
      </c>
      <c r="D526">
        <v>79.949684142999999</v>
      </c>
      <c r="E526">
        <v>50</v>
      </c>
      <c r="F526">
        <v>15.001242638000001</v>
      </c>
      <c r="G526">
        <v>1340.8549805</v>
      </c>
      <c r="H526">
        <v>1338.355957</v>
      </c>
      <c r="I526">
        <v>1320.3779297000001</v>
      </c>
      <c r="J526">
        <v>1315.7926024999999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73.946717000000007</v>
      </c>
      <c r="B527" s="1">
        <f>DATE(2010,7,13) + TIME(22,43,16)</f>
        <v>40372.946712962963</v>
      </c>
      <c r="C527">
        <v>80</v>
      </c>
      <c r="D527">
        <v>79.949691771999994</v>
      </c>
      <c r="E527">
        <v>50</v>
      </c>
      <c r="F527">
        <v>15.001357079</v>
      </c>
      <c r="G527">
        <v>1340.8519286999999</v>
      </c>
      <c r="H527">
        <v>1338.3535156</v>
      </c>
      <c r="I527">
        <v>1320.3793945</v>
      </c>
      <c r="J527">
        <v>1315.7935791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74.186509000000001</v>
      </c>
      <c r="B528" s="1">
        <f>DATE(2010,7,14) + TIME(4,28,34)</f>
        <v>40373.18650462963</v>
      </c>
      <c r="C528">
        <v>80</v>
      </c>
      <c r="D528">
        <v>79.949699401999993</v>
      </c>
      <c r="E528">
        <v>50</v>
      </c>
      <c r="F528">
        <v>15.001480103</v>
      </c>
      <c r="G528">
        <v>1340.8487548999999</v>
      </c>
      <c r="H528">
        <v>1338.3510742000001</v>
      </c>
      <c r="I528">
        <v>1320.3808594</v>
      </c>
      <c r="J528">
        <v>1315.7945557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74.426300999999995</v>
      </c>
      <c r="B529" s="1">
        <f>DATE(2010,7,14) + TIME(10,13,52)</f>
        <v>40373.426296296297</v>
      </c>
      <c r="C529">
        <v>80</v>
      </c>
      <c r="D529">
        <v>79.949707031000003</v>
      </c>
      <c r="E529">
        <v>50</v>
      </c>
      <c r="F529">
        <v>15.001611710000001</v>
      </c>
      <c r="G529">
        <v>1340.8457031</v>
      </c>
      <c r="H529">
        <v>1338.3486327999999</v>
      </c>
      <c r="I529">
        <v>1320.3823242000001</v>
      </c>
      <c r="J529">
        <v>1315.7955322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74.905885999999995</v>
      </c>
      <c r="B530" s="1">
        <f>DATE(2010,7,14) + TIME(21,44,28)</f>
        <v>40373.90587962963</v>
      </c>
      <c r="C530">
        <v>80</v>
      </c>
      <c r="D530">
        <v>79.949722289999997</v>
      </c>
      <c r="E530">
        <v>50</v>
      </c>
      <c r="F530">
        <v>15.001839638</v>
      </c>
      <c r="G530">
        <v>1340.8426514</v>
      </c>
      <c r="H530">
        <v>1338.3463135</v>
      </c>
      <c r="I530">
        <v>1320.3839111</v>
      </c>
      <c r="J530">
        <v>1315.7965088000001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75.385859999999994</v>
      </c>
      <c r="B531" s="1">
        <f>DATE(2010,7,15) + TIME(9,15,38)</f>
        <v>40374.38585648148</v>
      </c>
      <c r="C531">
        <v>80</v>
      </c>
      <c r="D531">
        <v>79.949745178000001</v>
      </c>
      <c r="E531">
        <v>50</v>
      </c>
      <c r="F531">
        <v>15.002121925000001</v>
      </c>
      <c r="G531">
        <v>1340.8365478999999</v>
      </c>
      <c r="H531">
        <v>1338.3414307</v>
      </c>
      <c r="I531">
        <v>1320.3868408000001</v>
      </c>
      <c r="J531">
        <v>1315.7984618999999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75.871517999999995</v>
      </c>
      <c r="B532" s="1">
        <f>DATE(2010,7,15) + TIME(20,54,59)</f>
        <v>40374.871516203704</v>
      </c>
      <c r="C532">
        <v>80</v>
      </c>
      <c r="D532">
        <v>79.949760436999995</v>
      </c>
      <c r="E532">
        <v>50</v>
      </c>
      <c r="F532">
        <v>15.002461433000001</v>
      </c>
      <c r="G532">
        <v>1340.8304443</v>
      </c>
      <c r="H532">
        <v>1338.3366699000001</v>
      </c>
      <c r="I532">
        <v>1320.3898925999999</v>
      </c>
      <c r="J532">
        <v>1315.8005370999999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76.364020999999994</v>
      </c>
      <c r="B533" s="1">
        <f>DATE(2010,7,16) + TIME(8,44,11)</f>
        <v>40375.364016203705</v>
      </c>
      <c r="C533">
        <v>80</v>
      </c>
      <c r="D533">
        <v>79.949775696000003</v>
      </c>
      <c r="E533">
        <v>50</v>
      </c>
      <c r="F533">
        <v>15.002861977</v>
      </c>
      <c r="G533">
        <v>1340.8242187999999</v>
      </c>
      <c r="H533">
        <v>1338.3317870999999</v>
      </c>
      <c r="I533">
        <v>1320.3930664</v>
      </c>
      <c r="J533">
        <v>1315.8026123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76.864637000000002</v>
      </c>
      <c r="B534" s="1">
        <f>DATE(2010,7,16) + TIME(20,45,4)</f>
        <v>40375.864629629628</v>
      </c>
      <c r="C534">
        <v>80</v>
      </c>
      <c r="D534">
        <v>79.949790954999997</v>
      </c>
      <c r="E534">
        <v>50</v>
      </c>
      <c r="F534">
        <v>15.003333092</v>
      </c>
      <c r="G534">
        <v>1340.8181152</v>
      </c>
      <c r="H534">
        <v>1338.3270264</v>
      </c>
      <c r="I534">
        <v>1320.3962402</v>
      </c>
      <c r="J534">
        <v>1315.8046875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77.370143999999996</v>
      </c>
      <c r="B535" s="1">
        <f>DATE(2010,7,17) + TIME(8,53,0)</f>
        <v>40376.370138888888</v>
      </c>
      <c r="C535">
        <v>80</v>
      </c>
      <c r="D535">
        <v>79.949806213000002</v>
      </c>
      <c r="E535">
        <v>50</v>
      </c>
      <c r="F535">
        <v>15.003882408000001</v>
      </c>
      <c r="G535">
        <v>1340.8118896000001</v>
      </c>
      <c r="H535">
        <v>1338.3220214999999</v>
      </c>
      <c r="I535">
        <v>1320.3995361</v>
      </c>
      <c r="J535">
        <v>1315.8068848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77.625538000000006</v>
      </c>
      <c r="B536" s="1">
        <f>DATE(2010,7,17) + TIME(15,0,46)</f>
        <v>40376.625532407408</v>
      </c>
      <c r="C536">
        <v>80</v>
      </c>
      <c r="D536">
        <v>79.949813843000001</v>
      </c>
      <c r="E536">
        <v>50</v>
      </c>
      <c r="F536">
        <v>15.004282951</v>
      </c>
      <c r="G536">
        <v>1340.8055420000001</v>
      </c>
      <c r="H536">
        <v>1338.3171387</v>
      </c>
      <c r="I536">
        <v>1320.4029541</v>
      </c>
      <c r="J536">
        <v>1315.809082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77.880932999999999</v>
      </c>
      <c r="B537" s="1">
        <f>DATE(2010,7,17) + TIME(21,8,32)</f>
        <v>40376.880925925929</v>
      </c>
      <c r="C537">
        <v>80</v>
      </c>
      <c r="D537">
        <v>79.949813843000001</v>
      </c>
      <c r="E537">
        <v>50</v>
      </c>
      <c r="F537">
        <v>15.004694939</v>
      </c>
      <c r="G537">
        <v>1340.8023682</v>
      </c>
      <c r="H537">
        <v>1338.3145752</v>
      </c>
      <c r="I537">
        <v>1320.4046631000001</v>
      </c>
      <c r="J537">
        <v>1315.8101807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78.136326999999994</v>
      </c>
      <c r="B538" s="1">
        <f>DATE(2010,7,18) + TIME(3,16,18)</f>
        <v>40377.136319444442</v>
      </c>
      <c r="C538">
        <v>80</v>
      </c>
      <c r="D538">
        <v>79.949821471999996</v>
      </c>
      <c r="E538">
        <v>50</v>
      </c>
      <c r="F538">
        <v>15.005122184999999</v>
      </c>
      <c r="G538">
        <v>1340.7991943</v>
      </c>
      <c r="H538">
        <v>1338.3121338000001</v>
      </c>
      <c r="I538">
        <v>1320.4064940999999</v>
      </c>
      <c r="J538">
        <v>1315.8114014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78.391226000000003</v>
      </c>
      <c r="B539" s="1">
        <f>DATE(2010,7,18) + TIME(9,23,21)</f>
        <v>40377.391215277778</v>
      </c>
      <c r="C539">
        <v>80</v>
      </c>
      <c r="D539">
        <v>79.949829101999995</v>
      </c>
      <c r="E539">
        <v>50</v>
      </c>
      <c r="F539">
        <v>15.005569458</v>
      </c>
      <c r="G539">
        <v>1340.7961425999999</v>
      </c>
      <c r="H539">
        <v>1338.3096923999999</v>
      </c>
      <c r="I539">
        <v>1320.4082031</v>
      </c>
      <c r="J539">
        <v>1315.8125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78.645712000000003</v>
      </c>
      <c r="B540" s="1">
        <f>DATE(2010,7,18) + TIME(15,29,49)</f>
        <v>40377.64570601852</v>
      </c>
      <c r="C540">
        <v>80</v>
      </c>
      <c r="D540">
        <v>79.949836731000005</v>
      </c>
      <c r="E540">
        <v>50</v>
      </c>
      <c r="F540">
        <v>15.006041527000001</v>
      </c>
      <c r="G540">
        <v>1340.7929687999999</v>
      </c>
      <c r="H540">
        <v>1338.3071289</v>
      </c>
      <c r="I540">
        <v>1320.4100341999999</v>
      </c>
      <c r="J540">
        <v>1315.8137207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78.899952999999996</v>
      </c>
      <c r="B541" s="1">
        <f>DATE(2010,7,18) + TIME(21,35,55)</f>
        <v>40377.899942129632</v>
      </c>
      <c r="C541">
        <v>80</v>
      </c>
      <c r="D541">
        <v>79.94984436</v>
      </c>
      <c r="E541">
        <v>50</v>
      </c>
      <c r="F541">
        <v>15.006541252</v>
      </c>
      <c r="G541">
        <v>1340.7899170000001</v>
      </c>
      <c r="H541">
        <v>1338.3046875</v>
      </c>
      <c r="I541">
        <v>1320.4118652</v>
      </c>
      <c r="J541">
        <v>1315.8148193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79.154115000000004</v>
      </c>
      <c r="B542" s="1">
        <f>DATE(2010,7,19) + TIME(3,41,55)</f>
        <v>40378.154108796298</v>
      </c>
      <c r="C542">
        <v>80</v>
      </c>
      <c r="D542">
        <v>79.949851989999999</v>
      </c>
      <c r="E542">
        <v>50</v>
      </c>
      <c r="F542">
        <v>15.007072449000001</v>
      </c>
      <c r="G542">
        <v>1340.7868652</v>
      </c>
      <c r="H542">
        <v>1338.3023682</v>
      </c>
      <c r="I542">
        <v>1320.4136963000001</v>
      </c>
      <c r="J542">
        <v>1315.8160399999999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79.408276000000001</v>
      </c>
      <c r="B543" s="1">
        <f>DATE(2010,7,19) + TIME(9,47,55)</f>
        <v>40378.408275462964</v>
      </c>
      <c r="C543">
        <v>80</v>
      </c>
      <c r="D543">
        <v>79.949867248999993</v>
      </c>
      <c r="E543">
        <v>50</v>
      </c>
      <c r="F543">
        <v>15.007639885</v>
      </c>
      <c r="G543">
        <v>1340.7838135</v>
      </c>
      <c r="H543">
        <v>1338.2999268000001</v>
      </c>
      <c r="I543">
        <v>1320.4155272999999</v>
      </c>
      <c r="J543">
        <v>1315.8172606999999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79.662437999999995</v>
      </c>
      <c r="B544" s="1">
        <f>DATE(2010,7,19) + TIME(15,53,54)</f>
        <v>40378.662430555552</v>
      </c>
      <c r="C544">
        <v>80</v>
      </c>
      <c r="D544">
        <v>79.949874878000003</v>
      </c>
      <c r="E544">
        <v>50</v>
      </c>
      <c r="F544">
        <v>15.008244513999999</v>
      </c>
      <c r="G544">
        <v>1340.7806396000001</v>
      </c>
      <c r="H544">
        <v>1338.2974853999999</v>
      </c>
      <c r="I544">
        <v>1320.4173584</v>
      </c>
      <c r="J544">
        <v>1315.8183594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79.916600000000003</v>
      </c>
      <c r="B545" s="1">
        <f>DATE(2010,7,19) + TIME(21,59,54)</f>
        <v>40378.916597222225</v>
      </c>
      <c r="C545">
        <v>80</v>
      </c>
      <c r="D545">
        <v>79.949882506999998</v>
      </c>
      <c r="E545">
        <v>50</v>
      </c>
      <c r="F545">
        <v>15.008890151999999</v>
      </c>
      <c r="G545">
        <v>1340.7777100000001</v>
      </c>
      <c r="H545">
        <v>1338.2950439000001</v>
      </c>
      <c r="I545">
        <v>1320.4191894999999</v>
      </c>
      <c r="J545">
        <v>1315.8195800999999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80.170760999999999</v>
      </c>
      <c r="B546" s="1">
        <f>DATE(2010,7,20) + TIME(4,5,53)</f>
        <v>40379.170752314814</v>
      </c>
      <c r="C546">
        <v>80</v>
      </c>
      <c r="D546">
        <v>79.949890136999997</v>
      </c>
      <c r="E546">
        <v>50</v>
      </c>
      <c r="F546">
        <v>15.009580612000001</v>
      </c>
      <c r="G546">
        <v>1340.7746582</v>
      </c>
      <c r="H546">
        <v>1338.2926024999999</v>
      </c>
      <c r="I546">
        <v>1320.4211425999999</v>
      </c>
      <c r="J546">
        <v>1315.8208007999999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80.424923000000007</v>
      </c>
      <c r="B547" s="1">
        <f>DATE(2010,7,20) + TIME(10,11,53)</f>
        <v>40379.42491898148</v>
      </c>
      <c r="C547">
        <v>80</v>
      </c>
      <c r="D547">
        <v>79.949897766000007</v>
      </c>
      <c r="E547">
        <v>50</v>
      </c>
      <c r="F547">
        <v>15.010318756</v>
      </c>
      <c r="G547">
        <v>1340.7716064000001</v>
      </c>
      <c r="H547">
        <v>1338.2902832</v>
      </c>
      <c r="I547">
        <v>1320.4229736</v>
      </c>
      <c r="J547">
        <v>1315.8220214999999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80.679085000000001</v>
      </c>
      <c r="B548" s="1">
        <f>DATE(2010,7,20) + TIME(16,17,52)</f>
        <v>40379.679074074076</v>
      </c>
      <c r="C548">
        <v>80</v>
      </c>
      <c r="D548">
        <v>79.949905396000005</v>
      </c>
      <c r="E548">
        <v>50</v>
      </c>
      <c r="F548">
        <v>15.011108397999999</v>
      </c>
      <c r="G548">
        <v>1340.7685547000001</v>
      </c>
      <c r="H548">
        <v>1338.2878418</v>
      </c>
      <c r="I548">
        <v>1320.4249268000001</v>
      </c>
      <c r="J548">
        <v>1315.8232422000001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81.187408000000005</v>
      </c>
      <c r="B549" s="1">
        <f>DATE(2010,7,21) + TIME(4,29,52)</f>
        <v>40380.187407407408</v>
      </c>
      <c r="C549">
        <v>80</v>
      </c>
      <c r="D549">
        <v>79.949935913000004</v>
      </c>
      <c r="E549">
        <v>50</v>
      </c>
      <c r="F549">
        <v>15.012457848</v>
      </c>
      <c r="G549">
        <v>1340.765625</v>
      </c>
      <c r="H549">
        <v>1338.2855225000001</v>
      </c>
      <c r="I549">
        <v>1320.4268798999999</v>
      </c>
      <c r="J549">
        <v>1315.8245850000001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81.697291000000007</v>
      </c>
      <c r="B550" s="1">
        <f>DATE(2010,7,21) + TIME(16,44,5)</f>
        <v>40380.697280092594</v>
      </c>
      <c r="C550">
        <v>80</v>
      </c>
      <c r="D550">
        <v>79.949951171999999</v>
      </c>
      <c r="E550">
        <v>50</v>
      </c>
      <c r="F550">
        <v>15.014133452999999</v>
      </c>
      <c r="G550">
        <v>1340.7596435999999</v>
      </c>
      <c r="H550">
        <v>1338.2808838000001</v>
      </c>
      <c r="I550">
        <v>1320.4307861</v>
      </c>
      <c r="J550">
        <v>1315.8270264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82.213813000000002</v>
      </c>
      <c r="B551" s="1">
        <f>DATE(2010,7,22) + TIME(5,7,53)</f>
        <v>40381.213807870372</v>
      </c>
      <c r="C551">
        <v>80</v>
      </c>
      <c r="D551">
        <v>79.949974060000002</v>
      </c>
      <c r="E551">
        <v>50</v>
      </c>
      <c r="F551">
        <v>15.01613903</v>
      </c>
      <c r="G551">
        <v>1340.7536620999999</v>
      </c>
      <c r="H551">
        <v>1338.2761230000001</v>
      </c>
      <c r="I551">
        <v>1320.4348144999999</v>
      </c>
      <c r="J551">
        <v>1315.8295897999999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82.738270999999997</v>
      </c>
      <c r="B552" s="1">
        <f>DATE(2010,7,22) + TIME(17,43,6)</f>
        <v>40381.738263888888</v>
      </c>
      <c r="C552">
        <v>80</v>
      </c>
      <c r="D552">
        <v>79.949996948000006</v>
      </c>
      <c r="E552">
        <v>50</v>
      </c>
      <c r="F552">
        <v>15.018499373999999</v>
      </c>
      <c r="G552">
        <v>1340.7476807</v>
      </c>
      <c r="H552">
        <v>1338.2713623</v>
      </c>
      <c r="I552">
        <v>1320.4389647999999</v>
      </c>
      <c r="J552">
        <v>1315.8321533000001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83.269379000000001</v>
      </c>
      <c r="B553" s="1">
        <f>DATE(2010,7,23) + TIME(6,27,54)</f>
        <v>40382.269375000003</v>
      </c>
      <c r="C553">
        <v>80</v>
      </c>
      <c r="D553">
        <v>79.950012207</v>
      </c>
      <c r="E553">
        <v>50</v>
      </c>
      <c r="F553">
        <v>15.021251678</v>
      </c>
      <c r="G553">
        <v>1340.7415771000001</v>
      </c>
      <c r="H553">
        <v>1338.2664795000001</v>
      </c>
      <c r="I553">
        <v>1320.4432373</v>
      </c>
      <c r="J553">
        <v>1315.8349608999999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83.804508999999996</v>
      </c>
      <c r="B554" s="1">
        <f>DATE(2010,7,23) + TIME(19,18,29)</f>
        <v>40382.804502314815</v>
      </c>
      <c r="C554">
        <v>80</v>
      </c>
      <c r="D554">
        <v>79.950035095000004</v>
      </c>
      <c r="E554">
        <v>50</v>
      </c>
      <c r="F554">
        <v>15.024435043</v>
      </c>
      <c r="G554">
        <v>1340.7354736</v>
      </c>
      <c r="H554">
        <v>1338.2617187999999</v>
      </c>
      <c r="I554">
        <v>1320.4477539</v>
      </c>
      <c r="J554">
        <v>1315.8377685999999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84.344303999999994</v>
      </c>
      <c r="B555" s="1">
        <f>DATE(2010,7,24) + TIME(8,15,47)</f>
        <v>40383.344293981485</v>
      </c>
      <c r="C555">
        <v>80</v>
      </c>
      <c r="D555">
        <v>79.950050353999998</v>
      </c>
      <c r="E555">
        <v>50</v>
      </c>
      <c r="F555">
        <v>15.028108596999999</v>
      </c>
      <c r="G555">
        <v>1340.7293701000001</v>
      </c>
      <c r="H555">
        <v>1338.2568358999999</v>
      </c>
      <c r="I555">
        <v>1320.4522704999999</v>
      </c>
      <c r="J555">
        <v>1315.8405762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84.615368000000004</v>
      </c>
      <c r="B556" s="1">
        <f>DATE(2010,7,24) + TIME(14,46,7)</f>
        <v>40383.615358796298</v>
      </c>
      <c r="C556">
        <v>80</v>
      </c>
      <c r="D556">
        <v>79.950057982999994</v>
      </c>
      <c r="E556">
        <v>50</v>
      </c>
      <c r="F556">
        <v>15.030776978</v>
      </c>
      <c r="G556">
        <v>1340.7232666</v>
      </c>
      <c r="H556">
        <v>1338.2519531</v>
      </c>
      <c r="I556">
        <v>1320.4570312000001</v>
      </c>
      <c r="J556">
        <v>1315.8435059000001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84.885900000000007</v>
      </c>
      <c r="B557" s="1">
        <f>DATE(2010,7,24) + TIME(21,15,41)</f>
        <v>40383.885891203703</v>
      </c>
      <c r="C557">
        <v>80</v>
      </c>
      <c r="D557">
        <v>79.950065613000007</v>
      </c>
      <c r="E557">
        <v>50</v>
      </c>
      <c r="F557">
        <v>15.033485412999999</v>
      </c>
      <c r="G557">
        <v>1340.7202147999999</v>
      </c>
      <c r="H557">
        <v>1338.2495117000001</v>
      </c>
      <c r="I557">
        <v>1320.4594727000001</v>
      </c>
      <c r="J557">
        <v>1315.8449707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85.156031999999996</v>
      </c>
      <c r="B558" s="1">
        <f>DATE(2010,7,25) + TIME(3,44,41)</f>
        <v>40384.156030092592</v>
      </c>
      <c r="C558">
        <v>80</v>
      </c>
      <c r="D558">
        <v>79.950073242000002</v>
      </c>
      <c r="E558">
        <v>50</v>
      </c>
      <c r="F558">
        <v>15.036273956</v>
      </c>
      <c r="G558">
        <v>1340.7171631000001</v>
      </c>
      <c r="H558">
        <v>1338.2470702999999</v>
      </c>
      <c r="I558">
        <v>1320.4619141000001</v>
      </c>
      <c r="J558">
        <v>1315.8465576000001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85.425956999999997</v>
      </c>
      <c r="B559" s="1">
        <f>DATE(2010,7,25) + TIME(10,13,22)</f>
        <v>40384.425949074073</v>
      </c>
      <c r="C559">
        <v>80</v>
      </c>
      <c r="D559">
        <v>79.950080872000001</v>
      </c>
      <c r="E559">
        <v>50</v>
      </c>
      <c r="F559">
        <v>15.039176940999999</v>
      </c>
      <c r="G559">
        <v>1340.7141113</v>
      </c>
      <c r="H559">
        <v>1338.2446289</v>
      </c>
      <c r="I559">
        <v>1320.4643555</v>
      </c>
      <c r="J559">
        <v>1315.8481445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85.695865999999995</v>
      </c>
      <c r="B560" s="1">
        <f>DATE(2010,7,25) + TIME(16,42,2)</f>
        <v>40384.695856481485</v>
      </c>
      <c r="C560">
        <v>80</v>
      </c>
      <c r="D560">
        <v>79.950096130000006</v>
      </c>
      <c r="E560">
        <v>50</v>
      </c>
      <c r="F560">
        <v>15.042222023000001</v>
      </c>
      <c r="G560">
        <v>1340.7111815999999</v>
      </c>
      <c r="H560">
        <v>1338.2423096</v>
      </c>
      <c r="I560">
        <v>1320.4669189000001</v>
      </c>
      <c r="J560">
        <v>1315.8497314000001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85.965773999999996</v>
      </c>
      <c r="B561" s="1">
        <f>DATE(2010,7,25) + TIME(23,10,42)</f>
        <v>40384.965763888889</v>
      </c>
      <c r="C561">
        <v>80</v>
      </c>
      <c r="D561">
        <v>79.950103760000005</v>
      </c>
      <c r="E561">
        <v>50</v>
      </c>
      <c r="F561">
        <v>15.045433998</v>
      </c>
      <c r="G561">
        <v>1340.7081298999999</v>
      </c>
      <c r="H561">
        <v>1338.2398682</v>
      </c>
      <c r="I561">
        <v>1320.4694824000001</v>
      </c>
      <c r="J561">
        <v>1315.8513184000001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86.235682999999995</v>
      </c>
      <c r="B562" s="1">
        <f>DATE(2010,7,26) + TIME(5,39,23)</f>
        <v>40385.235682870371</v>
      </c>
      <c r="C562">
        <v>80</v>
      </c>
      <c r="D562">
        <v>79.950111389</v>
      </c>
      <c r="E562">
        <v>50</v>
      </c>
      <c r="F562">
        <v>15.048832893</v>
      </c>
      <c r="G562">
        <v>1340.7050781</v>
      </c>
      <c r="H562">
        <v>1338.2375488</v>
      </c>
      <c r="I562">
        <v>1320.4720459</v>
      </c>
      <c r="J562">
        <v>1315.8529053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86.505591999999993</v>
      </c>
      <c r="B563" s="1">
        <f>DATE(2010,7,26) + TIME(12,8,3)</f>
        <v>40385.505590277775</v>
      </c>
      <c r="C563">
        <v>80</v>
      </c>
      <c r="D563">
        <v>79.950119018999999</v>
      </c>
      <c r="E563">
        <v>50</v>
      </c>
      <c r="F563">
        <v>15.052438735999999</v>
      </c>
      <c r="G563">
        <v>1340.7021483999999</v>
      </c>
      <c r="H563">
        <v>1338.2351074000001</v>
      </c>
      <c r="I563">
        <v>1320.4746094</v>
      </c>
      <c r="J563">
        <v>1315.8544922000001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86.775499999999994</v>
      </c>
      <c r="B564" s="1">
        <f>DATE(2010,7,26) + TIME(18,36,43)</f>
        <v>40385.775497685187</v>
      </c>
      <c r="C564">
        <v>80</v>
      </c>
      <c r="D564">
        <v>79.950134277000004</v>
      </c>
      <c r="E564">
        <v>50</v>
      </c>
      <c r="F564">
        <v>15.056270598999999</v>
      </c>
      <c r="G564">
        <v>1340.6992187999999</v>
      </c>
      <c r="H564">
        <v>1338.2327881000001</v>
      </c>
      <c r="I564">
        <v>1320.4772949000001</v>
      </c>
      <c r="J564">
        <v>1315.8562012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87.045409000000006</v>
      </c>
      <c r="B565" s="1">
        <f>DATE(2010,7,27) + TIME(1,5,23)</f>
        <v>40386.045405092591</v>
      </c>
      <c r="C565">
        <v>80</v>
      </c>
      <c r="D565">
        <v>79.950141907000003</v>
      </c>
      <c r="E565">
        <v>50</v>
      </c>
      <c r="F565">
        <v>15.060346602999999</v>
      </c>
      <c r="G565">
        <v>1340.6961670000001</v>
      </c>
      <c r="H565">
        <v>1338.2303466999999</v>
      </c>
      <c r="I565">
        <v>1320.4798584</v>
      </c>
      <c r="J565">
        <v>1315.8579102000001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87.585226000000006</v>
      </c>
      <c r="B566" s="1">
        <f>DATE(2010,7,27) + TIME(14,2,43)</f>
        <v>40386.585219907407</v>
      </c>
      <c r="C566">
        <v>80</v>
      </c>
      <c r="D566">
        <v>79.950172424000002</v>
      </c>
      <c r="E566">
        <v>50</v>
      </c>
      <c r="F566">
        <v>15.067209244000001</v>
      </c>
      <c r="G566">
        <v>1340.6933594</v>
      </c>
      <c r="H566">
        <v>1338.2281493999999</v>
      </c>
      <c r="I566">
        <v>1320.4825439000001</v>
      </c>
      <c r="J566">
        <v>1315.8596190999999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88.125781000000003</v>
      </c>
      <c r="B567" s="1">
        <f>DATE(2010,7,28) + TIME(3,1,7)</f>
        <v>40387.125775462962</v>
      </c>
      <c r="C567">
        <v>80</v>
      </c>
      <c r="D567">
        <v>79.950195312000005</v>
      </c>
      <c r="E567">
        <v>50</v>
      </c>
      <c r="F567">
        <v>15.075723648</v>
      </c>
      <c r="G567">
        <v>1340.6875</v>
      </c>
      <c r="H567">
        <v>1338.2233887</v>
      </c>
      <c r="I567">
        <v>1320.4880370999999</v>
      </c>
      <c r="J567">
        <v>1315.8630370999999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88.672706000000005</v>
      </c>
      <c r="B568" s="1">
        <f>DATE(2010,7,28) + TIME(16,8,41)</f>
        <v>40387.672696759262</v>
      </c>
      <c r="C568">
        <v>80</v>
      </c>
      <c r="D568">
        <v>79.950218200999998</v>
      </c>
      <c r="E568">
        <v>50</v>
      </c>
      <c r="F568">
        <v>15.085857390999999</v>
      </c>
      <c r="G568">
        <v>1340.6816406</v>
      </c>
      <c r="H568">
        <v>1338.21875</v>
      </c>
      <c r="I568">
        <v>1320.4936522999999</v>
      </c>
      <c r="J568">
        <v>1315.8665771000001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89.227400000000003</v>
      </c>
      <c r="B569" s="1">
        <f>DATE(2010,7,29) + TIME(5,27,27)</f>
        <v>40388.227395833332</v>
      </c>
      <c r="C569">
        <v>80</v>
      </c>
      <c r="D569">
        <v>79.950241089000002</v>
      </c>
      <c r="E569">
        <v>50</v>
      </c>
      <c r="F569">
        <v>15.097702026</v>
      </c>
      <c r="G569">
        <v>1340.6756591999999</v>
      </c>
      <c r="H569">
        <v>1338.2139893000001</v>
      </c>
      <c r="I569">
        <v>1320.4995117000001</v>
      </c>
      <c r="J569">
        <v>1315.8702393000001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89.788487000000003</v>
      </c>
      <c r="B570" s="1">
        <f>DATE(2010,7,29) + TIME(18,55,25)</f>
        <v>40388.788483796299</v>
      </c>
      <c r="C570">
        <v>80</v>
      </c>
      <c r="D570">
        <v>79.950263977000006</v>
      </c>
      <c r="E570">
        <v>50</v>
      </c>
      <c r="F570">
        <v>15.111401558000001</v>
      </c>
      <c r="G570">
        <v>1340.6697998</v>
      </c>
      <c r="H570">
        <v>1338.2092285000001</v>
      </c>
      <c r="I570">
        <v>1320.5056152</v>
      </c>
      <c r="J570">
        <v>1315.8740233999999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90.352318999999994</v>
      </c>
      <c r="B571" s="1">
        <f>DATE(2010,7,30) + TIME(8,27,20)</f>
        <v>40389.352314814816</v>
      </c>
      <c r="C571">
        <v>80</v>
      </c>
      <c r="D571">
        <v>79.950286864999995</v>
      </c>
      <c r="E571">
        <v>50</v>
      </c>
      <c r="F571">
        <v>15.127110481000001</v>
      </c>
      <c r="G571">
        <v>1340.6638184000001</v>
      </c>
      <c r="H571">
        <v>1338.2044678</v>
      </c>
      <c r="I571">
        <v>1320.5119629000001</v>
      </c>
      <c r="J571">
        <v>1315.8780518000001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90.917207000000005</v>
      </c>
      <c r="B572" s="1">
        <f>DATE(2010,7,30) + TIME(22,0,46)</f>
        <v>40389.917199074072</v>
      </c>
      <c r="C572">
        <v>80</v>
      </c>
      <c r="D572">
        <v>79.950309752999999</v>
      </c>
      <c r="E572">
        <v>50</v>
      </c>
      <c r="F572">
        <v>15.145015717</v>
      </c>
      <c r="G572">
        <v>1340.6578368999999</v>
      </c>
      <c r="H572">
        <v>1338.199707</v>
      </c>
      <c r="I572">
        <v>1320.5184326000001</v>
      </c>
      <c r="J572">
        <v>1315.8822021000001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91.484716000000006</v>
      </c>
      <c r="B573" s="1">
        <f>DATE(2010,7,31) + TIME(11,37,59)</f>
        <v>40390.484710648147</v>
      </c>
      <c r="C573">
        <v>80</v>
      </c>
      <c r="D573">
        <v>79.950332642000006</v>
      </c>
      <c r="E573">
        <v>50</v>
      </c>
      <c r="F573">
        <v>15.165390015</v>
      </c>
      <c r="G573">
        <v>1340.6518555</v>
      </c>
      <c r="H573">
        <v>1338.1949463000001</v>
      </c>
      <c r="I573">
        <v>1320.5251464999999</v>
      </c>
      <c r="J573">
        <v>1315.8865966999999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92</v>
      </c>
      <c r="B574" s="1">
        <f>DATE(2010,8,1) + TIME(0,0,0)</f>
        <v>40391</v>
      </c>
      <c r="C574">
        <v>80</v>
      </c>
      <c r="D574">
        <v>79.950355529999996</v>
      </c>
      <c r="E574">
        <v>50</v>
      </c>
      <c r="F574">
        <v>15.187225342</v>
      </c>
      <c r="G574">
        <v>1340.6459961</v>
      </c>
      <c r="H574">
        <v>1338.1901855000001</v>
      </c>
      <c r="I574">
        <v>1320.5322266000001</v>
      </c>
      <c r="J574">
        <v>1315.8911132999999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92.283863999999994</v>
      </c>
      <c r="B575" s="1">
        <f>DATE(2010,8,1) + TIME(6,48,45)</f>
        <v>40391.283854166664</v>
      </c>
      <c r="C575">
        <v>80</v>
      </c>
      <c r="D575">
        <v>79.950363159000005</v>
      </c>
      <c r="E575">
        <v>50</v>
      </c>
      <c r="F575">
        <v>15.203472137</v>
      </c>
      <c r="G575">
        <v>1340.640625</v>
      </c>
      <c r="H575">
        <v>1338.1859131000001</v>
      </c>
      <c r="I575">
        <v>1320.5391846</v>
      </c>
      <c r="J575">
        <v>1315.8952637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92.567728000000002</v>
      </c>
      <c r="B576" s="1">
        <f>DATE(2010,8,1) + TIME(13,37,31)</f>
        <v>40391.567719907405</v>
      </c>
      <c r="C576">
        <v>80</v>
      </c>
      <c r="D576">
        <v>79.950370789000004</v>
      </c>
      <c r="E576">
        <v>50</v>
      </c>
      <c r="F576">
        <v>15.219862938</v>
      </c>
      <c r="G576">
        <v>1340.6375731999999</v>
      </c>
      <c r="H576">
        <v>1338.1834716999999</v>
      </c>
      <c r="I576">
        <v>1320.5427245999999</v>
      </c>
      <c r="J576">
        <v>1315.8977050999999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92.851590999999999</v>
      </c>
      <c r="B577" s="1">
        <f>DATE(2010,8,1) + TIME(20,26,17)</f>
        <v>40391.851585648146</v>
      </c>
      <c r="C577">
        <v>80</v>
      </c>
      <c r="D577">
        <v>79.950378418</v>
      </c>
      <c r="E577">
        <v>50</v>
      </c>
      <c r="F577">
        <v>15.236644745</v>
      </c>
      <c r="G577">
        <v>1340.6346435999999</v>
      </c>
      <c r="H577">
        <v>1338.1811522999999</v>
      </c>
      <c r="I577">
        <v>1320.5463867000001</v>
      </c>
      <c r="J577">
        <v>1315.9002685999999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93.135454999999993</v>
      </c>
      <c r="B578" s="1">
        <f>DATE(2010,8,2) + TIME(3,15,3)</f>
        <v>40392.135451388887</v>
      </c>
      <c r="C578">
        <v>80</v>
      </c>
      <c r="D578">
        <v>79.950393676999994</v>
      </c>
      <c r="E578">
        <v>50</v>
      </c>
      <c r="F578">
        <v>15.254015923000001</v>
      </c>
      <c r="G578">
        <v>1340.6317139</v>
      </c>
      <c r="H578">
        <v>1338.1788329999999</v>
      </c>
      <c r="I578">
        <v>1320.5501709</v>
      </c>
      <c r="J578">
        <v>1315.902832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93.419319000000002</v>
      </c>
      <c r="B579" s="1">
        <f>DATE(2010,8,2) + TIME(10,3,49)</f>
        <v>40392.419317129628</v>
      </c>
      <c r="C579">
        <v>80</v>
      </c>
      <c r="D579">
        <v>79.950401306000003</v>
      </c>
      <c r="E579">
        <v>50</v>
      </c>
      <c r="F579">
        <v>15.272132874</v>
      </c>
      <c r="G579">
        <v>1340.6289062000001</v>
      </c>
      <c r="H579">
        <v>1338.1763916</v>
      </c>
      <c r="I579">
        <v>1320.5539550999999</v>
      </c>
      <c r="J579">
        <v>1315.9053954999999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93.703182999999996</v>
      </c>
      <c r="B580" s="1">
        <f>DATE(2010,8,2) + TIME(16,52,34)</f>
        <v>40392.7031712963</v>
      </c>
      <c r="C580">
        <v>80</v>
      </c>
      <c r="D580">
        <v>79.950416564999998</v>
      </c>
      <c r="E580">
        <v>50</v>
      </c>
      <c r="F580">
        <v>15.291129112</v>
      </c>
      <c r="G580">
        <v>1340.6259766000001</v>
      </c>
      <c r="H580">
        <v>1338.1740723</v>
      </c>
      <c r="I580">
        <v>1320.5578613</v>
      </c>
      <c r="J580">
        <v>1315.9080810999999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93.987046000000007</v>
      </c>
      <c r="B581" s="1">
        <f>DATE(2010,8,2) + TIME(23,41,20)</f>
        <v>40392.987037037034</v>
      </c>
      <c r="C581">
        <v>80</v>
      </c>
      <c r="D581">
        <v>79.950424193999993</v>
      </c>
      <c r="E581">
        <v>50</v>
      </c>
      <c r="F581">
        <v>15.311118126</v>
      </c>
      <c r="G581">
        <v>1340.6230469</v>
      </c>
      <c r="H581">
        <v>1338.1717529</v>
      </c>
      <c r="I581">
        <v>1320.5617675999999</v>
      </c>
      <c r="J581">
        <v>1315.9107666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94.270910000000001</v>
      </c>
      <c r="B582" s="1">
        <f>DATE(2010,8,3) + TIME(6,30,6)</f>
        <v>40393.270902777775</v>
      </c>
      <c r="C582">
        <v>80</v>
      </c>
      <c r="D582">
        <v>79.950439453000001</v>
      </c>
      <c r="E582">
        <v>50</v>
      </c>
      <c r="F582">
        <v>15.332200050000001</v>
      </c>
      <c r="G582">
        <v>1340.6201172000001</v>
      </c>
      <c r="H582">
        <v>1338.1694336</v>
      </c>
      <c r="I582">
        <v>1320.5657959</v>
      </c>
      <c r="J582">
        <v>1315.9135742000001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94.838638000000003</v>
      </c>
      <c r="B583" s="1">
        <f>DATE(2010,8,3) + TIME(20,7,38)</f>
        <v>40393.838634259257</v>
      </c>
      <c r="C583">
        <v>80</v>
      </c>
      <c r="D583">
        <v>79.950469971000004</v>
      </c>
      <c r="E583">
        <v>50</v>
      </c>
      <c r="F583">
        <v>15.367067337</v>
      </c>
      <c r="G583">
        <v>1340.6173096</v>
      </c>
      <c r="H583">
        <v>1338.1672363</v>
      </c>
      <c r="I583">
        <v>1320.5690918</v>
      </c>
      <c r="J583">
        <v>1315.9165039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95.407240999999999</v>
      </c>
      <c r="B584" s="1">
        <f>DATE(2010,8,4) + TIME(9,46,25)</f>
        <v>40394.407233796293</v>
      </c>
      <c r="C584">
        <v>80</v>
      </c>
      <c r="D584">
        <v>79.950492858999993</v>
      </c>
      <c r="E584">
        <v>50</v>
      </c>
      <c r="F584">
        <v>15.410177231</v>
      </c>
      <c r="G584">
        <v>1340.6115723</v>
      </c>
      <c r="H584">
        <v>1338.1625977000001</v>
      </c>
      <c r="I584">
        <v>1320.5775146000001</v>
      </c>
      <c r="J584">
        <v>1315.9222411999999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95.984855999999994</v>
      </c>
      <c r="B585" s="1">
        <f>DATE(2010,8,4) + TIME(23,38,11)</f>
        <v>40394.984849537039</v>
      </c>
      <c r="C585">
        <v>80</v>
      </c>
      <c r="D585">
        <v>79.950523376000007</v>
      </c>
      <c r="E585">
        <v>50</v>
      </c>
      <c r="F585">
        <v>15.461183547999999</v>
      </c>
      <c r="G585">
        <v>1340.605957</v>
      </c>
      <c r="H585">
        <v>1338.1579589999999</v>
      </c>
      <c r="I585">
        <v>1320.5860596</v>
      </c>
      <c r="J585">
        <v>1315.9282227000001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96.565209999999993</v>
      </c>
      <c r="B586" s="1">
        <f>DATE(2010,8,5) + TIME(13,33,54)</f>
        <v>40395.565208333333</v>
      </c>
      <c r="C586">
        <v>80</v>
      </c>
      <c r="D586">
        <v>79.950546265</v>
      </c>
      <c r="E586">
        <v>50</v>
      </c>
      <c r="F586">
        <v>15.519965171999999</v>
      </c>
      <c r="G586">
        <v>1340.6000977000001</v>
      </c>
      <c r="H586">
        <v>1338.1533202999999</v>
      </c>
      <c r="I586">
        <v>1320.5948486</v>
      </c>
      <c r="J586">
        <v>1315.9346923999999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96.856900999999993</v>
      </c>
      <c r="B587" s="1">
        <f>DATE(2010,8,5) + TIME(20,33,56)</f>
        <v>40395.856898148151</v>
      </c>
      <c r="C587">
        <v>80</v>
      </c>
      <c r="D587">
        <v>79.950553893999995</v>
      </c>
      <c r="E587">
        <v>50</v>
      </c>
      <c r="F587">
        <v>15.562935829000001</v>
      </c>
      <c r="G587">
        <v>1340.5943603999999</v>
      </c>
      <c r="H587">
        <v>1338.1485596</v>
      </c>
      <c r="I587">
        <v>1320.6053466999999</v>
      </c>
      <c r="J587">
        <v>1315.9410399999999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97.148591999999994</v>
      </c>
      <c r="B588" s="1">
        <f>DATE(2010,8,6) + TIME(3,33,58)</f>
        <v>40396.148587962962</v>
      </c>
      <c r="C588">
        <v>80</v>
      </c>
      <c r="D588">
        <v>79.950569153000004</v>
      </c>
      <c r="E588">
        <v>50</v>
      </c>
      <c r="F588">
        <v>15.60591507</v>
      </c>
      <c r="G588">
        <v>1340.5914307</v>
      </c>
      <c r="H588">
        <v>1338.1462402</v>
      </c>
      <c r="I588">
        <v>1320.6097411999999</v>
      </c>
      <c r="J588">
        <v>1315.9448242000001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97.440282999999994</v>
      </c>
      <c r="B589" s="1">
        <f>DATE(2010,8,6) + TIME(10,34,0)</f>
        <v>40396.44027777778</v>
      </c>
      <c r="C589">
        <v>80</v>
      </c>
      <c r="D589">
        <v>79.950576781999999</v>
      </c>
      <c r="E589">
        <v>50</v>
      </c>
      <c r="F589">
        <v>15.649594306999999</v>
      </c>
      <c r="G589">
        <v>1340.588501</v>
      </c>
      <c r="H589">
        <v>1338.1439209</v>
      </c>
      <c r="I589">
        <v>1320.6142577999999</v>
      </c>
      <c r="J589">
        <v>1315.9486084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97.731973999999994</v>
      </c>
      <c r="B590" s="1">
        <f>DATE(2010,8,6) + TIME(17,34,2)</f>
        <v>40396.73196759259</v>
      </c>
      <c r="C590">
        <v>80</v>
      </c>
      <c r="D590">
        <v>79.950592040999993</v>
      </c>
      <c r="E590">
        <v>50</v>
      </c>
      <c r="F590">
        <v>15.694498061999999</v>
      </c>
      <c r="G590">
        <v>1340.5856934000001</v>
      </c>
      <c r="H590">
        <v>1338.1416016000001</v>
      </c>
      <c r="I590">
        <v>1320.6188964999999</v>
      </c>
      <c r="J590">
        <v>1315.9523925999999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98.023663999999997</v>
      </c>
      <c r="B591" s="1">
        <f>DATE(2010,8,7) + TIME(0,34,4)</f>
        <v>40397.023657407408</v>
      </c>
      <c r="C591">
        <v>80</v>
      </c>
      <c r="D591">
        <v>79.950599670000003</v>
      </c>
      <c r="E591">
        <v>50</v>
      </c>
      <c r="F591">
        <v>15.741036415</v>
      </c>
      <c r="G591">
        <v>1340.5827637</v>
      </c>
      <c r="H591">
        <v>1338.1392822</v>
      </c>
      <c r="I591">
        <v>1320.6236572</v>
      </c>
      <c r="J591">
        <v>1315.9564209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98.315354999999997</v>
      </c>
      <c r="B592" s="1">
        <f>DATE(2010,8,7) + TIME(7,34,6)</f>
        <v>40397.315347222226</v>
      </c>
      <c r="C592">
        <v>80</v>
      </c>
      <c r="D592">
        <v>79.950614928999997</v>
      </c>
      <c r="E592">
        <v>50</v>
      </c>
      <c r="F592">
        <v>15.789535522</v>
      </c>
      <c r="G592">
        <v>1340.5799560999999</v>
      </c>
      <c r="H592">
        <v>1338.1369629000001</v>
      </c>
      <c r="I592">
        <v>1320.6285399999999</v>
      </c>
      <c r="J592">
        <v>1315.9604492000001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98.607045999999997</v>
      </c>
      <c r="B593" s="1">
        <f>DATE(2010,8,7) + TIME(14,34,8)</f>
        <v>40397.607037037036</v>
      </c>
      <c r="C593">
        <v>80</v>
      </c>
      <c r="D593">
        <v>79.950630188000005</v>
      </c>
      <c r="E593">
        <v>50</v>
      </c>
      <c r="F593">
        <v>15.840264319999999</v>
      </c>
      <c r="G593">
        <v>1340.5770264</v>
      </c>
      <c r="H593">
        <v>1338.1346435999999</v>
      </c>
      <c r="I593">
        <v>1320.6334228999999</v>
      </c>
      <c r="J593">
        <v>1315.9644774999999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98.898736999999997</v>
      </c>
      <c r="B594" s="1">
        <f>DATE(2010,8,7) + TIME(21,34,10)</f>
        <v>40397.898726851854</v>
      </c>
      <c r="C594">
        <v>80</v>
      </c>
      <c r="D594">
        <v>79.950637817</v>
      </c>
      <c r="E594">
        <v>50</v>
      </c>
      <c r="F594">
        <v>15.893451690999999</v>
      </c>
      <c r="G594">
        <v>1340.5742187999999</v>
      </c>
      <c r="H594">
        <v>1338.1323242000001</v>
      </c>
      <c r="I594">
        <v>1320.6383057</v>
      </c>
      <c r="J594">
        <v>1315.96875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99.190427999999997</v>
      </c>
      <c r="B595" s="1">
        <f>DATE(2010,8,8) + TIME(4,34,12)</f>
        <v>40398.190416666665</v>
      </c>
      <c r="C595">
        <v>80</v>
      </c>
      <c r="D595">
        <v>79.950653075999995</v>
      </c>
      <c r="E595">
        <v>50</v>
      </c>
      <c r="F595">
        <v>15.94929409</v>
      </c>
      <c r="G595">
        <v>1340.5714111</v>
      </c>
      <c r="H595">
        <v>1338.1300048999999</v>
      </c>
      <c r="I595">
        <v>1320.6433105000001</v>
      </c>
      <c r="J595">
        <v>1315.9731445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99.482118</v>
      </c>
      <c r="B596" s="1">
        <f>DATE(2010,8,8) + TIME(11,34,15)</f>
        <v>40398.482118055559</v>
      </c>
      <c r="C596">
        <v>80</v>
      </c>
      <c r="D596">
        <v>79.950668335000003</v>
      </c>
      <c r="E596">
        <v>50</v>
      </c>
      <c r="F596">
        <v>16.007968902999998</v>
      </c>
      <c r="G596">
        <v>1340.5684814000001</v>
      </c>
      <c r="H596">
        <v>1338.1276855000001</v>
      </c>
      <c r="I596">
        <v>1320.6484375</v>
      </c>
      <c r="J596">
        <v>1315.9775391000001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99.773809</v>
      </c>
      <c r="B597" s="1">
        <f>DATE(2010,8,8) + TIME(18,34,17)</f>
        <v>40398.77380787037</v>
      </c>
      <c r="C597">
        <v>80</v>
      </c>
      <c r="D597">
        <v>79.950675963999998</v>
      </c>
      <c r="E597">
        <v>50</v>
      </c>
      <c r="F597">
        <v>16.069635390999998</v>
      </c>
      <c r="G597">
        <v>1340.5656738</v>
      </c>
      <c r="H597">
        <v>1338.1253661999999</v>
      </c>
      <c r="I597">
        <v>1320.6534423999999</v>
      </c>
      <c r="J597">
        <v>1315.9821777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100.06522200000001</v>
      </c>
      <c r="B598" s="1">
        <f>DATE(2010,8,9) + TIME(1,33,55)</f>
        <v>40399.06521990741</v>
      </c>
      <c r="C598">
        <v>80</v>
      </c>
      <c r="D598">
        <v>79.950691223000007</v>
      </c>
      <c r="E598">
        <v>50</v>
      </c>
      <c r="F598">
        <v>16.134405136000002</v>
      </c>
      <c r="G598">
        <v>1340.5628661999999</v>
      </c>
      <c r="H598">
        <v>1338.1230469</v>
      </c>
      <c r="I598">
        <v>1320.6586914</v>
      </c>
      <c r="J598">
        <v>1315.9868164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100.35615900000001</v>
      </c>
      <c r="B599" s="1">
        <f>DATE(2010,8,9) + TIME(8,32,52)</f>
        <v>40399.356157407405</v>
      </c>
      <c r="C599">
        <v>80</v>
      </c>
      <c r="D599">
        <v>79.950706482000001</v>
      </c>
      <c r="E599">
        <v>50</v>
      </c>
      <c r="F599">
        <v>16.202369690000001</v>
      </c>
      <c r="G599">
        <v>1340.5600586</v>
      </c>
      <c r="H599">
        <v>1338.1208495999999</v>
      </c>
      <c r="I599">
        <v>1320.6638184000001</v>
      </c>
      <c r="J599">
        <v>1315.9916992000001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100.646772</v>
      </c>
      <c r="B600" s="1">
        <f>DATE(2010,8,9) + TIME(15,31,21)</f>
        <v>40399.646770833337</v>
      </c>
      <c r="C600">
        <v>80</v>
      </c>
      <c r="D600">
        <v>79.950714110999996</v>
      </c>
      <c r="E600">
        <v>50</v>
      </c>
      <c r="F600">
        <v>16.273672103999999</v>
      </c>
      <c r="G600">
        <v>1340.557251</v>
      </c>
      <c r="H600">
        <v>1338.1185303</v>
      </c>
      <c r="I600">
        <v>1320.6689452999999</v>
      </c>
      <c r="J600">
        <v>1315.996582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101.227621</v>
      </c>
      <c r="B601" s="1">
        <f>DATE(2010,8,10) + TIME(5,27,46)</f>
        <v>40400.22761574074</v>
      </c>
      <c r="C601">
        <v>80</v>
      </c>
      <c r="D601">
        <v>79.950752257999994</v>
      </c>
      <c r="E601">
        <v>50</v>
      </c>
      <c r="F601">
        <v>16.389715195000001</v>
      </c>
      <c r="G601">
        <v>1340.5545654</v>
      </c>
      <c r="H601">
        <v>1338.1163329999999</v>
      </c>
      <c r="I601">
        <v>1320.671875</v>
      </c>
      <c r="J601">
        <v>1316.0023193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101.810794</v>
      </c>
      <c r="B602" s="1">
        <f>DATE(2010,8,10) + TIME(19,27,32)</f>
        <v>40400.810787037037</v>
      </c>
      <c r="C602">
        <v>80</v>
      </c>
      <c r="D602">
        <v>79.950775145999998</v>
      </c>
      <c r="E602">
        <v>50</v>
      </c>
      <c r="F602">
        <v>16.532461166000001</v>
      </c>
      <c r="G602">
        <v>1340.5489502</v>
      </c>
      <c r="H602">
        <v>1338.1118164</v>
      </c>
      <c r="I602">
        <v>1320.6829834</v>
      </c>
      <c r="J602">
        <v>1316.0123291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102.408384</v>
      </c>
      <c r="B603" s="1">
        <f>DATE(2010,8,11) + TIME(9,48,4)</f>
        <v>40401.408379629633</v>
      </c>
      <c r="C603">
        <v>80</v>
      </c>
      <c r="D603">
        <v>79.950805664000001</v>
      </c>
      <c r="E603">
        <v>50</v>
      </c>
      <c r="F603">
        <v>16.699602126999999</v>
      </c>
      <c r="G603">
        <v>1340.543457</v>
      </c>
      <c r="H603">
        <v>1338.1071777</v>
      </c>
      <c r="I603">
        <v>1320.6937256000001</v>
      </c>
      <c r="J603">
        <v>1316.0230713000001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102.709458</v>
      </c>
      <c r="B604" s="1">
        <f>DATE(2010,8,11) + TIME(17,1,37)</f>
        <v>40401.709456018521</v>
      </c>
      <c r="C604">
        <v>80</v>
      </c>
      <c r="D604">
        <v>79.950813292999996</v>
      </c>
      <c r="E604">
        <v>50</v>
      </c>
      <c r="F604">
        <v>16.822729111000001</v>
      </c>
      <c r="G604">
        <v>1340.5377197</v>
      </c>
      <c r="H604">
        <v>1338.1025391000001</v>
      </c>
      <c r="I604">
        <v>1320.708374</v>
      </c>
      <c r="J604">
        <v>1316.0338135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103.282341</v>
      </c>
      <c r="B605" s="1">
        <f>DATE(2010,8,12) + TIME(6,46,34)</f>
        <v>40402.282337962963</v>
      </c>
      <c r="C605">
        <v>80</v>
      </c>
      <c r="D605">
        <v>79.950843810999999</v>
      </c>
      <c r="E605">
        <v>50</v>
      </c>
      <c r="F605">
        <v>17.004436493</v>
      </c>
      <c r="G605">
        <v>1340.5349120999999</v>
      </c>
      <c r="H605">
        <v>1338.1002197</v>
      </c>
      <c r="I605">
        <v>1320.7097168</v>
      </c>
      <c r="J605">
        <v>1316.0413818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103.87455199999999</v>
      </c>
      <c r="B606" s="1">
        <f>DATE(2010,8,12) + TIME(20,59,21)</f>
        <v>40402.874548611115</v>
      </c>
      <c r="C606">
        <v>80</v>
      </c>
      <c r="D606">
        <v>79.950874329000001</v>
      </c>
      <c r="E606">
        <v>50</v>
      </c>
      <c r="F606">
        <v>17.212629318000001</v>
      </c>
      <c r="G606">
        <v>1340.5295410000001</v>
      </c>
      <c r="H606">
        <v>1338.0958252</v>
      </c>
      <c r="I606">
        <v>1320.7202147999999</v>
      </c>
      <c r="J606">
        <v>1316.0534668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104.46729000000001</v>
      </c>
      <c r="B607" s="1">
        <f>DATE(2010,8,13) + TIME(11,12,53)</f>
        <v>40403.467280092591</v>
      </c>
      <c r="C607">
        <v>80</v>
      </c>
      <c r="D607">
        <v>79.950904846</v>
      </c>
      <c r="E607">
        <v>50</v>
      </c>
      <c r="F607">
        <v>17.444257736000001</v>
      </c>
      <c r="G607">
        <v>1340.5239257999999</v>
      </c>
      <c r="H607">
        <v>1338.0913086</v>
      </c>
      <c r="I607">
        <v>1320.7310791</v>
      </c>
      <c r="J607">
        <v>1316.0666504000001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105.06329700000001</v>
      </c>
      <c r="B608" s="1">
        <f>DATE(2010,8,14) + TIME(1,31,8)</f>
        <v>40404.063287037039</v>
      </c>
      <c r="C608">
        <v>80</v>
      </c>
      <c r="D608">
        <v>79.950927734000004</v>
      </c>
      <c r="E608">
        <v>50</v>
      </c>
      <c r="F608">
        <v>17.698213577000001</v>
      </c>
      <c r="G608">
        <v>1340.5184326000001</v>
      </c>
      <c r="H608">
        <v>1338.0867920000001</v>
      </c>
      <c r="I608">
        <v>1320.7416992000001</v>
      </c>
      <c r="J608">
        <v>1316.0805664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105.362314</v>
      </c>
      <c r="B609" s="1">
        <f>DATE(2010,8,14) + TIME(8,41,43)</f>
        <v>40404.362303240741</v>
      </c>
      <c r="C609">
        <v>80</v>
      </c>
      <c r="D609">
        <v>79.950935364000003</v>
      </c>
      <c r="E609">
        <v>50</v>
      </c>
      <c r="F609">
        <v>17.877923965000001</v>
      </c>
      <c r="G609">
        <v>1340.5128173999999</v>
      </c>
      <c r="H609">
        <v>1338.0821533000001</v>
      </c>
      <c r="I609">
        <v>1320.7576904</v>
      </c>
      <c r="J609">
        <v>1316.09375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105.661331</v>
      </c>
      <c r="B610" s="1">
        <f>DATE(2010,8,14) + TIME(15,52,18)</f>
        <v>40404.661319444444</v>
      </c>
      <c r="C610">
        <v>80</v>
      </c>
      <c r="D610">
        <v>79.950950622999997</v>
      </c>
      <c r="E610">
        <v>50</v>
      </c>
      <c r="F610">
        <v>18.051750182999999</v>
      </c>
      <c r="G610">
        <v>1340.5100098</v>
      </c>
      <c r="H610">
        <v>1338.0799560999999</v>
      </c>
      <c r="I610">
        <v>1320.7617187999999</v>
      </c>
      <c r="J610">
        <v>1316.1021728999999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105.960348</v>
      </c>
      <c r="B611" s="1">
        <f>DATE(2010,8,14) + TIME(23,2,54)</f>
        <v>40404.960347222222</v>
      </c>
      <c r="C611">
        <v>80</v>
      </c>
      <c r="D611">
        <v>79.950965881000002</v>
      </c>
      <c r="E611">
        <v>50</v>
      </c>
      <c r="F611">
        <v>18.223644257</v>
      </c>
      <c r="G611">
        <v>1340.5073242000001</v>
      </c>
      <c r="H611">
        <v>1338.0776367000001</v>
      </c>
      <c r="I611">
        <v>1320.7662353999999</v>
      </c>
      <c r="J611">
        <v>1316.1104736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106.259365</v>
      </c>
      <c r="B612" s="1">
        <f>DATE(2010,8,15) + TIME(6,13,29)</f>
        <v>40405.259363425925</v>
      </c>
      <c r="C612">
        <v>80</v>
      </c>
      <c r="D612">
        <v>79.950973511000001</v>
      </c>
      <c r="E612">
        <v>50</v>
      </c>
      <c r="F612">
        <v>18.396112442</v>
      </c>
      <c r="G612">
        <v>1340.5045166</v>
      </c>
      <c r="H612">
        <v>1338.0754394999999</v>
      </c>
      <c r="I612">
        <v>1320.770874</v>
      </c>
      <c r="J612">
        <v>1316.1188964999999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106.55838199999999</v>
      </c>
      <c r="B613" s="1">
        <f>DATE(2010,8,15) + TIME(13,24,4)</f>
        <v>40405.558379629627</v>
      </c>
      <c r="C613">
        <v>80</v>
      </c>
      <c r="D613">
        <v>79.950988769999995</v>
      </c>
      <c r="E613">
        <v>50</v>
      </c>
      <c r="F613">
        <v>18.570705413999999</v>
      </c>
      <c r="G613">
        <v>1340.5017089999999</v>
      </c>
      <c r="H613">
        <v>1338.0731201000001</v>
      </c>
      <c r="I613">
        <v>1320.7756348</v>
      </c>
      <c r="J613">
        <v>1316.1273193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106.857399</v>
      </c>
      <c r="B614" s="1">
        <f>DATE(2010,8,15) + TIME(20,34,39)</f>
        <v>40405.857395833336</v>
      </c>
      <c r="C614">
        <v>80</v>
      </c>
      <c r="D614">
        <v>79.951004028</v>
      </c>
      <c r="E614">
        <v>50</v>
      </c>
      <c r="F614">
        <v>18.748338699000001</v>
      </c>
      <c r="G614">
        <v>1340.4990233999999</v>
      </c>
      <c r="H614">
        <v>1338.0709228999999</v>
      </c>
      <c r="I614">
        <v>1320.7803954999999</v>
      </c>
      <c r="J614">
        <v>1316.1359863</v>
      </c>
      <c r="K614">
        <v>2750</v>
      </c>
      <c r="L614">
        <v>0</v>
      </c>
      <c r="M614">
        <v>0</v>
      </c>
      <c r="N614">
        <v>2750</v>
      </c>
    </row>
    <row r="615" spans="1:14" x14ac:dyDescent="0.25">
      <c r="A615">
        <v>107.15641599999999</v>
      </c>
      <c r="B615" s="1">
        <f>DATE(2010,8,16) + TIME(3,45,14)</f>
        <v>40406.156412037039</v>
      </c>
      <c r="C615">
        <v>80</v>
      </c>
      <c r="D615">
        <v>79.951019286999994</v>
      </c>
      <c r="E615">
        <v>50</v>
      </c>
      <c r="F615">
        <v>18.929521561000001</v>
      </c>
      <c r="G615">
        <v>1340.4963379000001</v>
      </c>
      <c r="H615">
        <v>1338.0686035000001</v>
      </c>
      <c r="I615">
        <v>1320.7851562000001</v>
      </c>
      <c r="J615">
        <v>1316.1447754000001</v>
      </c>
      <c r="K615">
        <v>2750</v>
      </c>
      <c r="L615">
        <v>0</v>
      </c>
      <c r="M615">
        <v>0</v>
      </c>
      <c r="N615">
        <v>2750</v>
      </c>
    </row>
    <row r="616" spans="1:14" x14ac:dyDescent="0.25">
      <c r="A616">
        <v>107.455432</v>
      </c>
      <c r="B616" s="1">
        <f>DATE(2010,8,16) + TIME(10,55,49)</f>
        <v>40406.455428240741</v>
      </c>
      <c r="C616">
        <v>80</v>
      </c>
      <c r="D616">
        <v>79.951026916999993</v>
      </c>
      <c r="E616">
        <v>50</v>
      </c>
      <c r="F616">
        <v>19.114475250000002</v>
      </c>
      <c r="G616">
        <v>1340.4935303</v>
      </c>
      <c r="H616">
        <v>1338.0664062000001</v>
      </c>
      <c r="I616">
        <v>1320.7897949000001</v>
      </c>
      <c r="J616">
        <v>1316.1535644999999</v>
      </c>
      <c r="K616">
        <v>2750</v>
      </c>
      <c r="L616">
        <v>0</v>
      </c>
      <c r="M616">
        <v>0</v>
      </c>
      <c r="N616">
        <v>2750</v>
      </c>
    </row>
    <row r="617" spans="1:14" x14ac:dyDescent="0.25">
      <c r="A617">
        <v>107.75444899999999</v>
      </c>
      <c r="B617" s="1">
        <f>DATE(2010,8,16) + TIME(18,6,24)</f>
        <v>40406.754444444443</v>
      </c>
      <c r="C617">
        <v>80</v>
      </c>
      <c r="D617">
        <v>79.951042174999998</v>
      </c>
      <c r="E617">
        <v>50</v>
      </c>
      <c r="F617">
        <v>19.303300858</v>
      </c>
      <c r="G617">
        <v>1340.4908447</v>
      </c>
      <c r="H617">
        <v>1338.0642089999999</v>
      </c>
      <c r="I617">
        <v>1320.7945557</v>
      </c>
      <c r="J617">
        <v>1316.1625977000001</v>
      </c>
      <c r="K617">
        <v>2750</v>
      </c>
      <c r="L617">
        <v>0</v>
      </c>
      <c r="M617">
        <v>0</v>
      </c>
      <c r="N617">
        <v>2750</v>
      </c>
    </row>
    <row r="618" spans="1:14" x14ac:dyDescent="0.25">
      <c r="A618">
        <v>108.053466</v>
      </c>
      <c r="B618" s="1">
        <f>DATE(2010,8,17) + TIME(1,16,59)</f>
        <v>40407.053460648145</v>
      </c>
      <c r="C618">
        <v>80</v>
      </c>
      <c r="D618">
        <v>79.951057434000006</v>
      </c>
      <c r="E618">
        <v>50</v>
      </c>
      <c r="F618">
        <v>19.496011734</v>
      </c>
      <c r="G618">
        <v>1340.4881591999999</v>
      </c>
      <c r="H618">
        <v>1338.0618896000001</v>
      </c>
      <c r="I618">
        <v>1320.7991943</v>
      </c>
      <c r="J618">
        <v>1316.1717529</v>
      </c>
      <c r="K618">
        <v>2750</v>
      </c>
      <c r="L618">
        <v>0</v>
      </c>
      <c r="M618">
        <v>0</v>
      </c>
      <c r="N618">
        <v>2750</v>
      </c>
    </row>
    <row r="619" spans="1:14" x14ac:dyDescent="0.25">
      <c r="A619">
        <v>108.35248300000001</v>
      </c>
      <c r="B619" s="1">
        <f>DATE(2010,8,17) + TIME(8,27,34)</f>
        <v>40407.352476851855</v>
      </c>
      <c r="C619">
        <v>80</v>
      </c>
      <c r="D619">
        <v>79.951072693</v>
      </c>
      <c r="E619">
        <v>50</v>
      </c>
      <c r="F619">
        <v>19.692558289000001</v>
      </c>
      <c r="G619">
        <v>1340.4854736</v>
      </c>
      <c r="H619">
        <v>1338.0596923999999</v>
      </c>
      <c r="I619">
        <v>1320.8039550999999</v>
      </c>
      <c r="J619">
        <v>1316.1810303</v>
      </c>
      <c r="K619">
        <v>2750</v>
      </c>
      <c r="L619">
        <v>0</v>
      </c>
      <c r="M619">
        <v>0</v>
      </c>
      <c r="N619">
        <v>2750</v>
      </c>
    </row>
    <row r="620" spans="1:14" x14ac:dyDescent="0.25">
      <c r="A620">
        <v>108.6515</v>
      </c>
      <c r="B620" s="1">
        <f>DATE(2010,8,17) + TIME(15,38,9)</f>
        <v>40407.651493055557</v>
      </c>
      <c r="C620">
        <v>80</v>
      </c>
      <c r="D620">
        <v>79.951087951999995</v>
      </c>
      <c r="E620">
        <v>50</v>
      </c>
      <c r="F620">
        <v>19.892860413000001</v>
      </c>
      <c r="G620">
        <v>1340.4826660000001</v>
      </c>
      <c r="H620">
        <v>1338.0574951000001</v>
      </c>
      <c r="I620">
        <v>1320.8084716999999</v>
      </c>
      <c r="J620">
        <v>1316.1904297000001</v>
      </c>
      <c r="K620">
        <v>2750</v>
      </c>
      <c r="L620">
        <v>0</v>
      </c>
      <c r="M620">
        <v>0</v>
      </c>
      <c r="N620">
        <v>2750</v>
      </c>
    </row>
    <row r="621" spans="1:14" x14ac:dyDescent="0.25">
      <c r="A621">
        <v>108.950517</v>
      </c>
      <c r="B621" s="1">
        <f>DATE(2010,8,17) + TIME(22,48,44)</f>
        <v>40407.950509259259</v>
      </c>
      <c r="C621">
        <v>80</v>
      </c>
      <c r="D621">
        <v>79.951103209999999</v>
      </c>
      <c r="E621">
        <v>50</v>
      </c>
      <c r="F621">
        <v>20.096939086999999</v>
      </c>
      <c r="G621">
        <v>1340.4799805</v>
      </c>
      <c r="H621">
        <v>1338.0552978999999</v>
      </c>
      <c r="I621">
        <v>1320.8131103999999</v>
      </c>
      <c r="J621">
        <v>1316.1999512</v>
      </c>
      <c r="K621">
        <v>2750</v>
      </c>
      <c r="L621">
        <v>0</v>
      </c>
      <c r="M621">
        <v>0</v>
      </c>
      <c r="N621">
        <v>2750</v>
      </c>
    </row>
    <row r="622" spans="1:14" x14ac:dyDescent="0.25">
      <c r="A622">
        <v>109.249534</v>
      </c>
      <c r="B622" s="1">
        <f>DATE(2010,8,18) + TIME(5,59,19)</f>
        <v>40408.249525462961</v>
      </c>
      <c r="C622">
        <v>80</v>
      </c>
      <c r="D622">
        <v>79.951118468999994</v>
      </c>
      <c r="E622">
        <v>50</v>
      </c>
      <c r="F622">
        <v>20.304725647000001</v>
      </c>
      <c r="G622">
        <v>1340.4772949000001</v>
      </c>
      <c r="H622">
        <v>1338.0531006000001</v>
      </c>
      <c r="I622">
        <v>1320.8176269999999</v>
      </c>
      <c r="J622">
        <v>1316.2095947</v>
      </c>
      <c r="K622">
        <v>2750</v>
      </c>
      <c r="L622">
        <v>0</v>
      </c>
      <c r="M622">
        <v>0</v>
      </c>
      <c r="N622">
        <v>2750</v>
      </c>
    </row>
    <row r="623" spans="1:14" x14ac:dyDescent="0.25">
      <c r="A623">
        <v>109.548551</v>
      </c>
      <c r="B623" s="1">
        <f>DATE(2010,8,18) + TIME(13,9,54)</f>
        <v>40408.548541666663</v>
      </c>
      <c r="C623">
        <v>80</v>
      </c>
      <c r="D623">
        <v>79.951126099000007</v>
      </c>
      <c r="E623">
        <v>50</v>
      </c>
      <c r="F623">
        <v>20.516002655000001</v>
      </c>
      <c r="G623">
        <v>1340.4747314000001</v>
      </c>
      <c r="H623">
        <v>1338.0509033000001</v>
      </c>
      <c r="I623">
        <v>1320.8221435999999</v>
      </c>
      <c r="J623">
        <v>1316.2193603999999</v>
      </c>
      <c r="K623">
        <v>2750</v>
      </c>
      <c r="L623">
        <v>0</v>
      </c>
      <c r="M623">
        <v>0</v>
      </c>
      <c r="N623">
        <v>2750</v>
      </c>
    </row>
    <row r="624" spans="1:14" x14ac:dyDescent="0.25">
      <c r="A624">
        <v>109.847568</v>
      </c>
      <c r="B624" s="1">
        <f>DATE(2010,8,18) + TIME(20,20,29)</f>
        <v>40408.847557870373</v>
      </c>
      <c r="C624">
        <v>80</v>
      </c>
      <c r="D624">
        <v>79.951141356999997</v>
      </c>
      <c r="E624">
        <v>50</v>
      </c>
      <c r="F624">
        <v>20.730648040999998</v>
      </c>
      <c r="G624">
        <v>1340.4720459</v>
      </c>
      <c r="H624">
        <v>1338.0487060999999</v>
      </c>
      <c r="I624">
        <v>1320.8265381000001</v>
      </c>
      <c r="J624">
        <v>1316.229126</v>
      </c>
      <c r="K624">
        <v>2750</v>
      </c>
      <c r="L624">
        <v>0</v>
      </c>
      <c r="M624">
        <v>0</v>
      </c>
      <c r="N624">
        <v>2750</v>
      </c>
    </row>
    <row r="625" spans="1:14" x14ac:dyDescent="0.25">
      <c r="A625">
        <v>110.146585</v>
      </c>
      <c r="B625" s="1">
        <f>DATE(2010,8,19) + TIME(3,31,4)</f>
        <v>40409.146574074075</v>
      </c>
      <c r="C625">
        <v>80</v>
      </c>
      <c r="D625">
        <v>79.951156616000006</v>
      </c>
      <c r="E625">
        <v>50</v>
      </c>
      <c r="F625">
        <v>20.948537826999999</v>
      </c>
      <c r="G625">
        <v>1340.4693603999999</v>
      </c>
      <c r="H625">
        <v>1338.0465088000001</v>
      </c>
      <c r="I625">
        <v>1320.8309326000001</v>
      </c>
      <c r="J625">
        <v>1316.2391356999999</v>
      </c>
      <c r="K625">
        <v>2750</v>
      </c>
      <c r="L625">
        <v>0</v>
      </c>
      <c r="M625">
        <v>0</v>
      </c>
      <c r="N625">
        <v>2750</v>
      </c>
    </row>
    <row r="626" spans="1:14" x14ac:dyDescent="0.25">
      <c r="A626">
        <v>110.44560199999999</v>
      </c>
      <c r="B626" s="1">
        <f>DATE(2010,8,19) + TIME(10,41,39)</f>
        <v>40409.445590277777</v>
      </c>
      <c r="C626">
        <v>80</v>
      </c>
      <c r="D626">
        <v>79.951171875</v>
      </c>
      <c r="E626">
        <v>50</v>
      </c>
      <c r="F626">
        <v>21.169549942</v>
      </c>
      <c r="G626">
        <v>1340.4666748</v>
      </c>
      <c r="H626">
        <v>1338.0443115</v>
      </c>
      <c r="I626">
        <v>1320.8353271000001</v>
      </c>
      <c r="J626">
        <v>1316.2492675999999</v>
      </c>
      <c r="K626">
        <v>2750</v>
      </c>
      <c r="L626">
        <v>0</v>
      </c>
      <c r="M626">
        <v>0</v>
      </c>
      <c r="N626">
        <v>2750</v>
      </c>
    </row>
    <row r="627" spans="1:14" x14ac:dyDescent="0.25">
      <c r="A627">
        <v>110.744618</v>
      </c>
      <c r="B627" s="1">
        <f>DATE(2010,8,19) + TIME(17,52,15)</f>
        <v>40409.744618055556</v>
      </c>
      <c r="C627">
        <v>80</v>
      </c>
      <c r="D627">
        <v>79.951187133999994</v>
      </c>
      <c r="E627">
        <v>50</v>
      </c>
      <c r="F627">
        <v>21.393562317000001</v>
      </c>
      <c r="G627">
        <v>1340.4641113</v>
      </c>
      <c r="H627">
        <v>1338.0421143000001</v>
      </c>
      <c r="I627">
        <v>1320.8397216999999</v>
      </c>
      <c r="J627">
        <v>1316.2595214999999</v>
      </c>
      <c r="K627">
        <v>2750</v>
      </c>
      <c r="L627">
        <v>0</v>
      </c>
      <c r="M627">
        <v>0</v>
      </c>
      <c r="N627">
        <v>2750</v>
      </c>
    </row>
    <row r="628" spans="1:14" x14ac:dyDescent="0.25">
      <c r="A628">
        <v>111.342652</v>
      </c>
      <c r="B628" s="1">
        <f>DATE(2010,8,20) + TIME(8,13,25)</f>
        <v>40410.342650462961</v>
      </c>
      <c r="C628">
        <v>80</v>
      </c>
      <c r="D628">
        <v>79.951217650999993</v>
      </c>
      <c r="E628">
        <v>50</v>
      </c>
      <c r="F628">
        <v>21.736623764000001</v>
      </c>
      <c r="G628">
        <v>1340.4615478999999</v>
      </c>
      <c r="H628">
        <v>1338.0400391000001</v>
      </c>
      <c r="I628">
        <v>1320.8381348</v>
      </c>
      <c r="J628">
        <v>1316.2714844</v>
      </c>
      <c r="K628">
        <v>2750</v>
      </c>
      <c r="L628">
        <v>0</v>
      </c>
      <c r="M628">
        <v>0</v>
      </c>
      <c r="N628">
        <v>2750</v>
      </c>
    </row>
    <row r="629" spans="1:14" x14ac:dyDescent="0.25">
      <c r="A629">
        <v>111.944999</v>
      </c>
      <c r="B629" s="1">
        <f>DATE(2010,8,20) + TIME(22,40,47)</f>
        <v>40410.944988425923</v>
      </c>
      <c r="C629">
        <v>80</v>
      </c>
      <c r="D629">
        <v>79.951248168999996</v>
      </c>
      <c r="E629">
        <v>50</v>
      </c>
      <c r="F629">
        <v>22.142274857</v>
      </c>
      <c r="G629">
        <v>1340.4562988</v>
      </c>
      <c r="H629">
        <v>1338.0357666</v>
      </c>
      <c r="I629">
        <v>1320.8487548999999</v>
      </c>
      <c r="J629">
        <v>1316.2907714999999</v>
      </c>
      <c r="K629">
        <v>2750</v>
      </c>
      <c r="L629">
        <v>0</v>
      </c>
      <c r="M629">
        <v>0</v>
      </c>
      <c r="N629">
        <v>2750</v>
      </c>
    </row>
    <row r="630" spans="1:14" x14ac:dyDescent="0.25">
      <c r="A630">
        <v>112.577333</v>
      </c>
      <c r="B630" s="1">
        <f>DATE(2010,8,21) + TIME(13,51,21)</f>
        <v>40411.577326388891</v>
      </c>
      <c r="C630">
        <v>80</v>
      </c>
      <c r="D630">
        <v>79.951286315999994</v>
      </c>
      <c r="E630">
        <v>50</v>
      </c>
      <c r="F630">
        <v>22.58855629</v>
      </c>
      <c r="G630">
        <v>1340.4510498</v>
      </c>
      <c r="H630">
        <v>1338.0314940999999</v>
      </c>
      <c r="I630">
        <v>1320.8580322</v>
      </c>
      <c r="J630">
        <v>1316.3111572</v>
      </c>
      <c r="K630">
        <v>2750</v>
      </c>
      <c r="L630">
        <v>0</v>
      </c>
      <c r="M630">
        <v>0</v>
      </c>
      <c r="N630">
        <v>2750</v>
      </c>
    </row>
    <row r="631" spans="1:14" x14ac:dyDescent="0.25">
      <c r="A631">
        <v>113.240942</v>
      </c>
      <c r="B631" s="1">
        <f>DATE(2010,8,22) + TIME(5,46,57)</f>
        <v>40412.240937499999</v>
      </c>
      <c r="C631">
        <v>80</v>
      </c>
      <c r="D631">
        <v>79.951316833000007</v>
      </c>
      <c r="E631">
        <v>50</v>
      </c>
      <c r="F631">
        <v>23.072114943999999</v>
      </c>
      <c r="G631">
        <v>1340.4455565999999</v>
      </c>
      <c r="H631">
        <v>1338.0269774999999</v>
      </c>
      <c r="I631">
        <v>1320.8675536999999</v>
      </c>
      <c r="J631">
        <v>1316.3331298999999</v>
      </c>
      <c r="K631">
        <v>2750</v>
      </c>
      <c r="L631">
        <v>0</v>
      </c>
      <c r="M631">
        <v>0</v>
      </c>
      <c r="N631">
        <v>2750</v>
      </c>
    </row>
    <row r="632" spans="1:14" x14ac:dyDescent="0.25">
      <c r="A632">
        <v>113.90589799999999</v>
      </c>
      <c r="B632" s="1">
        <f>DATE(2010,8,22) + TIME(21,44,29)</f>
        <v>40412.905891203707</v>
      </c>
      <c r="C632">
        <v>80</v>
      </c>
      <c r="D632">
        <v>79.951347350999995</v>
      </c>
      <c r="E632">
        <v>50</v>
      </c>
      <c r="F632">
        <v>23.583543776999999</v>
      </c>
      <c r="G632">
        <v>1340.4399414</v>
      </c>
      <c r="H632">
        <v>1338.0223389</v>
      </c>
      <c r="I632">
        <v>1320.8779297000001</v>
      </c>
      <c r="J632">
        <v>1316.3565673999999</v>
      </c>
      <c r="K632">
        <v>2750</v>
      </c>
      <c r="L632">
        <v>0</v>
      </c>
      <c r="M632">
        <v>0</v>
      </c>
      <c r="N632">
        <v>2750</v>
      </c>
    </row>
    <row r="633" spans="1:14" x14ac:dyDescent="0.25">
      <c r="A633">
        <v>114.577231</v>
      </c>
      <c r="B633" s="1">
        <f>DATE(2010,8,23) + TIME(13,51,12)</f>
        <v>40413.577222222222</v>
      </c>
      <c r="C633">
        <v>80</v>
      </c>
      <c r="D633">
        <v>79.951377868999998</v>
      </c>
      <c r="E633">
        <v>50</v>
      </c>
      <c r="F633">
        <v>24.117858887000001</v>
      </c>
      <c r="G633">
        <v>1340.4343262</v>
      </c>
      <c r="H633">
        <v>1338.0175781</v>
      </c>
      <c r="I633">
        <v>1320.8878173999999</v>
      </c>
      <c r="J633">
        <v>1316.3807373</v>
      </c>
      <c r="K633">
        <v>2750</v>
      </c>
      <c r="L633">
        <v>0</v>
      </c>
      <c r="M633">
        <v>0</v>
      </c>
      <c r="N633">
        <v>2750</v>
      </c>
    </row>
    <row r="634" spans="1:14" x14ac:dyDescent="0.25">
      <c r="A634">
        <v>115.26332600000001</v>
      </c>
      <c r="B634" s="1">
        <f>DATE(2010,8,24) + TIME(6,19,11)</f>
        <v>40414.263321759259</v>
      </c>
      <c r="C634">
        <v>80</v>
      </c>
      <c r="D634">
        <v>79.951416015999996</v>
      </c>
      <c r="E634">
        <v>50</v>
      </c>
      <c r="F634">
        <v>24.674791335999998</v>
      </c>
      <c r="G634">
        <v>1340.4285889</v>
      </c>
      <c r="H634">
        <v>1338.0129394999999</v>
      </c>
      <c r="I634">
        <v>1320.8974608999999</v>
      </c>
      <c r="J634">
        <v>1316.4056396000001</v>
      </c>
      <c r="K634">
        <v>2750</v>
      </c>
      <c r="L634">
        <v>0</v>
      </c>
      <c r="M634">
        <v>0</v>
      </c>
      <c r="N634">
        <v>2750</v>
      </c>
    </row>
    <row r="635" spans="1:14" x14ac:dyDescent="0.25">
      <c r="A635">
        <v>115.953954</v>
      </c>
      <c r="B635" s="1">
        <f>DATE(2010,8,24) + TIME(22,53,41)</f>
        <v>40414.953946759262</v>
      </c>
      <c r="C635">
        <v>80</v>
      </c>
      <c r="D635">
        <v>79.951446532999995</v>
      </c>
      <c r="E635">
        <v>50</v>
      </c>
      <c r="F635">
        <v>25.248647689999999</v>
      </c>
      <c r="G635">
        <v>1340.4228516000001</v>
      </c>
      <c r="H635">
        <v>1338.0083007999999</v>
      </c>
      <c r="I635">
        <v>1320.9072266000001</v>
      </c>
      <c r="J635">
        <v>1316.4312743999999</v>
      </c>
      <c r="K635">
        <v>2750</v>
      </c>
      <c r="L635">
        <v>0</v>
      </c>
      <c r="M635">
        <v>0</v>
      </c>
      <c r="N635">
        <v>2750</v>
      </c>
    </row>
    <row r="636" spans="1:14" x14ac:dyDescent="0.25">
      <c r="A636">
        <v>116.646625</v>
      </c>
      <c r="B636" s="1">
        <f>DATE(2010,8,25) + TIME(15,31,8)</f>
        <v>40415.646620370368</v>
      </c>
      <c r="C636">
        <v>80</v>
      </c>
      <c r="D636">
        <v>79.951484679999993</v>
      </c>
      <c r="E636">
        <v>50</v>
      </c>
      <c r="F636">
        <v>25.831493378000001</v>
      </c>
      <c r="G636">
        <v>1340.4171143000001</v>
      </c>
      <c r="H636">
        <v>1338.0035399999999</v>
      </c>
      <c r="I636">
        <v>1320.9168701000001</v>
      </c>
      <c r="J636">
        <v>1316.4573975000001</v>
      </c>
      <c r="K636">
        <v>2750</v>
      </c>
      <c r="L636">
        <v>0</v>
      </c>
      <c r="M636">
        <v>0</v>
      </c>
      <c r="N636">
        <v>2750</v>
      </c>
    </row>
    <row r="637" spans="1:14" x14ac:dyDescent="0.25">
      <c r="A637">
        <v>117.34322899999999</v>
      </c>
      <c r="B637" s="1">
        <f>DATE(2010,8,26) + TIME(8,14,15)</f>
        <v>40416.343229166669</v>
      </c>
      <c r="C637">
        <v>80</v>
      </c>
      <c r="D637">
        <v>79.951515197999996</v>
      </c>
      <c r="E637">
        <v>50</v>
      </c>
      <c r="F637">
        <v>26.416471480999999</v>
      </c>
      <c r="G637">
        <v>1340.411499</v>
      </c>
      <c r="H637">
        <v>1337.9989014</v>
      </c>
      <c r="I637">
        <v>1320.9263916</v>
      </c>
      <c r="J637">
        <v>1316.4837646000001</v>
      </c>
      <c r="K637">
        <v>2750</v>
      </c>
      <c r="L637">
        <v>0</v>
      </c>
      <c r="M637">
        <v>0</v>
      </c>
      <c r="N637">
        <v>2750</v>
      </c>
    </row>
    <row r="638" spans="1:14" x14ac:dyDescent="0.25">
      <c r="A638">
        <v>118.04156500000001</v>
      </c>
      <c r="B638" s="1">
        <f>DATE(2010,8,27) + TIME(0,59,51)</f>
        <v>40417.041562500002</v>
      </c>
      <c r="C638">
        <v>80</v>
      </c>
      <c r="D638">
        <v>79.951545714999995</v>
      </c>
      <c r="E638">
        <v>50</v>
      </c>
      <c r="F638">
        <v>26.997360229000002</v>
      </c>
      <c r="G638">
        <v>1340.4058838000001</v>
      </c>
      <c r="H638">
        <v>1337.9942627</v>
      </c>
      <c r="I638">
        <v>1320.9361572</v>
      </c>
      <c r="J638">
        <v>1316.5101318</v>
      </c>
      <c r="K638">
        <v>2750</v>
      </c>
      <c r="L638">
        <v>0</v>
      </c>
      <c r="M638">
        <v>0</v>
      </c>
      <c r="N638">
        <v>2750</v>
      </c>
    </row>
    <row r="639" spans="1:14" x14ac:dyDescent="0.25">
      <c r="A639">
        <v>118.74344499999999</v>
      </c>
      <c r="B639" s="1">
        <f>DATE(2010,8,27) + TIME(17,50,33)</f>
        <v>40417.743437500001</v>
      </c>
      <c r="C639">
        <v>80</v>
      </c>
      <c r="D639">
        <v>79.951583862000007</v>
      </c>
      <c r="E639">
        <v>50</v>
      </c>
      <c r="F639">
        <v>27.569908141999999</v>
      </c>
      <c r="G639">
        <v>1340.4002685999999</v>
      </c>
      <c r="H639">
        <v>1337.989624</v>
      </c>
      <c r="I639">
        <v>1320.9460449000001</v>
      </c>
      <c r="J639">
        <v>1316.5366211</v>
      </c>
      <c r="K639">
        <v>2750</v>
      </c>
      <c r="L639">
        <v>0</v>
      </c>
      <c r="M639">
        <v>0</v>
      </c>
      <c r="N639">
        <v>2750</v>
      </c>
    </row>
    <row r="640" spans="1:14" x14ac:dyDescent="0.25">
      <c r="A640">
        <v>119.450946</v>
      </c>
      <c r="B640" s="1">
        <f>DATE(2010,8,28) + TIME(10,49,21)</f>
        <v>40418.450937499998</v>
      </c>
      <c r="C640">
        <v>80</v>
      </c>
      <c r="D640">
        <v>79.951614379999995</v>
      </c>
      <c r="E640">
        <v>50</v>
      </c>
      <c r="F640">
        <v>28.132062911999999</v>
      </c>
      <c r="G640">
        <v>1340.3946533000001</v>
      </c>
      <c r="H640">
        <v>1337.9851074000001</v>
      </c>
      <c r="I640">
        <v>1320.9562988</v>
      </c>
      <c r="J640">
        <v>1316.5631103999999</v>
      </c>
      <c r="K640">
        <v>2750</v>
      </c>
      <c r="L640">
        <v>0</v>
      </c>
      <c r="M640">
        <v>0</v>
      </c>
      <c r="N640">
        <v>2750</v>
      </c>
    </row>
    <row r="641" spans="1:14" x14ac:dyDescent="0.25">
      <c r="A641">
        <v>120.166267</v>
      </c>
      <c r="B641" s="1">
        <f>DATE(2010,8,29) + TIME(3,59,25)</f>
        <v>40419.166261574072</v>
      </c>
      <c r="C641">
        <v>80</v>
      </c>
      <c r="D641">
        <v>79.951652526999993</v>
      </c>
      <c r="E641">
        <v>50</v>
      </c>
      <c r="F641">
        <v>28.683694839000001</v>
      </c>
      <c r="G641">
        <v>1340.3891602000001</v>
      </c>
      <c r="H641">
        <v>1337.9805908000001</v>
      </c>
      <c r="I641">
        <v>1320.9670410000001</v>
      </c>
      <c r="J641">
        <v>1316.5895995999999</v>
      </c>
      <c r="K641">
        <v>2750</v>
      </c>
      <c r="L641">
        <v>0</v>
      </c>
      <c r="M641">
        <v>0</v>
      </c>
      <c r="N641">
        <v>2750</v>
      </c>
    </row>
    <row r="642" spans="1:14" x14ac:dyDescent="0.25">
      <c r="A642">
        <v>120.891728</v>
      </c>
      <c r="B642" s="1">
        <f>DATE(2010,8,29) + TIME(21,24,5)</f>
        <v>40419.891724537039</v>
      </c>
      <c r="C642">
        <v>80</v>
      </c>
      <c r="D642">
        <v>79.951690674000005</v>
      </c>
      <c r="E642">
        <v>50</v>
      </c>
      <c r="F642">
        <v>29.225675583000001</v>
      </c>
      <c r="G642">
        <v>1340.3835449000001</v>
      </c>
      <c r="H642">
        <v>1337.9759521000001</v>
      </c>
      <c r="I642">
        <v>1320.9781493999999</v>
      </c>
      <c r="J642">
        <v>1316.6163329999999</v>
      </c>
      <c r="K642">
        <v>2750</v>
      </c>
      <c r="L642">
        <v>0</v>
      </c>
      <c r="M642">
        <v>0</v>
      </c>
      <c r="N642">
        <v>2750</v>
      </c>
    </row>
    <row r="643" spans="1:14" x14ac:dyDescent="0.25">
      <c r="A643">
        <v>121.629656</v>
      </c>
      <c r="B643" s="1">
        <f>DATE(2010,8,30) + TIME(15,6,42)</f>
        <v>40420.629652777781</v>
      </c>
      <c r="C643">
        <v>80</v>
      </c>
      <c r="D643">
        <v>79.951721191000004</v>
      </c>
      <c r="E643">
        <v>50</v>
      </c>
      <c r="F643">
        <v>29.75945282</v>
      </c>
      <c r="G643">
        <v>1340.3780518000001</v>
      </c>
      <c r="H643">
        <v>1337.9714355000001</v>
      </c>
      <c r="I643">
        <v>1320.9898682</v>
      </c>
      <c r="J643">
        <v>1316.6431885</v>
      </c>
      <c r="K643">
        <v>2750</v>
      </c>
      <c r="L643">
        <v>0</v>
      </c>
      <c r="M643">
        <v>0</v>
      </c>
      <c r="N643">
        <v>2750</v>
      </c>
    </row>
    <row r="644" spans="1:14" x14ac:dyDescent="0.25">
      <c r="A644">
        <v>122.000789</v>
      </c>
      <c r="B644" s="1">
        <f>DATE(2010,8,31) + TIME(0,1,8)</f>
        <v>40421.000787037039</v>
      </c>
      <c r="C644">
        <v>80</v>
      </c>
      <c r="D644">
        <v>79.951736449999999</v>
      </c>
      <c r="E644">
        <v>50</v>
      </c>
      <c r="F644">
        <v>30.128442763999999</v>
      </c>
      <c r="G644">
        <v>1340.3724365</v>
      </c>
      <c r="H644">
        <v>1337.9669189000001</v>
      </c>
      <c r="I644">
        <v>1321.0083007999999</v>
      </c>
      <c r="J644">
        <v>1316.6674805</v>
      </c>
      <c r="K644">
        <v>2750</v>
      </c>
      <c r="L644">
        <v>0</v>
      </c>
      <c r="M644">
        <v>0</v>
      </c>
      <c r="N644">
        <v>2750</v>
      </c>
    </row>
    <row r="645" spans="1:14" x14ac:dyDescent="0.25">
      <c r="A645">
        <v>122.371849</v>
      </c>
      <c r="B645" s="1">
        <f>DATE(2010,8,31) + TIME(8,55,27)</f>
        <v>40421.371840277781</v>
      </c>
      <c r="C645">
        <v>80</v>
      </c>
      <c r="D645">
        <v>79.951751709000007</v>
      </c>
      <c r="E645">
        <v>50</v>
      </c>
      <c r="F645">
        <v>30.450124741</v>
      </c>
      <c r="G645">
        <v>1340.3696289</v>
      </c>
      <c r="H645">
        <v>1337.9645995999999</v>
      </c>
      <c r="I645">
        <v>1321.0124512</v>
      </c>
      <c r="J645">
        <v>1316.6831055</v>
      </c>
      <c r="K645">
        <v>2750</v>
      </c>
      <c r="L645">
        <v>0</v>
      </c>
      <c r="M645">
        <v>0</v>
      </c>
      <c r="N645">
        <v>2750</v>
      </c>
    </row>
    <row r="646" spans="1:14" x14ac:dyDescent="0.25">
      <c r="A646">
        <v>123</v>
      </c>
      <c r="B646" s="1">
        <f>DATE(2010,9,1) + TIME(0,0,0)</f>
        <v>40422</v>
      </c>
      <c r="C646">
        <v>80</v>
      </c>
      <c r="D646">
        <v>79.951789856000005</v>
      </c>
      <c r="E646">
        <v>50</v>
      </c>
      <c r="F646">
        <v>30.835231781000001</v>
      </c>
      <c r="G646">
        <v>1340.3668213000001</v>
      </c>
      <c r="H646">
        <v>1337.9622803</v>
      </c>
      <c r="I646">
        <v>1321.0141602000001</v>
      </c>
      <c r="J646">
        <v>1316.699707</v>
      </c>
      <c r="K646">
        <v>2750</v>
      </c>
      <c r="L646">
        <v>0</v>
      </c>
      <c r="M646">
        <v>0</v>
      </c>
      <c r="N646">
        <v>2750</v>
      </c>
    </row>
    <row r="647" spans="1:14" x14ac:dyDescent="0.25">
      <c r="A647">
        <v>123.370304</v>
      </c>
      <c r="B647" s="1">
        <f>DATE(2010,9,1) + TIME(8,53,14)</f>
        <v>40422.370300925926</v>
      </c>
      <c r="C647">
        <v>80</v>
      </c>
      <c r="D647">
        <v>79.951805114999999</v>
      </c>
      <c r="E647">
        <v>50</v>
      </c>
      <c r="F647">
        <v>31.139448166000001</v>
      </c>
      <c r="G647">
        <v>1340.3621826000001</v>
      </c>
      <c r="H647">
        <v>1337.9584961</v>
      </c>
      <c r="I647">
        <v>1321.0295410000001</v>
      </c>
      <c r="J647">
        <v>1316.7200928</v>
      </c>
      <c r="K647">
        <v>2750</v>
      </c>
      <c r="L647">
        <v>0</v>
      </c>
      <c r="M647">
        <v>0</v>
      </c>
      <c r="N647">
        <v>2750</v>
      </c>
    </row>
    <row r="648" spans="1:14" x14ac:dyDescent="0.25">
      <c r="A648">
        <v>123.73966</v>
      </c>
      <c r="B648" s="1">
        <f>DATE(2010,9,1) + TIME(17,45,6)</f>
        <v>40422.739652777775</v>
      </c>
      <c r="C648">
        <v>80</v>
      </c>
      <c r="D648">
        <v>79.951820373999993</v>
      </c>
      <c r="E648">
        <v>50</v>
      </c>
      <c r="F648">
        <v>31.416860580000002</v>
      </c>
      <c r="G648">
        <v>1340.3594971</v>
      </c>
      <c r="H648">
        <v>1337.9562988</v>
      </c>
      <c r="I648">
        <v>1321.0350341999999</v>
      </c>
      <c r="J648">
        <v>1316.7347411999999</v>
      </c>
      <c r="K648">
        <v>2750</v>
      </c>
      <c r="L648">
        <v>0</v>
      </c>
      <c r="M648">
        <v>0</v>
      </c>
      <c r="N648">
        <v>2750</v>
      </c>
    </row>
    <row r="649" spans="1:14" x14ac:dyDescent="0.25">
      <c r="A649">
        <v>124.109015</v>
      </c>
      <c r="B649" s="1">
        <f>DATE(2010,9,2) + TIME(2,36,58)</f>
        <v>40423.10900462963</v>
      </c>
      <c r="C649">
        <v>80</v>
      </c>
      <c r="D649">
        <v>79.951835631999998</v>
      </c>
      <c r="E649">
        <v>50</v>
      </c>
      <c r="F649">
        <v>31.677314758000001</v>
      </c>
      <c r="G649">
        <v>1340.3566894999999</v>
      </c>
      <c r="H649">
        <v>1337.9539795000001</v>
      </c>
      <c r="I649">
        <v>1321.0411377</v>
      </c>
      <c r="J649">
        <v>1316.7489014</v>
      </c>
      <c r="K649">
        <v>2750</v>
      </c>
      <c r="L649">
        <v>0</v>
      </c>
      <c r="M649">
        <v>0</v>
      </c>
      <c r="N649">
        <v>2750</v>
      </c>
    </row>
    <row r="650" spans="1:14" x14ac:dyDescent="0.25">
      <c r="A650">
        <v>124.478371</v>
      </c>
      <c r="B650" s="1">
        <f>DATE(2010,9,2) + TIME(11,28,51)</f>
        <v>40423.478368055556</v>
      </c>
      <c r="C650">
        <v>80</v>
      </c>
      <c r="D650">
        <v>79.951858521000005</v>
      </c>
      <c r="E650">
        <v>50</v>
      </c>
      <c r="F650">
        <v>31.926502228</v>
      </c>
      <c r="G650">
        <v>1340.3540039</v>
      </c>
      <c r="H650">
        <v>1337.9517822</v>
      </c>
      <c r="I650">
        <v>1321.0474853999999</v>
      </c>
      <c r="J650">
        <v>1316.7628173999999</v>
      </c>
      <c r="K650">
        <v>2750</v>
      </c>
      <c r="L650">
        <v>0</v>
      </c>
      <c r="M650">
        <v>0</v>
      </c>
      <c r="N650">
        <v>2750</v>
      </c>
    </row>
    <row r="651" spans="1:14" x14ac:dyDescent="0.25">
      <c r="A651">
        <v>124.84772599999999</v>
      </c>
      <c r="B651" s="1">
        <f>DATE(2010,9,2) + TIME(20,20,43)</f>
        <v>40423.847719907404</v>
      </c>
      <c r="C651">
        <v>80</v>
      </c>
      <c r="D651">
        <v>79.951873778999996</v>
      </c>
      <c r="E651">
        <v>50</v>
      </c>
      <c r="F651">
        <v>32.167827606000003</v>
      </c>
      <c r="G651">
        <v>1340.3513184000001</v>
      </c>
      <c r="H651">
        <v>1337.949707</v>
      </c>
      <c r="I651">
        <v>1321.0540771000001</v>
      </c>
      <c r="J651">
        <v>1316.7766113</v>
      </c>
      <c r="K651">
        <v>2750</v>
      </c>
      <c r="L651">
        <v>0</v>
      </c>
      <c r="M651">
        <v>0</v>
      </c>
      <c r="N651">
        <v>2750</v>
      </c>
    </row>
    <row r="652" spans="1:14" x14ac:dyDescent="0.25">
      <c r="A652">
        <v>125.586437</v>
      </c>
      <c r="B652" s="1">
        <f>DATE(2010,9,3) + TIME(14,4,28)</f>
        <v>40424.586435185185</v>
      </c>
      <c r="C652">
        <v>80</v>
      </c>
      <c r="D652">
        <v>79.951919556000007</v>
      </c>
      <c r="E652">
        <v>50</v>
      </c>
      <c r="F652">
        <v>32.500877379999999</v>
      </c>
      <c r="G652">
        <v>1340.3487548999999</v>
      </c>
      <c r="H652">
        <v>1337.9475098</v>
      </c>
      <c r="I652">
        <v>1321.0571289</v>
      </c>
      <c r="J652">
        <v>1316.7922363</v>
      </c>
      <c r="K652">
        <v>2750</v>
      </c>
      <c r="L652">
        <v>0</v>
      </c>
      <c r="M652">
        <v>0</v>
      </c>
      <c r="N652">
        <v>2750</v>
      </c>
    </row>
    <row r="653" spans="1:14" x14ac:dyDescent="0.25">
      <c r="A653">
        <v>126.32563500000001</v>
      </c>
      <c r="B653" s="1">
        <f>DATE(2010,9,4) + TIME(7,48,54)</f>
        <v>40425.325624999998</v>
      </c>
      <c r="C653">
        <v>80</v>
      </c>
      <c r="D653">
        <v>79.951957703000005</v>
      </c>
      <c r="E653">
        <v>50</v>
      </c>
      <c r="F653">
        <v>32.901340484999999</v>
      </c>
      <c r="G653">
        <v>1340.3433838000001</v>
      </c>
      <c r="H653">
        <v>1337.9432373</v>
      </c>
      <c r="I653">
        <v>1321.0723877</v>
      </c>
      <c r="J653">
        <v>1316.8167725000001</v>
      </c>
      <c r="K653">
        <v>2750</v>
      </c>
      <c r="L653">
        <v>0</v>
      </c>
      <c r="M653">
        <v>0</v>
      </c>
      <c r="N653">
        <v>2750</v>
      </c>
    </row>
    <row r="654" spans="1:14" x14ac:dyDescent="0.25">
      <c r="A654">
        <v>127.072906</v>
      </c>
      <c r="B654" s="1">
        <f>DATE(2010,9,5) + TIME(1,44,59)</f>
        <v>40426.072905092595</v>
      </c>
      <c r="C654">
        <v>80</v>
      </c>
      <c r="D654">
        <v>79.951995850000003</v>
      </c>
      <c r="E654">
        <v>50</v>
      </c>
      <c r="F654">
        <v>33.325523376</v>
      </c>
      <c r="G654">
        <v>1340.3381348</v>
      </c>
      <c r="H654">
        <v>1337.9389647999999</v>
      </c>
      <c r="I654">
        <v>1321.0867920000001</v>
      </c>
      <c r="J654">
        <v>1316.8426514</v>
      </c>
      <c r="K654">
        <v>2750</v>
      </c>
      <c r="L654">
        <v>0</v>
      </c>
      <c r="M654">
        <v>0</v>
      </c>
      <c r="N654">
        <v>2750</v>
      </c>
    </row>
    <row r="655" spans="1:14" x14ac:dyDescent="0.25">
      <c r="A655">
        <v>127.830405</v>
      </c>
      <c r="B655" s="1">
        <f>DATE(2010,9,5) + TIME(19,55,47)</f>
        <v>40426.830405092594</v>
      </c>
      <c r="C655">
        <v>80</v>
      </c>
      <c r="D655">
        <v>79.952033997000001</v>
      </c>
      <c r="E655">
        <v>50</v>
      </c>
      <c r="F655">
        <v>33.756446838000002</v>
      </c>
      <c r="G655">
        <v>1340.3330077999999</v>
      </c>
      <c r="H655">
        <v>1337.9346923999999</v>
      </c>
      <c r="I655">
        <v>1321.1013184000001</v>
      </c>
      <c r="J655">
        <v>1316.8692627</v>
      </c>
      <c r="K655">
        <v>2750</v>
      </c>
      <c r="L655">
        <v>0</v>
      </c>
      <c r="M655">
        <v>0</v>
      </c>
      <c r="N655">
        <v>2750</v>
      </c>
    </row>
    <row r="656" spans="1:14" x14ac:dyDescent="0.25">
      <c r="A656">
        <v>128.596912</v>
      </c>
      <c r="B656" s="1">
        <f>DATE(2010,9,6) + TIME(14,19,33)</f>
        <v>40427.596909722219</v>
      </c>
      <c r="C656">
        <v>80</v>
      </c>
      <c r="D656">
        <v>79.952072143999999</v>
      </c>
      <c r="E656">
        <v>50</v>
      </c>
      <c r="F656">
        <v>34.186798095999997</v>
      </c>
      <c r="G656">
        <v>1340.3276367000001</v>
      </c>
      <c r="H656">
        <v>1337.9304199000001</v>
      </c>
      <c r="I656">
        <v>1321.1162108999999</v>
      </c>
      <c r="J656">
        <v>1316.8964844</v>
      </c>
      <c r="K656">
        <v>2750</v>
      </c>
      <c r="L656">
        <v>0</v>
      </c>
      <c r="M656">
        <v>0</v>
      </c>
      <c r="N656">
        <v>2750</v>
      </c>
    </row>
    <row r="657" spans="1:14" x14ac:dyDescent="0.25">
      <c r="A657">
        <v>129.37263899999999</v>
      </c>
      <c r="B657" s="1">
        <f>DATE(2010,9,7) + TIME(8,56,35)</f>
        <v>40428.372627314813</v>
      </c>
      <c r="C657">
        <v>80</v>
      </c>
      <c r="D657">
        <v>79.952110290999997</v>
      </c>
      <c r="E657">
        <v>50</v>
      </c>
      <c r="F657">
        <v>34.613296509000001</v>
      </c>
      <c r="G657">
        <v>1340.3223877</v>
      </c>
      <c r="H657">
        <v>1337.9261475000001</v>
      </c>
      <c r="I657">
        <v>1321.1312256000001</v>
      </c>
      <c r="J657">
        <v>1316.9241943</v>
      </c>
      <c r="K657">
        <v>2750</v>
      </c>
      <c r="L657">
        <v>0</v>
      </c>
      <c r="M657">
        <v>0</v>
      </c>
      <c r="N657">
        <v>2750</v>
      </c>
    </row>
    <row r="658" spans="1:14" x14ac:dyDescent="0.25">
      <c r="A658">
        <v>130.15519900000001</v>
      </c>
      <c r="B658" s="1">
        <f>DATE(2010,9,8) + TIME(3,43,29)</f>
        <v>40429.15519675926</v>
      </c>
      <c r="C658">
        <v>80</v>
      </c>
      <c r="D658">
        <v>79.952148437999995</v>
      </c>
      <c r="E658">
        <v>50</v>
      </c>
      <c r="F658">
        <v>35.034137725999997</v>
      </c>
      <c r="G658">
        <v>1340.3171387</v>
      </c>
      <c r="H658">
        <v>1337.921875</v>
      </c>
      <c r="I658">
        <v>1321.1467285000001</v>
      </c>
      <c r="J658">
        <v>1316.9521483999999</v>
      </c>
      <c r="K658">
        <v>2750</v>
      </c>
      <c r="L658">
        <v>0</v>
      </c>
      <c r="M658">
        <v>0</v>
      </c>
      <c r="N658">
        <v>2750</v>
      </c>
    </row>
    <row r="659" spans="1:14" x14ac:dyDescent="0.25">
      <c r="A659">
        <v>130.94710699999999</v>
      </c>
      <c r="B659" s="1">
        <f>DATE(2010,9,8) + TIME(22,43,50)</f>
        <v>40429.947106481479</v>
      </c>
      <c r="C659">
        <v>80</v>
      </c>
      <c r="D659">
        <v>79.952186584000003</v>
      </c>
      <c r="E659">
        <v>50</v>
      </c>
      <c r="F659">
        <v>35.448905945</v>
      </c>
      <c r="G659">
        <v>1340.3118896000001</v>
      </c>
      <c r="H659">
        <v>1337.9176024999999</v>
      </c>
      <c r="I659">
        <v>1321.1624756000001</v>
      </c>
      <c r="J659">
        <v>1316.9804687999999</v>
      </c>
      <c r="K659">
        <v>2750</v>
      </c>
      <c r="L659">
        <v>0</v>
      </c>
      <c r="M659">
        <v>0</v>
      </c>
      <c r="N659">
        <v>2750</v>
      </c>
    </row>
    <row r="660" spans="1:14" x14ac:dyDescent="0.25">
      <c r="A660">
        <v>131.34541899999999</v>
      </c>
      <c r="B660" s="1">
        <f>DATE(2010,9,9) + TIME(8,17,24)</f>
        <v>40430.345416666663</v>
      </c>
      <c r="C660">
        <v>80</v>
      </c>
      <c r="D660">
        <v>79.952201842999997</v>
      </c>
      <c r="E660">
        <v>50</v>
      </c>
      <c r="F660">
        <v>35.743663787999999</v>
      </c>
      <c r="G660">
        <v>1340.3066406</v>
      </c>
      <c r="H660">
        <v>1337.9133300999999</v>
      </c>
      <c r="I660">
        <v>1321.1824951000001</v>
      </c>
      <c r="J660">
        <v>1317.0064697</v>
      </c>
      <c r="K660">
        <v>2750</v>
      </c>
      <c r="L660">
        <v>0</v>
      </c>
      <c r="M660">
        <v>0</v>
      </c>
      <c r="N660">
        <v>2750</v>
      </c>
    </row>
    <row r="661" spans="1:14" x14ac:dyDescent="0.25">
      <c r="A661">
        <v>131.74293299999999</v>
      </c>
      <c r="B661" s="1">
        <f>DATE(2010,9,9) + TIME(17,49,49)</f>
        <v>40430.742928240739</v>
      </c>
      <c r="C661">
        <v>80</v>
      </c>
      <c r="D661">
        <v>79.952217102000006</v>
      </c>
      <c r="E661">
        <v>50</v>
      </c>
      <c r="F661">
        <v>35.995410919000001</v>
      </c>
      <c r="G661">
        <v>1340.3039550999999</v>
      </c>
      <c r="H661">
        <v>1337.9111327999999</v>
      </c>
      <c r="I661">
        <v>1321.1895752</v>
      </c>
      <c r="J661">
        <v>1317.0231934000001</v>
      </c>
      <c r="K661">
        <v>2750</v>
      </c>
      <c r="L661">
        <v>0</v>
      </c>
      <c r="M661">
        <v>0</v>
      </c>
      <c r="N661">
        <v>2750</v>
      </c>
    </row>
    <row r="662" spans="1:14" x14ac:dyDescent="0.25">
      <c r="A662">
        <v>132.139375</v>
      </c>
      <c r="B662" s="1">
        <f>DATE(2010,9,10) + TIME(3,20,42)</f>
        <v>40431.139374999999</v>
      </c>
      <c r="C662">
        <v>80</v>
      </c>
      <c r="D662">
        <v>79.952232361</v>
      </c>
      <c r="E662">
        <v>50</v>
      </c>
      <c r="F662">
        <v>36.222045897999998</v>
      </c>
      <c r="G662">
        <v>1340.3013916</v>
      </c>
      <c r="H662">
        <v>1337.9090576000001</v>
      </c>
      <c r="I662">
        <v>1321.1972656</v>
      </c>
      <c r="J662">
        <v>1317.0390625</v>
      </c>
      <c r="K662">
        <v>2750</v>
      </c>
      <c r="L662">
        <v>0</v>
      </c>
      <c r="M662">
        <v>0</v>
      </c>
      <c r="N662">
        <v>2750</v>
      </c>
    </row>
    <row r="663" spans="1:14" x14ac:dyDescent="0.25">
      <c r="A663">
        <v>132.53524100000001</v>
      </c>
      <c r="B663" s="1">
        <f>DATE(2010,9,10) + TIME(12,50,44)</f>
        <v>40431.535231481481</v>
      </c>
      <c r="C663">
        <v>80</v>
      </c>
      <c r="D663">
        <v>79.952255249000004</v>
      </c>
      <c r="E663">
        <v>50</v>
      </c>
      <c r="F663">
        <v>36.433792113999999</v>
      </c>
      <c r="G663">
        <v>1340.2988281</v>
      </c>
      <c r="H663">
        <v>1337.9069824000001</v>
      </c>
      <c r="I663">
        <v>1321.2052002</v>
      </c>
      <c r="J663">
        <v>1317.0543213000001</v>
      </c>
      <c r="K663">
        <v>2750</v>
      </c>
      <c r="L663">
        <v>0</v>
      </c>
      <c r="M663">
        <v>0</v>
      </c>
      <c r="N663">
        <v>2750</v>
      </c>
    </row>
    <row r="664" spans="1:14" x14ac:dyDescent="0.25">
      <c r="A664">
        <v>132.931028</v>
      </c>
      <c r="B664" s="1">
        <f>DATE(2010,9,10) + TIME(22,20,40)</f>
        <v>40431.931018518517</v>
      </c>
      <c r="C664">
        <v>80</v>
      </c>
      <c r="D664">
        <v>79.952278136999993</v>
      </c>
      <c r="E664">
        <v>50</v>
      </c>
      <c r="F664">
        <v>36.636463165000002</v>
      </c>
      <c r="G664">
        <v>1340.2962646000001</v>
      </c>
      <c r="H664">
        <v>1337.9049072</v>
      </c>
      <c r="I664">
        <v>1321.2132568</v>
      </c>
      <c r="J664">
        <v>1317.0692139</v>
      </c>
      <c r="K664">
        <v>2750</v>
      </c>
      <c r="L664">
        <v>0</v>
      </c>
      <c r="M664">
        <v>0</v>
      </c>
      <c r="N664">
        <v>2750</v>
      </c>
    </row>
    <row r="665" spans="1:14" x14ac:dyDescent="0.25">
      <c r="A665">
        <v>133.32681400000001</v>
      </c>
      <c r="B665" s="1">
        <f>DATE(2010,9,11) + TIME(7,50,36)</f>
        <v>40432.326805555553</v>
      </c>
      <c r="C665">
        <v>80</v>
      </c>
      <c r="D665">
        <v>79.952293396000002</v>
      </c>
      <c r="E665">
        <v>50</v>
      </c>
      <c r="F665">
        <v>36.833316803000002</v>
      </c>
      <c r="G665">
        <v>1340.2937012</v>
      </c>
      <c r="H665">
        <v>1337.902832</v>
      </c>
      <c r="I665">
        <v>1321.2214355000001</v>
      </c>
      <c r="J665">
        <v>1317.0838623</v>
      </c>
      <c r="K665">
        <v>2750</v>
      </c>
      <c r="L665">
        <v>0</v>
      </c>
      <c r="M665">
        <v>0</v>
      </c>
      <c r="N665">
        <v>2750</v>
      </c>
    </row>
    <row r="666" spans="1:14" x14ac:dyDescent="0.25">
      <c r="A666">
        <v>133.722601</v>
      </c>
      <c r="B666" s="1">
        <f>DATE(2010,9,11) + TIME(17,20,32)</f>
        <v>40432.722592592596</v>
      </c>
      <c r="C666">
        <v>80</v>
      </c>
      <c r="D666">
        <v>79.952316284000005</v>
      </c>
      <c r="E666">
        <v>50</v>
      </c>
      <c r="F666">
        <v>37.026199341000002</v>
      </c>
      <c r="G666">
        <v>1340.2911377</v>
      </c>
      <c r="H666">
        <v>1337.9007568</v>
      </c>
      <c r="I666">
        <v>1321.2296143000001</v>
      </c>
      <c r="J666">
        <v>1317.0985106999999</v>
      </c>
      <c r="K666">
        <v>2750</v>
      </c>
      <c r="L666">
        <v>0</v>
      </c>
      <c r="M666">
        <v>0</v>
      </c>
      <c r="N666">
        <v>2750</v>
      </c>
    </row>
    <row r="667" spans="1:14" x14ac:dyDescent="0.25">
      <c r="A667">
        <v>134.11838800000001</v>
      </c>
      <c r="B667" s="1">
        <f>DATE(2010,9,12) + TIME(2,50,28)</f>
        <v>40433.118379629632</v>
      </c>
      <c r="C667">
        <v>80</v>
      </c>
      <c r="D667">
        <v>79.952331543</v>
      </c>
      <c r="E667">
        <v>50</v>
      </c>
      <c r="F667">
        <v>37.216163635000001</v>
      </c>
      <c r="G667">
        <v>1340.2885742000001</v>
      </c>
      <c r="H667">
        <v>1337.8986815999999</v>
      </c>
      <c r="I667">
        <v>1321.2379149999999</v>
      </c>
      <c r="J667">
        <v>1317.1130370999999</v>
      </c>
      <c r="K667">
        <v>2750</v>
      </c>
      <c r="L667">
        <v>0</v>
      </c>
      <c r="M667">
        <v>0</v>
      </c>
      <c r="N667">
        <v>2750</v>
      </c>
    </row>
    <row r="668" spans="1:14" x14ac:dyDescent="0.25">
      <c r="A668">
        <v>134.51417499999999</v>
      </c>
      <c r="B668" s="1">
        <f>DATE(2010,9,12) + TIME(12,20,24)</f>
        <v>40433.514166666668</v>
      </c>
      <c r="C668">
        <v>80</v>
      </c>
      <c r="D668">
        <v>79.952354431000003</v>
      </c>
      <c r="E668">
        <v>50</v>
      </c>
      <c r="F668">
        <v>37.403816223</v>
      </c>
      <c r="G668">
        <v>1340.2861327999999</v>
      </c>
      <c r="H668">
        <v>1337.8967285000001</v>
      </c>
      <c r="I668">
        <v>1321.2462158000001</v>
      </c>
      <c r="J668">
        <v>1317.1275635</v>
      </c>
      <c r="K668">
        <v>2750</v>
      </c>
      <c r="L668">
        <v>0</v>
      </c>
      <c r="M668">
        <v>0</v>
      </c>
      <c r="N668">
        <v>2750</v>
      </c>
    </row>
    <row r="669" spans="1:14" x14ac:dyDescent="0.25">
      <c r="A669">
        <v>135.30574799999999</v>
      </c>
      <c r="B669" s="1">
        <f>DATE(2010,9,13) + TIME(7,20,16)</f>
        <v>40434.30574074074</v>
      </c>
      <c r="C669">
        <v>80</v>
      </c>
      <c r="D669">
        <v>79.952400208</v>
      </c>
      <c r="E669">
        <v>50</v>
      </c>
      <c r="F669">
        <v>37.660541533999996</v>
      </c>
      <c r="G669">
        <v>1340.2836914</v>
      </c>
      <c r="H669">
        <v>1337.8946533000001</v>
      </c>
      <c r="I669">
        <v>1321.2523193</v>
      </c>
      <c r="J669">
        <v>1317.1439209</v>
      </c>
      <c r="K669">
        <v>2750</v>
      </c>
      <c r="L669">
        <v>0</v>
      </c>
      <c r="M669">
        <v>0</v>
      </c>
      <c r="N669">
        <v>2750</v>
      </c>
    </row>
    <row r="670" spans="1:14" x14ac:dyDescent="0.25">
      <c r="A670">
        <v>136.098919</v>
      </c>
      <c r="B670" s="1">
        <f>DATE(2010,9,14) + TIME(2,22,26)</f>
        <v>40435.098912037036</v>
      </c>
      <c r="C670">
        <v>80</v>
      </c>
      <c r="D670">
        <v>79.952438353999995</v>
      </c>
      <c r="E670">
        <v>50</v>
      </c>
      <c r="F670">
        <v>37.983215332</v>
      </c>
      <c r="G670">
        <v>1340.2786865</v>
      </c>
      <c r="H670">
        <v>1337.8907471</v>
      </c>
      <c r="I670">
        <v>1321.2694091999999</v>
      </c>
      <c r="J670">
        <v>1317.1696777</v>
      </c>
      <c r="K670">
        <v>2750</v>
      </c>
      <c r="L670">
        <v>0</v>
      </c>
      <c r="M670">
        <v>0</v>
      </c>
      <c r="N670">
        <v>2750</v>
      </c>
    </row>
    <row r="671" spans="1:14" x14ac:dyDescent="0.25">
      <c r="A671">
        <v>136.901715</v>
      </c>
      <c r="B671" s="1">
        <f>DATE(2010,9,14) + TIME(21,38,28)</f>
        <v>40435.901712962965</v>
      </c>
      <c r="C671">
        <v>80</v>
      </c>
      <c r="D671">
        <v>79.952484131000006</v>
      </c>
      <c r="E671">
        <v>50</v>
      </c>
      <c r="F671">
        <v>38.329299927000001</v>
      </c>
      <c r="G671">
        <v>1340.2738036999999</v>
      </c>
      <c r="H671">
        <v>1337.8867187999999</v>
      </c>
      <c r="I671">
        <v>1321.2861327999999</v>
      </c>
      <c r="J671">
        <v>1317.1971435999999</v>
      </c>
      <c r="K671">
        <v>2750</v>
      </c>
      <c r="L671">
        <v>0</v>
      </c>
      <c r="M671">
        <v>0</v>
      </c>
      <c r="N671">
        <v>2750</v>
      </c>
    </row>
    <row r="672" spans="1:14" x14ac:dyDescent="0.25">
      <c r="A672">
        <v>137.716599</v>
      </c>
      <c r="B672" s="1">
        <f>DATE(2010,9,15) + TIME(17,11,54)</f>
        <v>40436.716597222221</v>
      </c>
      <c r="C672">
        <v>80</v>
      </c>
      <c r="D672">
        <v>79.952522278000004</v>
      </c>
      <c r="E672">
        <v>50</v>
      </c>
      <c r="F672">
        <v>38.683849334999998</v>
      </c>
      <c r="G672">
        <v>1340.2689209</v>
      </c>
      <c r="H672">
        <v>1337.8828125</v>
      </c>
      <c r="I672">
        <v>1321.3029785000001</v>
      </c>
      <c r="J672">
        <v>1317.2253418</v>
      </c>
      <c r="K672">
        <v>2750</v>
      </c>
      <c r="L672">
        <v>0</v>
      </c>
      <c r="M672">
        <v>0</v>
      </c>
      <c r="N672">
        <v>2750</v>
      </c>
    </row>
    <row r="673" spans="1:14" x14ac:dyDescent="0.25">
      <c r="A673">
        <v>138.54254700000001</v>
      </c>
      <c r="B673" s="1">
        <f>DATE(2010,9,16) + TIME(13,1,16)</f>
        <v>40437.542546296296</v>
      </c>
      <c r="C673">
        <v>80</v>
      </c>
      <c r="D673">
        <v>79.952560425000001</v>
      </c>
      <c r="E673">
        <v>50</v>
      </c>
      <c r="F673">
        <v>39.041007995999998</v>
      </c>
      <c r="G673">
        <v>1340.2639160000001</v>
      </c>
      <c r="H673">
        <v>1337.8787841999999</v>
      </c>
      <c r="I673">
        <v>1321.3200684000001</v>
      </c>
      <c r="J673">
        <v>1317.2542725000001</v>
      </c>
      <c r="K673">
        <v>2750</v>
      </c>
      <c r="L673">
        <v>0</v>
      </c>
      <c r="M673">
        <v>0</v>
      </c>
      <c r="N673">
        <v>2750</v>
      </c>
    </row>
    <row r="674" spans="1:14" x14ac:dyDescent="0.25">
      <c r="A674">
        <v>139.37776500000001</v>
      </c>
      <c r="B674" s="1">
        <f>DATE(2010,9,17) + TIME(9,3,58)</f>
        <v>40438.377754629626</v>
      </c>
      <c r="C674">
        <v>80</v>
      </c>
      <c r="D674">
        <v>79.952606200999995</v>
      </c>
      <c r="E674">
        <v>50</v>
      </c>
      <c r="F674">
        <v>39.397941588999998</v>
      </c>
      <c r="G674">
        <v>1340.2590332</v>
      </c>
      <c r="H674">
        <v>1337.8748779</v>
      </c>
      <c r="I674">
        <v>1321.3372803</v>
      </c>
      <c r="J674">
        <v>1317.2833252</v>
      </c>
      <c r="K674">
        <v>2750</v>
      </c>
      <c r="L674">
        <v>0</v>
      </c>
      <c r="M674">
        <v>0</v>
      </c>
      <c r="N674">
        <v>2750</v>
      </c>
    </row>
    <row r="675" spans="1:14" x14ac:dyDescent="0.25">
      <c r="A675">
        <v>140.221994</v>
      </c>
      <c r="B675" s="1">
        <f>DATE(2010,9,18) + TIME(5,19,40)</f>
        <v>40439.221990740742</v>
      </c>
      <c r="C675">
        <v>80</v>
      </c>
      <c r="D675">
        <v>79.952644348000007</v>
      </c>
      <c r="E675">
        <v>50</v>
      </c>
      <c r="F675">
        <v>39.753154754999997</v>
      </c>
      <c r="G675">
        <v>1340.2540283000001</v>
      </c>
      <c r="H675">
        <v>1337.8709716999999</v>
      </c>
      <c r="I675">
        <v>1321.3546143000001</v>
      </c>
      <c r="J675">
        <v>1317.3126221</v>
      </c>
      <c r="K675">
        <v>2750</v>
      </c>
      <c r="L675">
        <v>0</v>
      </c>
      <c r="M675">
        <v>0</v>
      </c>
      <c r="N675">
        <v>2750</v>
      </c>
    </row>
    <row r="676" spans="1:14" x14ac:dyDescent="0.25">
      <c r="A676">
        <v>141.073725</v>
      </c>
      <c r="B676" s="1">
        <f>DATE(2010,9,19) + TIME(1,46,9)</f>
        <v>40440.07371527778</v>
      </c>
      <c r="C676">
        <v>80</v>
      </c>
      <c r="D676">
        <v>79.952690125000004</v>
      </c>
      <c r="E676">
        <v>50</v>
      </c>
      <c r="F676">
        <v>40.105712891000003</v>
      </c>
      <c r="G676">
        <v>1340.2491454999999</v>
      </c>
      <c r="H676">
        <v>1337.8669434000001</v>
      </c>
      <c r="I676">
        <v>1321.3720702999999</v>
      </c>
      <c r="J676">
        <v>1317.3420410000001</v>
      </c>
      <c r="K676">
        <v>2750</v>
      </c>
      <c r="L676">
        <v>0</v>
      </c>
      <c r="M676">
        <v>0</v>
      </c>
      <c r="N676">
        <v>2750</v>
      </c>
    </row>
    <row r="677" spans="1:14" x14ac:dyDescent="0.25">
      <c r="A677">
        <v>141.502545</v>
      </c>
      <c r="B677" s="1">
        <f>DATE(2010,9,19) + TIME(12,3,39)</f>
        <v>40440.502534722225</v>
      </c>
      <c r="C677">
        <v>80</v>
      </c>
      <c r="D677">
        <v>79.952705382999994</v>
      </c>
      <c r="E677">
        <v>50</v>
      </c>
      <c r="F677">
        <v>40.363117217999999</v>
      </c>
      <c r="G677">
        <v>1340.2442627</v>
      </c>
      <c r="H677">
        <v>1337.8630370999999</v>
      </c>
      <c r="I677">
        <v>1321.3923339999999</v>
      </c>
      <c r="J677">
        <v>1317.3687743999999</v>
      </c>
      <c r="K677">
        <v>2750</v>
      </c>
      <c r="L677">
        <v>0</v>
      </c>
      <c r="M677">
        <v>0</v>
      </c>
      <c r="N677">
        <v>2750</v>
      </c>
    </row>
    <row r="678" spans="1:14" x14ac:dyDescent="0.25">
      <c r="A678">
        <v>141.929396</v>
      </c>
      <c r="B678" s="1">
        <f>DATE(2010,9,19) + TIME(22,18,19)</f>
        <v>40440.929386574076</v>
      </c>
      <c r="C678">
        <v>80</v>
      </c>
      <c r="D678">
        <v>79.952728270999998</v>
      </c>
      <c r="E678">
        <v>50</v>
      </c>
      <c r="F678">
        <v>40.578937531000001</v>
      </c>
      <c r="G678">
        <v>1340.2418213000001</v>
      </c>
      <c r="H678">
        <v>1337.8610839999999</v>
      </c>
      <c r="I678">
        <v>1321.4006348</v>
      </c>
      <c r="J678">
        <v>1317.3861084</v>
      </c>
      <c r="K678">
        <v>2750</v>
      </c>
      <c r="L678">
        <v>0</v>
      </c>
      <c r="M678">
        <v>0</v>
      </c>
      <c r="N678">
        <v>2750</v>
      </c>
    </row>
    <row r="679" spans="1:14" x14ac:dyDescent="0.25">
      <c r="A679">
        <v>142.35567900000001</v>
      </c>
      <c r="B679" s="1">
        <f>DATE(2010,9,20) + TIME(8,32,10)</f>
        <v>40441.355671296296</v>
      </c>
      <c r="C679">
        <v>80</v>
      </c>
      <c r="D679">
        <v>79.952743530000006</v>
      </c>
      <c r="E679">
        <v>50</v>
      </c>
      <c r="F679">
        <v>40.772155761999997</v>
      </c>
      <c r="G679">
        <v>1340.2393798999999</v>
      </c>
      <c r="H679">
        <v>1337.8591309000001</v>
      </c>
      <c r="I679">
        <v>1321.4091797000001</v>
      </c>
      <c r="J679">
        <v>1317.4020995999999</v>
      </c>
      <c r="K679">
        <v>2750</v>
      </c>
      <c r="L679">
        <v>0</v>
      </c>
      <c r="M679">
        <v>0</v>
      </c>
      <c r="N679">
        <v>2750</v>
      </c>
    </row>
    <row r="680" spans="1:14" x14ac:dyDescent="0.25">
      <c r="A680">
        <v>142.78174999999999</v>
      </c>
      <c r="B680" s="1">
        <f>DATE(2010,9,20) + TIME(18,45,43)</f>
        <v>40441.781747685185</v>
      </c>
      <c r="C680">
        <v>80</v>
      </c>
      <c r="D680">
        <v>79.952766417999996</v>
      </c>
      <c r="E680">
        <v>50</v>
      </c>
      <c r="F680">
        <v>40.952648162999999</v>
      </c>
      <c r="G680">
        <v>1340.2369385</v>
      </c>
      <c r="H680">
        <v>1337.8571777</v>
      </c>
      <c r="I680">
        <v>1321.4178466999999</v>
      </c>
      <c r="J680">
        <v>1317.4173584</v>
      </c>
      <c r="K680">
        <v>2750</v>
      </c>
      <c r="L680">
        <v>0</v>
      </c>
      <c r="M680">
        <v>0</v>
      </c>
      <c r="N680">
        <v>2750</v>
      </c>
    </row>
    <row r="681" spans="1:14" x14ac:dyDescent="0.25">
      <c r="A681">
        <v>143.207821</v>
      </c>
      <c r="B681" s="1">
        <f>DATE(2010,9,21) + TIME(4,59,15)</f>
        <v>40442.207812499997</v>
      </c>
      <c r="C681">
        <v>80</v>
      </c>
      <c r="D681">
        <v>79.952789307000003</v>
      </c>
      <c r="E681">
        <v>50</v>
      </c>
      <c r="F681">
        <v>41.12562561</v>
      </c>
      <c r="G681">
        <v>1340.2346190999999</v>
      </c>
      <c r="H681">
        <v>1337.8553466999999</v>
      </c>
      <c r="I681">
        <v>1321.4263916</v>
      </c>
      <c r="J681">
        <v>1317.432251</v>
      </c>
      <c r="K681">
        <v>2750</v>
      </c>
      <c r="L681">
        <v>0</v>
      </c>
      <c r="M681">
        <v>0</v>
      </c>
      <c r="N681">
        <v>2750</v>
      </c>
    </row>
    <row r="682" spans="1:14" x14ac:dyDescent="0.25">
      <c r="A682">
        <v>143.633893</v>
      </c>
      <c r="B682" s="1">
        <f>DATE(2010,9,21) + TIME(15,12,48)</f>
        <v>40442.633888888886</v>
      </c>
      <c r="C682">
        <v>80</v>
      </c>
      <c r="D682">
        <v>79.952804564999994</v>
      </c>
      <c r="E682">
        <v>50</v>
      </c>
      <c r="F682">
        <v>41.293834685999997</v>
      </c>
      <c r="G682">
        <v>1340.2321777</v>
      </c>
      <c r="H682">
        <v>1337.8533935999999</v>
      </c>
      <c r="I682">
        <v>1321.4350586</v>
      </c>
      <c r="J682">
        <v>1317.4467772999999</v>
      </c>
      <c r="K682">
        <v>2750</v>
      </c>
      <c r="L682">
        <v>0</v>
      </c>
      <c r="M682">
        <v>0</v>
      </c>
      <c r="N682">
        <v>2750</v>
      </c>
    </row>
    <row r="683" spans="1:14" x14ac:dyDescent="0.25">
      <c r="A683">
        <v>144.05996400000001</v>
      </c>
      <c r="B683" s="1">
        <f>DATE(2010,9,22) + TIME(1,26,20)</f>
        <v>40443.059953703705</v>
      </c>
      <c r="C683">
        <v>80</v>
      </c>
      <c r="D683">
        <v>79.952827454000001</v>
      </c>
      <c r="E683">
        <v>50</v>
      </c>
      <c r="F683">
        <v>41.458717346</v>
      </c>
      <c r="G683">
        <v>1340.2298584</v>
      </c>
      <c r="H683">
        <v>1337.8515625</v>
      </c>
      <c r="I683">
        <v>1321.4437256000001</v>
      </c>
      <c r="J683">
        <v>1317.4610596</v>
      </c>
      <c r="K683">
        <v>2750</v>
      </c>
      <c r="L683">
        <v>0</v>
      </c>
      <c r="M683">
        <v>0</v>
      </c>
      <c r="N683">
        <v>2750</v>
      </c>
    </row>
    <row r="684" spans="1:14" x14ac:dyDescent="0.25">
      <c r="A684">
        <v>144.48603499999999</v>
      </c>
      <c r="B684" s="1">
        <f>DATE(2010,9,22) + TIME(11,39,53)</f>
        <v>40443.486030092594</v>
      </c>
      <c r="C684">
        <v>80</v>
      </c>
      <c r="D684">
        <v>79.952850342000005</v>
      </c>
      <c r="E684">
        <v>50</v>
      </c>
      <c r="F684">
        <v>41.621051788000003</v>
      </c>
      <c r="G684">
        <v>1340.2275391000001</v>
      </c>
      <c r="H684">
        <v>1337.8497314000001</v>
      </c>
      <c r="I684">
        <v>1321.4522704999999</v>
      </c>
      <c r="J684">
        <v>1317.4752197</v>
      </c>
      <c r="K684">
        <v>2750</v>
      </c>
      <c r="L684">
        <v>0</v>
      </c>
      <c r="M684">
        <v>0</v>
      </c>
      <c r="N684">
        <v>2750</v>
      </c>
    </row>
    <row r="685" spans="1:14" x14ac:dyDescent="0.25">
      <c r="A685">
        <v>145.338178</v>
      </c>
      <c r="B685" s="1">
        <f>DATE(2010,9,23) + TIME(8,6,58)</f>
        <v>40444.338171296295</v>
      </c>
      <c r="C685">
        <v>80</v>
      </c>
      <c r="D685">
        <v>79.952896117999998</v>
      </c>
      <c r="E685">
        <v>50</v>
      </c>
      <c r="F685">
        <v>41.838073729999998</v>
      </c>
      <c r="G685">
        <v>1340.2252197</v>
      </c>
      <c r="H685">
        <v>1337.8479004000001</v>
      </c>
      <c r="I685">
        <v>1321.4593506000001</v>
      </c>
      <c r="J685">
        <v>1317.4909668</v>
      </c>
      <c r="K685">
        <v>2750</v>
      </c>
      <c r="L685">
        <v>0</v>
      </c>
      <c r="M685">
        <v>0</v>
      </c>
      <c r="N685">
        <v>2750</v>
      </c>
    </row>
    <row r="686" spans="1:14" x14ac:dyDescent="0.25">
      <c r="A686">
        <v>146.19042099999999</v>
      </c>
      <c r="B686" s="1">
        <f>DATE(2010,9,24) + TIME(4,34,12)</f>
        <v>40445.190416666665</v>
      </c>
      <c r="C686">
        <v>80</v>
      </c>
      <c r="D686">
        <v>79.952941894999995</v>
      </c>
      <c r="E686">
        <v>50</v>
      </c>
      <c r="F686">
        <v>42.116394043</v>
      </c>
      <c r="G686">
        <v>1340.2205810999999</v>
      </c>
      <c r="H686">
        <v>1337.8442382999999</v>
      </c>
      <c r="I686">
        <v>1321.4763184000001</v>
      </c>
      <c r="J686">
        <v>1317.515625</v>
      </c>
      <c r="K686">
        <v>2750</v>
      </c>
      <c r="L686">
        <v>0</v>
      </c>
      <c r="M686">
        <v>0</v>
      </c>
      <c r="N686">
        <v>2750</v>
      </c>
    </row>
    <row r="687" spans="1:14" x14ac:dyDescent="0.25">
      <c r="A687">
        <v>147.05219199999999</v>
      </c>
      <c r="B687" s="1">
        <f>DATE(2010,9,25) + TIME(1,15,9)</f>
        <v>40446.052187499998</v>
      </c>
      <c r="C687">
        <v>80</v>
      </c>
      <c r="D687">
        <v>79.952987671000002</v>
      </c>
      <c r="E687">
        <v>50</v>
      </c>
      <c r="F687">
        <v>42.413455962999997</v>
      </c>
      <c r="G687">
        <v>1340.2160644999999</v>
      </c>
      <c r="H687">
        <v>1337.8405762</v>
      </c>
      <c r="I687">
        <v>1321.4930420000001</v>
      </c>
      <c r="J687">
        <v>1317.5418701000001</v>
      </c>
      <c r="K687">
        <v>2750</v>
      </c>
      <c r="L687">
        <v>0</v>
      </c>
      <c r="M687">
        <v>0</v>
      </c>
      <c r="N687">
        <v>2750</v>
      </c>
    </row>
    <row r="688" spans="1:14" x14ac:dyDescent="0.25">
      <c r="A688">
        <v>147.92609200000001</v>
      </c>
      <c r="B688" s="1">
        <f>DATE(2010,9,25) + TIME(22,13,34)</f>
        <v>40446.926087962966</v>
      </c>
      <c r="C688">
        <v>80</v>
      </c>
      <c r="D688">
        <v>79.953033446999996</v>
      </c>
      <c r="E688">
        <v>50</v>
      </c>
      <c r="F688">
        <v>42.715671538999999</v>
      </c>
      <c r="G688">
        <v>1340.2115478999999</v>
      </c>
      <c r="H688">
        <v>1337.8369141000001</v>
      </c>
      <c r="I688">
        <v>1321.5100098</v>
      </c>
      <c r="J688">
        <v>1317.5688477000001</v>
      </c>
      <c r="K688">
        <v>2750</v>
      </c>
      <c r="L688">
        <v>0</v>
      </c>
      <c r="M688">
        <v>0</v>
      </c>
      <c r="N688">
        <v>2750</v>
      </c>
    </row>
    <row r="689" spans="1:14" x14ac:dyDescent="0.25">
      <c r="A689">
        <v>148.81485000000001</v>
      </c>
      <c r="B689" s="1">
        <f>DATE(2010,9,26) + TIME(19,33,23)</f>
        <v>40447.814849537041</v>
      </c>
      <c r="C689">
        <v>80</v>
      </c>
      <c r="D689">
        <v>79.953079224000007</v>
      </c>
      <c r="E689">
        <v>50</v>
      </c>
      <c r="F689">
        <v>43.018703461000001</v>
      </c>
      <c r="G689">
        <v>1340.2069091999999</v>
      </c>
      <c r="H689">
        <v>1337.833374</v>
      </c>
      <c r="I689">
        <v>1321.5269774999999</v>
      </c>
      <c r="J689">
        <v>1317.5960693</v>
      </c>
      <c r="K689">
        <v>2750</v>
      </c>
      <c r="L689">
        <v>0</v>
      </c>
      <c r="M689">
        <v>0</v>
      </c>
      <c r="N689">
        <v>2750</v>
      </c>
    </row>
    <row r="690" spans="1:14" x14ac:dyDescent="0.25">
      <c r="A690">
        <v>149.71060900000001</v>
      </c>
      <c r="B690" s="1">
        <f>DATE(2010,9,27) + TIME(17,3,16)</f>
        <v>40448.710601851853</v>
      </c>
      <c r="C690">
        <v>80</v>
      </c>
      <c r="D690">
        <v>79.953117371000005</v>
      </c>
      <c r="E690">
        <v>50</v>
      </c>
      <c r="F690">
        <v>43.320289612000003</v>
      </c>
      <c r="G690">
        <v>1340.2023925999999</v>
      </c>
      <c r="H690">
        <v>1337.8297118999999</v>
      </c>
      <c r="I690">
        <v>1321.5443115</v>
      </c>
      <c r="J690">
        <v>1317.6234131000001</v>
      </c>
      <c r="K690">
        <v>2750</v>
      </c>
      <c r="L690">
        <v>0</v>
      </c>
      <c r="M690">
        <v>0</v>
      </c>
      <c r="N690">
        <v>2750</v>
      </c>
    </row>
    <row r="691" spans="1:14" x14ac:dyDescent="0.25">
      <c r="A691">
        <v>150.61612199999999</v>
      </c>
      <c r="B691" s="1">
        <f>DATE(2010,9,28) + TIME(14,47,12)</f>
        <v>40449.616111111114</v>
      </c>
      <c r="C691">
        <v>80</v>
      </c>
      <c r="D691">
        <v>79.953163146999998</v>
      </c>
      <c r="E691">
        <v>50</v>
      </c>
      <c r="F691">
        <v>43.619018554999997</v>
      </c>
      <c r="G691">
        <v>1340.1977539</v>
      </c>
      <c r="H691">
        <v>1337.8261719</v>
      </c>
      <c r="I691">
        <v>1321.5615233999999</v>
      </c>
      <c r="J691">
        <v>1317.6507568</v>
      </c>
      <c r="K691">
        <v>2750</v>
      </c>
      <c r="L691">
        <v>0</v>
      </c>
      <c r="M691">
        <v>0</v>
      </c>
      <c r="N691">
        <v>2750</v>
      </c>
    </row>
    <row r="692" spans="1:14" x14ac:dyDescent="0.25">
      <c r="A692">
        <v>151.53394599999999</v>
      </c>
      <c r="B692" s="1">
        <f>DATE(2010,9,29) + TIME(12,48,52)</f>
        <v>40450.533935185187</v>
      </c>
      <c r="C692">
        <v>80</v>
      </c>
      <c r="D692">
        <v>79.953208923000005</v>
      </c>
      <c r="E692">
        <v>50</v>
      </c>
      <c r="F692">
        <v>43.914848327999998</v>
      </c>
      <c r="G692">
        <v>1340.1932373</v>
      </c>
      <c r="H692">
        <v>1337.8225098</v>
      </c>
      <c r="I692">
        <v>1321.5788574000001</v>
      </c>
      <c r="J692">
        <v>1317.6781006000001</v>
      </c>
      <c r="K692">
        <v>2750</v>
      </c>
      <c r="L692">
        <v>0</v>
      </c>
      <c r="M692">
        <v>0</v>
      </c>
      <c r="N692">
        <v>2750</v>
      </c>
    </row>
    <row r="693" spans="1:14" x14ac:dyDescent="0.25">
      <c r="A693">
        <v>151.99411599999999</v>
      </c>
      <c r="B693" s="1">
        <f>DATE(2010,9,29) + TIME(23,51,31)</f>
        <v>40450.994108796294</v>
      </c>
      <c r="C693">
        <v>80</v>
      </c>
      <c r="D693">
        <v>79.953231811999999</v>
      </c>
      <c r="E693">
        <v>50</v>
      </c>
      <c r="F693">
        <v>44.134243011000002</v>
      </c>
      <c r="G693">
        <v>1340.1885986</v>
      </c>
      <c r="H693">
        <v>1337.8189697</v>
      </c>
      <c r="I693">
        <v>1321.5980225000001</v>
      </c>
      <c r="J693">
        <v>1317.7032471</v>
      </c>
      <c r="K693">
        <v>2750</v>
      </c>
      <c r="L693">
        <v>0</v>
      </c>
      <c r="M693">
        <v>0</v>
      </c>
      <c r="N693">
        <v>2750</v>
      </c>
    </row>
    <row r="694" spans="1:14" x14ac:dyDescent="0.25">
      <c r="A694">
        <v>152.45291700000001</v>
      </c>
      <c r="B694" s="1">
        <f>DATE(2010,9,30) + TIME(10,52,12)</f>
        <v>40451.452916666669</v>
      </c>
      <c r="C694">
        <v>80</v>
      </c>
      <c r="D694">
        <v>79.953247070000003</v>
      </c>
      <c r="E694">
        <v>50</v>
      </c>
      <c r="F694">
        <v>44.314666748</v>
      </c>
      <c r="G694">
        <v>1340.1864014</v>
      </c>
      <c r="H694">
        <v>1337.8171387</v>
      </c>
      <c r="I694">
        <v>1321.6066894999999</v>
      </c>
      <c r="J694">
        <v>1317.7193603999999</v>
      </c>
      <c r="K694">
        <v>2750</v>
      </c>
      <c r="L694">
        <v>0</v>
      </c>
      <c r="M694">
        <v>0</v>
      </c>
      <c r="N694">
        <v>2750</v>
      </c>
    </row>
    <row r="695" spans="1:14" x14ac:dyDescent="0.25">
      <c r="A695">
        <v>153</v>
      </c>
      <c r="B695" s="1">
        <f>DATE(2010,10,1) + TIME(0,0,0)</f>
        <v>40452</v>
      </c>
      <c r="C695">
        <v>80</v>
      </c>
      <c r="D695">
        <v>79.953277588000006</v>
      </c>
      <c r="E695">
        <v>50</v>
      </c>
      <c r="F695">
        <v>44.488983154000003</v>
      </c>
      <c r="G695">
        <v>1340.184082</v>
      </c>
      <c r="H695">
        <v>1337.8153076000001</v>
      </c>
      <c r="I695">
        <v>1321.6149902</v>
      </c>
      <c r="J695">
        <v>1317.7347411999999</v>
      </c>
      <c r="K695">
        <v>2750</v>
      </c>
      <c r="L695">
        <v>0</v>
      </c>
      <c r="M695">
        <v>0</v>
      </c>
      <c r="N695">
        <v>2750</v>
      </c>
    </row>
    <row r="696" spans="1:14" x14ac:dyDescent="0.25">
      <c r="A696">
        <v>153.45844299999999</v>
      </c>
      <c r="B696" s="1">
        <f>DATE(2010,10,1) + TIME(11,0,9)</f>
        <v>40452.458437499998</v>
      </c>
      <c r="C696">
        <v>80</v>
      </c>
      <c r="D696">
        <v>79.953300475999995</v>
      </c>
      <c r="E696">
        <v>50</v>
      </c>
      <c r="F696">
        <v>44.644767760999997</v>
      </c>
      <c r="G696">
        <v>1340.1813964999999</v>
      </c>
      <c r="H696">
        <v>1337.8132324000001</v>
      </c>
      <c r="I696">
        <v>1321.6256103999999</v>
      </c>
      <c r="J696">
        <v>1317.7506103999999</v>
      </c>
      <c r="K696">
        <v>2750</v>
      </c>
      <c r="L696">
        <v>0</v>
      </c>
      <c r="M696">
        <v>0</v>
      </c>
      <c r="N696">
        <v>2750</v>
      </c>
    </row>
    <row r="697" spans="1:14" x14ac:dyDescent="0.25">
      <c r="A697">
        <v>154.375328</v>
      </c>
      <c r="B697" s="1">
        <f>DATE(2010,10,2) + TIME(9,0,28)</f>
        <v>40453.375324074077</v>
      </c>
      <c r="C697">
        <v>80</v>
      </c>
      <c r="D697">
        <v>79.953346252000003</v>
      </c>
      <c r="E697">
        <v>50</v>
      </c>
      <c r="F697">
        <v>44.839447020999998</v>
      </c>
      <c r="G697">
        <v>1340.1791992000001</v>
      </c>
      <c r="H697">
        <v>1337.8115233999999</v>
      </c>
      <c r="I697">
        <v>1321.6330565999999</v>
      </c>
      <c r="J697">
        <v>1317.7661132999999</v>
      </c>
      <c r="K697">
        <v>2750</v>
      </c>
      <c r="L697">
        <v>0</v>
      </c>
      <c r="M697">
        <v>0</v>
      </c>
      <c r="N697">
        <v>2750</v>
      </c>
    </row>
    <row r="698" spans="1:14" x14ac:dyDescent="0.25">
      <c r="A698">
        <v>155.292911</v>
      </c>
      <c r="B698" s="1">
        <f>DATE(2010,10,3) + TIME(7,1,47)</f>
        <v>40454.292905092596</v>
      </c>
      <c r="C698">
        <v>80</v>
      </c>
      <c r="D698">
        <v>79.953399657999995</v>
      </c>
      <c r="E698">
        <v>50</v>
      </c>
      <c r="F698">
        <v>45.084575653000002</v>
      </c>
      <c r="G698">
        <v>1340.1748047000001</v>
      </c>
      <c r="H698">
        <v>1337.8081055</v>
      </c>
      <c r="I698">
        <v>1321.6497803</v>
      </c>
      <c r="J698">
        <v>1317.7899170000001</v>
      </c>
      <c r="K698">
        <v>2750</v>
      </c>
      <c r="L698">
        <v>0</v>
      </c>
      <c r="M698">
        <v>0</v>
      </c>
      <c r="N698">
        <v>2750</v>
      </c>
    </row>
    <row r="699" spans="1:14" x14ac:dyDescent="0.25">
      <c r="A699">
        <v>156.21661</v>
      </c>
      <c r="B699" s="1">
        <f>DATE(2010,10,4) + TIME(5,11,55)</f>
        <v>40455.216608796298</v>
      </c>
      <c r="C699">
        <v>80</v>
      </c>
      <c r="D699">
        <v>79.953445435000006</v>
      </c>
      <c r="E699">
        <v>50</v>
      </c>
      <c r="F699">
        <v>45.343143462999997</v>
      </c>
      <c r="G699">
        <v>1340.1704102000001</v>
      </c>
      <c r="H699">
        <v>1337.8046875</v>
      </c>
      <c r="I699">
        <v>1321.666626</v>
      </c>
      <c r="J699">
        <v>1317.8151855000001</v>
      </c>
      <c r="K699">
        <v>2750</v>
      </c>
      <c r="L699">
        <v>0</v>
      </c>
      <c r="M699">
        <v>0</v>
      </c>
      <c r="N699">
        <v>2750</v>
      </c>
    </row>
    <row r="700" spans="1:14" x14ac:dyDescent="0.25">
      <c r="A700">
        <v>157.14599699999999</v>
      </c>
      <c r="B700" s="1">
        <f>DATE(2010,10,5) + TIME(3,30,14)</f>
        <v>40456.145995370367</v>
      </c>
      <c r="C700">
        <v>80</v>
      </c>
      <c r="D700">
        <v>79.953491210999999</v>
      </c>
      <c r="E700">
        <v>50</v>
      </c>
      <c r="F700">
        <v>45.603656768999997</v>
      </c>
      <c r="G700">
        <v>1340.1661377</v>
      </c>
      <c r="H700">
        <v>1337.8012695</v>
      </c>
      <c r="I700">
        <v>1321.6835937999999</v>
      </c>
      <c r="J700">
        <v>1317.8409423999999</v>
      </c>
      <c r="K700">
        <v>2750</v>
      </c>
      <c r="L700">
        <v>0</v>
      </c>
      <c r="M700">
        <v>0</v>
      </c>
      <c r="N700">
        <v>2750</v>
      </c>
    </row>
    <row r="701" spans="1:14" x14ac:dyDescent="0.25">
      <c r="A701">
        <v>158.08412000000001</v>
      </c>
      <c r="B701" s="1">
        <f>DATE(2010,10,6) + TIME(2,1,7)</f>
        <v>40457.084108796298</v>
      </c>
      <c r="C701">
        <v>80</v>
      </c>
      <c r="D701">
        <v>79.953536987000007</v>
      </c>
      <c r="E701">
        <v>50</v>
      </c>
      <c r="F701">
        <v>45.862621306999998</v>
      </c>
      <c r="G701">
        <v>1340.1618652</v>
      </c>
      <c r="H701">
        <v>1337.7978516000001</v>
      </c>
      <c r="I701">
        <v>1321.7005615</v>
      </c>
      <c r="J701">
        <v>1317.8668213000001</v>
      </c>
      <c r="K701">
        <v>2750</v>
      </c>
      <c r="L701">
        <v>0</v>
      </c>
      <c r="M701">
        <v>0</v>
      </c>
      <c r="N701">
        <v>2750</v>
      </c>
    </row>
    <row r="702" spans="1:14" x14ac:dyDescent="0.25">
      <c r="A702">
        <v>159.02944099999999</v>
      </c>
      <c r="B702" s="1">
        <f>DATE(2010,10,7) + TIME(0,42,23)</f>
        <v>40458.029432870368</v>
      </c>
      <c r="C702">
        <v>80</v>
      </c>
      <c r="D702">
        <v>79.953582764000004</v>
      </c>
      <c r="E702">
        <v>50</v>
      </c>
      <c r="F702">
        <v>46.119083404999998</v>
      </c>
      <c r="G702">
        <v>1340.1574707</v>
      </c>
      <c r="H702">
        <v>1337.7945557</v>
      </c>
      <c r="I702">
        <v>1321.7176514</v>
      </c>
      <c r="J702">
        <v>1317.8928223</v>
      </c>
      <c r="K702">
        <v>2750</v>
      </c>
      <c r="L702">
        <v>0</v>
      </c>
      <c r="M702">
        <v>0</v>
      </c>
      <c r="N702">
        <v>2750</v>
      </c>
    </row>
    <row r="703" spans="1:14" x14ac:dyDescent="0.25">
      <c r="A703">
        <v>159.98429100000001</v>
      </c>
      <c r="B703" s="1">
        <f>DATE(2010,10,7) + TIME(23,37,22)</f>
        <v>40458.984282407408</v>
      </c>
      <c r="C703">
        <v>80</v>
      </c>
      <c r="D703">
        <v>79.953628539999997</v>
      </c>
      <c r="E703">
        <v>50</v>
      </c>
      <c r="F703">
        <v>46.372806549000003</v>
      </c>
      <c r="G703">
        <v>1340.1531981999999</v>
      </c>
      <c r="H703">
        <v>1337.7912598</v>
      </c>
      <c r="I703">
        <v>1321.7347411999999</v>
      </c>
      <c r="J703">
        <v>1317.9188231999999</v>
      </c>
      <c r="K703">
        <v>2750</v>
      </c>
      <c r="L703">
        <v>0</v>
      </c>
      <c r="M703">
        <v>0</v>
      </c>
      <c r="N703">
        <v>2750</v>
      </c>
    </row>
    <row r="704" spans="1:14" x14ac:dyDescent="0.25">
      <c r="A704">
        <v>160.950681</v>
      </c>
      <c r="B704" s="1">
        <f>DATE(2010,10,8) + TIME(22,48,58)</f>
        <v>40459.950671296298</v>
      </c>
      <c r="C704">
        <v>80</v>
      </c>
      <c r="D704">
        <v>79.953674316000004</v>
      </c>
      <c r="E704">
        <v>50</v>
      </c>
      <c r="F704">
        <v>46.624114990000002</v>
      </c>
      <c r="G704">
        <v>1340.1489257999999</v>
      </c>
      <c r="H704">
        <v>1337.7878418</v>
      </c>
      <c r="I704">
        <v>1321.7519531</v>
      </c>
      <c r="J704">
        <v>1317.9449463000001</v>
      </c>
      <c r="K704">
        <v>2750</v>
      </c>
      <c r="L704">
        <v>0</v>
      </c>
      <c r="M704">
        <v>0</v>
      </c>
      <c r="N704">
        <v>2750</v>
      </c>
    </row>
    <row r="705" spans="1:14" x14ac:dyDescent="0.25">
      <c r="A705">
        <v>161.92461700000001</v>
      </c>
      <c r="B705" s="1">
        <f>DATE(2010,10,9) + TIME(22,11,26)</f>
        <v>40460.92460648148</v>
      </c>
      <c r="C705">
        <v>80</v>
      </c>
      <c r="D705">
        <v>79.953727721999996</v>
      </c>
      <c r="E705">
        <v>50</v>
      </c>
      <c r="F705">
        <v>46.873016356999997</v>
      </c>
      <c r="G705">
        <v>1340.1446533000001</v>
      </c>
      <c r="H705">
        <v>1337.7845459</v>
      </c>
      <c r="I705">
        <v>1321.7692870999999</v>
      </c>
      <c r="J705">
        <v>1317.9711914</v>
      </c>
      <c r="K705">
        <v>2750</v>
      </c>
      <c r="L705">
        <v>0</v>
      </c>
      <c r="M705">
        <v>0</v>
      </c>
      <c r="N705">
        <v>2750</v>
      </c>
    </row>
    <row r="706" spans="1:14" x14ac:dyDescent="0.25">
      <c r="A706">
        <v>162.909325</v>
      </c>
      <c r="B706" s="1">
        <f>DATE(2010,10,10) + TIME(21,49,25)</f>
        <v>40461.909317129626</v>
      </c>
      <c r="C706">
        <v>80</v>
      </c>
      <c r="D706">
        <v>79.953773498999993</v>
      </c>
      <c r="E706">
        <v>50</v>
      </c>
      <c r="F706">
        <v>47.119403839</v>
      </c>
      <c r="G706">
        <v>1340.1403809000001</v>
      </c>
      <c r="H706">
        <v>1337.78125</v>
      </c>
      <c r="I706">
        <v>1321.7866211</v>
      </c>
      <c r="J706">
        <v>1317.9973144999999</v>
      </c>
      <c r="K706">
        <v>2750</v>
      </c>
      <c r="L706">
        <v>0</v>
      </c>
      <c r="M706">
        <v>0</v>
      </c>
      <c r="N706">
        <v>2750</v>
      </c>
    </row>
    <row r="707" spans="1:14" x14ac:dyDescent="0.25">
      <c r="A707">
        <v>163.403223</v>
      </c>
      <c r="B707" s="1">
        <f>DATE(2010,10,11) + TIME(9,40,38)</f>
        <v>40462.403217592589</v>
      </c>
      <c r="C707">
        <v>80</v>
      </c>
      <c r="D707">
        <v>79.953796386999997</v>
      </c>
      <c r="E707">
        <v>50</v>
      </c>
      <c r="F707">
        <v>47.305320739999999</v>
      </c>
      <c r="G707">
        <v>1340.1361084</v>
      </c>
      <c r="H707">
        <v>1337.7779541</v>
      </c>
      <c r="I707">
        <v>1321.8052978999999</v>
      </c>
      <c r="J707">
        <v>1318.0216064000001</v>
      </c>
      <c r="K707">
        <v>2750</v>
      </c>
      <c r="L707">
        <v>0</v>
      </c>
      <c r="M707">
        <v>0</v>
      </c>
      <c r="N707">
        <v>2750</v>
      </c>
    </row>
    <row r="708" spans="1:14" x14ac:dyDescent="0.25">
      <c r="A708">
        <v>163.89576199999999</v>
      </c>
      <c r="B708" s="1">
        <f>DATE(2010,10,11) + TIME(21,29,53)</f>
        <v>40462.895752314813</v>
      </c>
      <c r="C708">
        <v>80</v>
      </c>
      <c r="D708">
        <v>79.953811646000005</v>
      </c>
      <c r="E708">
        <v>50</v>
      </c>
      <c r="F708">
        <v>47.455764770999998</v>
      </c>
      <c r="G708">
        <v>1340.1340332</v>
      </c>
      <c r="H708">
        <v>1337.7762451000001</v>
      </c>
      <c r="I708">
        <v>1321.8142089999999</v>
      </c>
      <c r="J708">
        <v>1318.0372314000001</v>
      </c>
      <c r="K708">
        <v>2750</v>
      </c>
      <c r="L708">
        <v>0</v>
      </c>
      <c r="M708">
        <v>0</v>
      </c>
      <c r="N708">
        <v>2750</v>
      </c>
    </row>
    <row r="709" spans="1:14" x14ac:dyDescent="0.25">
      <c r="A709">
        <v>164.38830200000001</v>
      </c>
      <c r="B709" s="1">
        <f>DATE(2010,10,12) + TIME(9,19,9)</f>
        <v>40463.388298611113</v>
      </c>
      <c r="C709">
        <v>80</v>
      </c>
      <c r="D709">
        <v>79.953842163000004</v>
      </c>
      <c r="E709">
        <v>50</v>
      </c>
      <c r="F709">
        <v>47.588851929</v>
      </c>
      <c r="G709">
        <v>1340.1319579999999</v>
      </c>
      <c r="H709">
        <v>1337.7746582</v>
      </c>
      <c r="I709">
        <v>1321.8229980000001</v>
      </c>
      <c r="J709">
        <v>1318.0515137</v>
      </c>
      <c r="K709">
        <v>2750</v>
      </c>
      <c r="L709">
        <v>0</v>
      </c>
      <c r="M709">
        <v>0</v>
      </c>
      <c r="N709">
        <v>2750</v>
      </c>
    </row>
    <row r="710" spans="1:14" x14ac:dyDescent="0.25">
      <c r="A710">
        <v>164.880842</v>
      </c>
      <c r="B710" s="1">
        <f>DATE(2010,10,12) + TIME(21,8,24)</f>
        <v>40463.880833333336</v>
      </c>
      <c r="C710">
        <v>80</v>
      </c>
      <c r="D710">
        <v>79.953865050999994</v>
      </c>
      <c r="E710">
        <v>50</v>
      </c>
      <c r="F710">
        <v>47.713050842000001</v>
      </c>
      <c r="G710">
        <v>1340.1297606999999</v>
      </c>
      <c r="H710">
        <v>1337.7730713000001</v>
      </c>
      <c r="I710">
        <v>1321.8317870999999</v>
      </c>
      <c r="J710">
        <v>1318.0651855000001</v>
      </c>
      <c r="K710">
        <v>2750</v>
      </c>
      <c r="L710">
        <v>0</v>
      </c>
      <c r="M710">
        <v>0</v>
      </c>
      <c r="N710">
        <v>2750</v>
      </c>
    </row>
    <row r="711" spans="1:14" x14ac:dyDescent="0.25">
      <c r="A711">
        <v>165.37338099999999</v>
      </c>
      <c r="B711" s="1">
        <f>DATE(2010,10,13) + TIME(8,57,40)</f>
        <v>40464.373379629629</v>
      </c>
      <c r="C711">
        <v>80</v>
      </c>
      <c r="D711">
        <v>79.953887938999998</v>
      </c>
      <c r="E711">
        <v>50</v>
      </c>
      <c r="F711">
        <v>47.832374573000003</v>
      </c>
      <c r="G711">
        <v>1340.1278076000001</v>
      </c>
      <c r="H711">
        <v>1337.7714844</v>
      </c>
      <c r="I711">
        <v>1321.8404541</v>
      </c>
      <c r="J711">
        <v>1318.0784911999999</v>
      </c>
      <c r="K711">
        <v>2750</v>
      </c>
      <c r="L711">
        <v>0</v>
      </c>
      <c r="M711">
        <v>0</v>
      </c>
      <c r="N711">
        <v>2750</v>
      </c>
    </row>
    <row r="712" spans="1:14" x14ac:dyDescent="0.25">
      <c r="A712">
        <v>165.86592099999999</v>
      </c>
      <c r="B712" s="1">
        <f>DATE(2010,10,13) + TIME(20,46,55)</f>
        <v>40464.865914351853</v>
      </c>
      <c r="C712">
        <v>80</v>
      </c>
      <c r="D712">
        <v>79.953910828000005</v>
      </c>
      <c r="E712">
        <v>50</v>
      </c>
      <c r="F712">
        <v>47.948734283</v>
      </c>
      <c r="G712">
        <v>1340.1257324000001</v>
      </c>
      <c r="H712">
        <v>1337.7698975000001</v>
      </c>
      <c r="I712">
        <v>1321.848999</v>
      </c>
      <c r="J712">
        <v>1318.0914307</v>
      </c>
      <c r="K712">
        <v>2750</v>
      </c>
      <c r="L712">
        <v>0</v>
      </c>
      <c r="M712">
        <v>0</v>
      </c>
      <c r="N712">
        <v>2750</v>
      </c>
    </row>
    <row r="713" spans="1:14" x14ac:dyDescent="0.25">
      <c r="A713">
        <v>166.35846100000001</v>
      </c>
      <c r="B713" s="1">
        <f>DATE(2010,10,14) + TIME(8,36,11)</f>
        <v>40465.358460648145</v>
      </c>
      <c r="C713">
        <v>80</v>
      </c>
      <c r="D713">
        <v>79.953933715999995</v>
      </c>
      <c r="E713">
        <v>50</v>
      </c>
      <c r="F713">
        <v>48.063056946000003</v>
      </c>
      <c r="G713">
        <v>1340.1236572</v>
      </c>
      <c r="H713">
        <v>1337.7683105000001</v>
      </c>
      <c r="I713">
        <v>1321.8576660000001</v>
      </c>
      <c r="J713">
        <v>1318.1043701000001</v>
      </c>
      <c r="K713">
        <v>2750</v>
      </c>
      <c r="L713">
        <v>0</v>
      </c>
      <c r="M713">
        <v>0</v>
      </c>
      <c r="N713">
        <v>2750</v>
      </c>
    </row>
    <row r="714" spans="1:14" x14ac:dyDescent="0.25">
      <c r="A714">
        <v>167.34353999999999</v>
      </c>
      <c r="B714" s="1">
        <f>DATE(2010,10,15) + TIME(8,14,41)</f>
        <v>40466.343530092592</v>
      </c>
      <c r="C714">
        <v>80</v>
      </c>
      <c r="D714">
        <v>79.953987122000001</v>
      </c>
      <c r="E714">
        <v>50</v>
      </c>
      <c r="F714">
        <v>48.210716247999997</v>
      </c>
      <c r="G714">
        <v>1340.121582</v>
      </c>
      <c r="H714">
        <v>1337.7667236</v>
      </c>
      <c r="I714">
        <v>1321.8654785000001</v>
      </c>
      <c r="J714">
        <v>1318.1184082</v>
      </c>
      <c r="K714">
        <v>2750</v>
      </c>
      <c r="L714">
        <v>0</v>
      </c>
      <c r="M714">
        <v>0</v>
      </c>
      <c r="N714">
        <v>2750</v>
      </c>
    </row>
    <row r="715" spans="1:14" x14ac:dyDescent="0.25">
      <c r="A715">
        <v>168.32982899999999</v>
      </c>
      <c r="B715" s="1">
        <f>DATE(2010,10,16) + TIME(7,54,57)</f>
        <v>40467.329826388886</v>
      </c>
      <c r="C715">
        <v>80</v>
      </c>
      <c r="D715">
        <v>79.954040527000004</v>
      </c>
      <c r="E715">
        <v>50</v>
      </c>
      <c r="F715">
        <v>48.408386229999998</v>
      </c>
      <c r="G715">
        <v>1340.1175536999999</v>
      </c>
      <c r="H715">
        <v>1337.7635498</v>
      </c>
      <c r="I715">
        <v>1321.8817139</v>
      </c>
      <c r="J715">
        <v>1318.140625</v>
      </c>
      <c r="K715">
        <v>2750</v>
      </c>
      <c r="L715">
        <v>0</v>
      </c>
      <c r="M715">
        <v>0</v>
      </c>
      <c r="N715">
        <v>2750</v>
      </c>
    </row>
    <row r="716" spans="1:14" x14ac:dyDescent="0.25">
      <c r="A716">
        <v>169.32775799999999</v>
      </c>
      <c r="B716" s="1">
        <f>DATE(2010,10,17) + TIME(7,51,58)</f>
        <v>40468.32775462963</v>
      </c>
      <c r="C716">
        <v>80</v>
      </c>
      <c r="D716">
        <v>79.954086304</v>
      </c>
      <c r="E716">
        <v>50</v>
      </c>
      <c r="F716">
        <v>48.619197845000002</v>
      </c>
      <c r="G716">
        <v>1340.1135254000001</v>
      </c>
      <c r="H716">
        <v>1337.7604980000001</v>
      </c>
      <c r="I716">
        <v>1321.8983154</v>
      </c>
      <c r="J716">
        <v>1318.1645507999999</v>
      </c>
      <c r="K716">
        <v>2750</v>
      </c>
      <c r="L716">
        <v>0</v>
      </c>
      <c r="M716">
        <v>0</v>
      </c>
      <c r="N716">
        <v>2750</v>
      </c>
    </row>
    <row r="717" spans="1:14" x14ac:dyDescent="0.25">
      <c r="A717">
        <v>170.34039799999999</v>
      </c>
      <c r="B717" s="1">
        <f>DATE(2010,10,18) + TIME(8,10,10)</f>
        <v>40469.34039351852</v>
      </c>
      <c r="C717">
        <v>80</v>
      </c>
      <c r="D717">
        <v>79.954139709000003</v>
      </c>
      <c r="E717">
        <v>50</v>
      </c>
      <c r="F717">
        <v>48.833305359000001</v>
      </c>
      <c r="G717">
        <v>1340.1094971</v>
      </c>
      <c r="H717">
        <v>1337.7574463000001</v>
      </c>
      <c r="I717">
        <v>1321.9150391000001</v>
      </c>
      <c r="J717">
        <v>1318.1892089999999</v>
      </c>
      <c r="K717">
        <v>2750</v>
      </c>
      <c r="L717">
        <v>0</v>
      </c>
      <c r="M717">
        <v>0</v>
      </c>
      <c r="N717">
        <v>2750</v>
      </c>
    </row>
    <row r="718" spans="1:14" x14ac:dyDescent="0.25">
      <c r="A718">
        <v>171.36572200000001</v>
      </c>
      <c r="B718" s="1">
        <f>DATE(2010,10,19) + TIME(8,46,38)</f>
        <v>40470.365717592591</v>
      </c>
      <c r="C718">
        <v>80</v>
      </c>
      <c r="D718">
        <v>79.954185486</v>
      </c>
      <c r="E718">
        <v>50</v>
      </c>
      <c r="F718">
        <v>49.047710418999998</v>
      </c>
      <c r="G718">
        <v>1340.1055908000001</v>
      </c>
      <c r="H718">
        <v>1337.7543945</v>
      </c>
      <c r="I718">
        <v>1321.9320068</v>
      </c>
      <c r="J718">
        <v>1318.2141113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172.400282</v>
      </c>
      <c r="B719" s="1">
        <f>DATE(2010,10,20) + TIME(9,36,24)</f>
        <v>40471.400277777779</v>
      </c>
      <c r="C719">
        <v>80</v>
      </c>
      <c r="D719">
        <v>79.954238892000006</v>
      </c>
      <c r="E719">
        <v>50</v>
      </c>
      <c r="F719">
        <v>49.261039734000001</v>
      </c>
      <c r="G719">
        <v>1340.1015625</v>
      </c>
      <c r="H719">
        <v>1337.7513428</v>
      </c>
      <c r="I719">
        <v>1321.9490966999999</v>
      </c>
      <c r="J719">
        <v>1318.2392577999999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173.44764000000001</v>
      </c>
      <c r="B720" s="1">
        <f>DATE(2010,10,21) + TIME(10,44,36)</f>
        <v>40472.447638888887</v>
      </c>
      <c r="C720">
        <v>80</v>
      </c>
      <c r="D720">
        <v>79.954292296999995</v>
      </c>
      <c r="E720">
        <v>50</v>
      </c>
      <c r="F720">
        <v>49.472785950000002</v>
      </c>
      <c r="G720">
        <v>1340.0975341999999</v>
      </c>
      <c r="H720">
        <v>1337.7481689000001</v>
      </c>
      <c r="I720">
        <v>1321.9661865</v>
      </c>
      <c r="J720">
        <v>1318.2644043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174.50530000000001</v>
      </c>
      <c r="B721" s="1">
        <f>DATE(2010,10,22) + TIME(12,7,37)</f>
        <v>40473.505289351851</v>
      </c>
      <c r="C721">
        <v>80</v>
      </c>
      <c r="D721">
        <v>79.954338074000006</v>
      </c>
      <c r="E721">
        <v>50</v>
      </c>
      <c r="F721">
        <v>49.682933806999998</v>
      </c>
      <c r="G721">
        <v>1340.0935059000001</v>
      </c>
      <c r="H721">
        <v>1337.7451172000001</v>
      </c>
      <c r="I721">
        <v>1321.9833983999999</v>
      </c>
      <c r="J721">
        <v>1318.2896728999999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175.03886900000001</v>
      </c>
      <c r="B722" s="1">
        <f>DATE(2010,10,23) + TIME(0,55,58)</f>
        <v>40474.038865740738</v>
      </c>
      <c r="C722">
        <v>80</v>
      </c>
      <c r="D722">
        <v>79.954360961999996</v>
      </c>
      <c r="E722">
        <v>50</v>
      </c>
      <c r="F722">
        <v>49.844387054000002</v>
      </c>
      <c r="G722">
        <v>1340.0894774999999</v>
      </c>
      <c r="H722">
        <v>1337.7420654</v>
      </c>
      <c r="I722">
        <v>1322.0013428</v>
      </c>
      <c r="J722">
        <v>1318.3131103999999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175.57243800000001</v>
      </c>
      <c r="B723" s="1">
        <f>DATE(2010,10,23) + TIME(13,44,18)</f>
        <v>40474.572430555556</v>
      </c>
      <c r="C723">
        <v>80</v>
      </c>
      <c r="D723">
        <v>79.954383849999999</v>
      </c>
      <c r="E723">
        <v>50</v>
      </c>
      <c r="F723">
        <v>49.973411560000002</v>
      </c>
      <c r="G723">
        <v>1340.0875243999999</v>
      </c>
      <c r="H723">
        <v>1337.7406006000001</v>
      </c>
      <c r="I723">
        <v>1322.0104980000001</v>
      </c>
      <c r="J723">
        <v>1318.3282471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176.10566399999999</v>
      </c>
      <c r="B724" s="1">
        <f>DATE(2010,10,24) + TIME(2,32,9)</f>
        <v>40475.10565972222</v>
      </c>
      <c r="C724">
        <v>80</v>
      </c>
      <c r="D724">
        <v>79.954414368000002</v>
      </c>
      <c r="E724">
        <v>50</v>
      </c>
      <c r="F724">
        <v>50.0872612</v>
      </c>
      <c r="G724">
        <v>1340.0854492000001</v>
      </c>
      <c r="H724">
        <v>1337.7391356999999</v>
      </c>
      <c r="I724">
        <v>1322.0194091999999</v>
      </c>
      <c r="J724">
        <v>1318.3421631000001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176.63834299999999</v>
      </c>
      <c r="B725" s="1">
        <f>DATE(2010,10,24) + TIME(15,19,12)</f>
        <v>40475.638333333336</v>
      </c>
      <c r="C725">
        <v>80</v>
      </c>
      <c r="D725">
        <v>79.954437256000006</v>
      </c>
      <c r="E725">
        <v>50</v>
      </c>
      <c r="F725">
        <v>50.19367218</v>
      </c>
      <c r="G725">
        <v>1340.0834961</v>
      </c>
      <c r="H725">
        <v>1337.7375488</v>
      </c>
      <c r="I725">
        <v>1322.0280762</v>
      </c>
      <c r="J725">
        <v>1318.3552245999999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177.17095900000001</v>
      </c>
      <c r="B726" s="1">
        <f>DATE(2010,10,25) + TIME(4,6,10)</f>
        <v>40476.170949074076</v>
      </c>
      <c r="C726">
        <v>80</v>
      </c>
      <c r="D726">
        <v>79.954460143999995</v>
      </c>
      <c r="E726">
        <v>50</v>
      </c>
      <c r="F726">
        <v>50.296134948999999</v>
      </c>
      <c r="G726">
        <v>1340.081543</v>
      </c>
      <c r="H726">
        <v>1337.7360839999999</v>
      </c>
      <c r="I726">
        <v>1322.0367432</v>
      </c>
      <c r="J726">
        <v>1318.3680420000001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177.703575</v>
      </c>
      <c r="B727" s="1">
        <f>DATE(2010,10,25) + TIME(16,53,8)</f>
        <v>40476.703564814816</v>
      </c>
      <c r="C727">
        <v>80</v>
      </c>
      <c r="D727">
        <v>79.954490661999998</v>
      </c>
      <c r="E727">
        <v>50</v>
      </c>
      <c r="F727">
        <v>50.396236420000001</v>
      </c>
      <c r="G727">
        <v>1340.0795897999999</v>
      </c>
      <c r="H727">
        <v>1337.7346190999999</v>
      </c>
      <c r="I727">
        <v>1322.0452881000001</v>
      </c>
      <c r="J727">
        <v>1318.3804932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178.23619199999999</v>
      </c>
      <c r="B728" s="1">
        <f>DATE(2010,10,26) + TIME(5,40,6)</f>
        <v>40477.236180555556</v>
      </c>
      <c r="C728">
        <v>80</v>
      </c>
      <c r="D728">
        <v>79.954513550000001</v>
      </c>
      <c r="E728">
        <v>50</v>
      </c>
      <c r="F728">
        <v>50.494701384999999</v>
      </c>
      <c r="G728">
        <v>1340.0776367000001</v>
      </c>
      <c r="H728">
        <v>1337.7331543</v>
      </c>
      <c r="I728">
        <v>1322.0537108999999</v>
      </c>
      <c r="J728">
        <v>1318.3928223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179.301424</v>
      </c>
      <c r="B729" s="1">
        <f>DATE(2010,10,27) + TIME(7,14,3)</f>
        <v>40478.301423611112</v>
      </c>
      <c r="C729">
        <v>80</v>
      </c>
      <c r="D729">
        <v>79.954574585000003</v>
      </c>
      <c r="E729">
        <v>50</v>
      </c>
      <c r="F729">
        <v>50.620037078999999</v>
      </c>
      <c r="G729">
        <v>1340.0758057</v>
      </c>
      <c r="H729">
        <v>1337.7316894999999</v>
      </c>
      <c r="I729">
        <v>1322.0616454999999</v>
      </c>
      <c r="J729">
        <v>1318.4061279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180.36852200000001</v>
      </c>
      <c r="B730" s="1">
        <f>DATE(2010,10,28) + TIME(8,50,40)</f>
        <v>40479.368518518517</v>
      </c>
      <c r="C730">
        <v>80</v>
      </c>
      <c r="D730">
        <v>79.954620360999996</v>
      </c>
      <c r="E730">
        <v>50</v>
      </c>
      <c r="F730">
        <v>50.791286468999999</v>
      </c>
      <c r="G730">
        <v>1340.0718993999999</v>
      </c>
      <c r="H730">
        <v>1337.7287598</v>
      </c>
      <c r="I730">
        <v>1322.0773925999999</v>
      </c>
      <c r="J730">
        <v>1318.4272461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181.448543</v>
      </c>
      <c r="B731" s="1">
        <f>DATE(2010,10,29) + TIME(10,45,54)</f>
        <v>40480.448541666665</v>
      </c>
      <c r="C731">
        <v>80</v>
      </c>
      <c r="D731">
        <v>79.954673767000003</v>
      </c>
      <c r="E731">
        <v>50</v>
      </c>
      <c r="F731">
        <v>50.973632811999998</v>
      </c>
      <c r="G731">
        <v>1340.0679932</v>
      </c>
      <c r="H731">
        <v>1337.7258300999999</v>
      </c>
      <c r="I731">
        <v>1322.0936279</v>
      </c>
      <c r="J731">
        <v>1318.4500731999999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182.54134500000001</v>
      </c>
      <c r="B732" s="1">
        <f>DATE(2010,10,30) + TIME(12,59,32)</f>
        <v>40481.541342592594</v>
      </c>
      <c r="C732">
        <v>80</v>
      </c>
      <c r="D732">
        <v>79.954727172999995</v>
      </c>
      <c r="E732">
        <v>50</v>
      </c>
      <c r="F732">
        <v>51.158363342000001</v>
      </c>
      <c r="G732">
        <v>1340.0642089999999</v>
      </c>
      <c r="H732">
        <v>1337.7230225000001</v>
      </c>
      <c r="I732">
        <v>1322.1101074000001</v>
      </c>
      <c r="J732">
        <v>1318.4735106999999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183.644903</v>
      </c>
      <c r="B733" s="1">
        <f>DATE(2010,10,31) + TIME(15,28,39)</f>
        <v>40482.644895833335</v>
      </c>
      <c r="C733">
        <v>80</v>
      </c>
      <c r="D733">
        <v>79.954780579000001</v>
      </c>
      <c r="E733">
        <v>50</v>
      </c>
      <c r="F733">
        <v>51.342750549000002</v>
      </c>
      <c r="G733">
        <v>1340.0603027</v>
      </c>
      <c r="H733">
        <v>1337.7200928</v>
      </c>
      <c r="I733">
        <v>1322.1267089999999</v>
      </c>
      <c r="J733">
        <v>1318.4971923999999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184</v>
      </c>
      <c r="B734" s="1">
        <f>DATE(2010,11,1) + TIME(0,0,0)</f>
        <v>40483</v>
      </c>
      <c r="C734">
        <v>80</v>
      </c>
      <c r="D734">
        <v>79.954795837000006</v>
      </c>
      <c r="E734">
        <v>50</v>
      </c>
      <c r="F734">
        <v>51.457450866999999</v>
      </c>
      <c r="G734">
        <v>1340.0565185999999</v>
      </c>
      <c r="H734">
        <v>1337.7172852000001</v>
      </c>
      <c r="I734">
        <v>1322.1442870999999</v>
      </c>
      <c r="J734">
        <v>1318.5183105000001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184.000001</v>
      </c>
      <c r="B735" s="1">
        <f>DATE(2010,11,1) + TIME(0,0,0)</f>
        <v>40483</v>
      </c>
      <c r="C735">
        <v>80</v>
      </c>
      <c r="D735">
        <v>79.954689025999997</v>
      </c>
      <c r="E735">
        <v>50</v>
      </c>
      <c r="F735">
        <v>51.457611084</v>
      </c>
      <c r="G735">
        <v>1336.9967041</v>
      </c>
      <c r="H735">
        <v>1336.2282714999999</v>
      </c>
      <c r="I735">
        <v>1326.8386230000001</v>
      </c>
      <c r="J735">
        <v>1323.4058838000001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184.00000399999999</v>
      </c>
      <c r="B736" s="1">
        <f>DATE(2010,11,1) + TIME(0,0,0)</f>
        <v>40483</v>
      </c>
      <c r="C736">
        <v>80</v>
      </c>
      <c r="D736">
        <v>79.954551696999999</v>
      </c>
      <c r="E736">
        <v>50</v>
      </c>
      <c r="F736">
        <v>51.457836151000002</v>
      </c>
      <c r="G736">
        <v>1336.0356445</v>
      </c>
      <c r="H736">
        <v>1335.2592772999999</v>
      </c>
      <c r="I736">
        <v>1328.4353027</v>
      </c>
      <c r="J736">
        <v>1325.2692870999999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184.000013</v>
      </c>
      <c r="B737" s="1">
        <f>DATE(2010,11,1) + TIME(0,0,1)</f>
        <v>40483.000011574077</v>
      </c>
      <c r="C737">
        <v>80</v>
      </c>
      <c r="D737">
        <v>79.954406738000003</v>
      </c>
      <c r="E737">
        <v>50</v>
      </c>
      <c r="F737">
        <v>51.458080291999998</v>
      </c>
      <c r="G737">
        <v>1335.0421143000001</v>
      </c>
      <c r="H737">
        <v>1334.2365723</v>
      </c>
      <c r="I737">
        <v>1330.5441894999999</v>
      </c>
      <c r="J737">
        <v>1327.390625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184.00004000000001</v>
      </c>
      <c r="B738" s="1">
        <f>DATE(2010,11,1) + TIME(0,0,3)</f>
        <v>40483.000034722223</v>
      </c>
      <c r="C738">
        <v>80</v>
      </c>
      <c r="D738">
        <v>79.954261779999996</v>
      </c>
      <c r="E738">
        <v>50</v>
      </c>
      <c r="F738">
        <v>51.458274840999998</v>
      </c>
      <c r="G738">
        <v>1334.0607910000001</v>
      </c>
      <c r="H738">
        <v>1333.2102050999999</v>
      </c>
      <c r="I738">
        <v>1332.7867432</v>
      </c>
      <c r="J738">
        <v>1329.5817870999999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184.00012100000001</v>
      </c>
      <c r="B739" s="1">
        <f>DATE(2010,11,1) + TIME(0,0,10)</f>
        <v>40483.000115740739</v>
      </c>
      <c r="C739">
        <v>80</v>
      </c>
      <c r="D739">
        <v>79.954101562000005</v>
      </c>
      <c r="E739">
        <v>50</v>
      </c>
      <c r="F739">
        <v>51.458293914999999</v>
      </c>
      <c r="G739">
        <v>1333.0362548999999</v>
      </c>
      <c r="H739">
        <v>1332.1224365</v>
      </c>
      <c r="I739">
        <v>1335.0166016000001</v>
      </c>
      <c r="J739">
        <v>1331.7659911999999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184.00036399999999</v>
      </c>
      <c r="B740" s="1">
        <f>DATE(2010,11,1) + TIME(0,0,31)</f>
        <v>40483.000358796293</v>
      </c>
      <c r="C740">
        <v>80</v>
      </c>
      <c r="D740">
        <v>79.953887938999998</v>
      </c>
      <c r="E740">
        <v>50</v>
      </c>
      <c r="F740">
        <v>51.457786560000002</v>
      </c>
      <c r="G740">
        <v>1331.9191894999999</v>
      </c>
      <c r="H740">
        <v>1330.9320068</v>
      </c>
      <c r="I740">
        <v>1337.2027588000001</v>
      </c>
      <c r="J740">
        <v>1333.8903809000001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184.001093</v>
      </c>
      <c r="B741" s="1">
        <f>DATE(2010,11,1) + TIME(0,1,34)</f>
        <v>40483.001087962963</v>
      </c>
      <c r="C741">
        <v>80</v>
      </c>
      <c r="D741">
        <v>79.953552246000001</v>
      </c>
      <c r="E741">
        <v>50</v>
      </c>
      <c r="F741">
        <v>51.455638884999999</v>
      </c>
      <c r="G741">
        <v>1330.7779541</v>
      </c>
      <c r="H741">
        <v>1329.7254639</v>
      </c>
      <c r="I741">
        <v>1339.1864014</v>
      </c>
      <c r="J741">
        <v>1335.7933350000001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184.00327999999999</v>
      </c>
      <c r="B742" s="1">
        <f>DATE(2010,11,1) + TIME(0,4,43)</f>
        <v>40483.003275462965</v>
      </c>
      <c r="C742">
        <v>80</v>
      </c>
      <c r="D742">
        <v>79.952896117999998</v>
      </c>
      <c r="E742">
        <v>50</v>
      </c>
      <c r="F742">
        <v>51.448543549</v>
      </c>
      <c r="G742">
        <v>1329.8381348</v>
      </c>
      <c r="H742">
        <v>1328.7485352000001</v>
      </c>
      <c r="I742">
        <v>1340.6286620999999</v>
      </c>
      <c r="J742">
        <v>1337.1651611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184.00984099999999</v>
      </c>
      <c r="B743" s="1">
        <f>DATE(2010,11,1) + TIME(0,14,10)</f>
        <v>40483.009837962964</v>
      </c>
      <c r="C743">
        <v>80</v>
      </c>
      <c r="D743">
        <v>79.951232910000002</v>
      </c>
      <c r="E743">
        <v>50</v>
      </c>
      <c r="F743">
        <v>51.426967621000003</v>
      </c>
      <c r="G743">
        <v>1329.2943115</v>
      </c>
      <c r="H743">
        <v>1328.1920166</v>
      </c>
      <c r="I743">
        <v>1341.3134766000001</v>
      </c>
      <c r="J743">
        <v>1337.8214111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184.02952400000001</v>
      </c>
      <c r="B744" s="1">
        <f>DATE(2010,11,1) + TIME(0,42,30)</f>
        <v>40483.029513888891</v>
      </c>
      <c r="C744">
        <v>80</v>
      </c>
      <c r="D744">
        <v>79.946525574000006</v>
      </c>
      <c r="E744">
        <v>50</v>
      </c>
      <c r="F744">
        <v>51.365127563000001</v>
      </c>
      <c r="G744">
        <v>1329.1148682</v>
      </c>
      <c r="H744">
        <v>1328.0090332</v>
      </c>
      <c r="I744">
        <v>1341.4146728999999</v>
      </c>
      <c r="J744">
        <v>1337.9412841999999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184.05561599999999</v>
      </c>
      <c r="B745" s="1">
        <f>DATE(2010,11,1) + TIME(1,20,5)</f>
        <v>40483.055613425924</v>
      </c>
      <c r="C745">
        <v>80</v>
      </c>
      <c r="D745">
        <v>79.940383910999998</v>
      </c>
      <c r="E745">
        <v>50</v>
      </c>
      <c r="F745">
        <v>51.288352965999998</v>
      </c>
      <c r="G745">
        <v>1329.0859375</v>
      </c>
      <c r="H745">
        <v>1327.9777832</v>
      </c>
      <c r="I745">
        <v>1341.3527832</v>
      </c>
      <c r="J745">
        <v>1337.9091797000001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184.08288999999999</v>
      </c>
      <c r="B746" s="1">
        <f>DATE(2010,11,1) + TIME(1,59,21)</f>
        <v>40483.082881944443</v>
      </c>
      <c r="C746">
        <v>80</v>
      </c>
      <c r="D746">
        <v>79.934013367000006</v>
      </c>
      <c r="E746">
        <v>50</v>
      </c>
      <c r="F746">
        <v>51.213306426999999</v>
      </c>
      <c r="G746">
        <v>1329.078125</v>
      </c>
      <c r="H746">
        <v>1327.9675293</v>
      </c>
      <c r="I746">
        <v>1341.2869873</v>
      </c>
      <c r="J746">
        <v>1337.8703613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184.11107899999999</v>
      </c>
      <c r="B747" s="1">
        <f>DATE(2010,11,1) + TIME(2,39,57)</f>
        <v>40483.111076388886</v>
      </c>
      <c r="C747">
        <v>80</v>
      </c>
      <c r="D747">
        <v>79.927474975999999</v>
      </c>
      <c r="E747">
        <v>50</v>
      </c>
      <c r="F747">
        <v>51.140838623</v>
      </c>
      <c r="G747">
        <v>1329.0729980000001</v>
      </c>
      <c r="H747">
        <v>1327.9600829999999</v>
      </c>
      <c r="I747">
        <v>1341.2250977000001</v>
      </c>
      <c r="J747">
        <v>1337.8338623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184.14003099999999</v>
      </c>
      <c r="B748" s="1">
        <f>DATE(2010,11,1) + TIME(3,21,38)</f>
        <v>40483.140023148146</v>
      </c>
      <c r="C748">
        <v>80</v>
      </c>
      <c r="D748">
        <v>79.920814514</v>
      </c>
      <c r="E748">
        <v>50</v>
      </c>
      <c r="F748">
        <v>51.071334839000002</v>
      </c>
      <c r="G748">
        <v>1329.0682373</v>
      </c>
      <c r="H748">
        <v>1327.9528809000001</v>
      </c>
      <c r="I748">
        <v>1341.1677245999999</v>
      </c>
      <c r="J748">
        <v>1337.8001709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184.16977499999999</v>
      </c>
      <c r="B749" s="1">
        <f>DATE(2010,11,1) + TIME(4,4,28)</f>
        <v>40483.169768518521</v>
      </c>
      <c r="C749">
        <v>80</v>
      </c>
      <c r="D749">
        <v>79.914024353000002</v>
      </c>
      <c r="E749">
        <v>50</v>
      </c>
      <c r="F749">
        <v>51.004512787000003</v>
      </c>
      <c r="G749">
        <v>1329.0634766000001</v>
      </c>
      <c r="H749">
        <v>1327.9456786999999</v>
      </c>
      <c r="I749">
        <v>1341.1145019999999</v>
      </c>
      <c r="J749">
        <v>1337.7689209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184.20034699999999</v>
      </c>
      <c r="B750" s="1">
        <f>DATE(2010,11,1) + TIME(4,48,30)</f>
        <v>40483.20034722222</v>
      </c>
      <c r="C750">
        <v>80</v>
      </c>
      <c r="D750">
        <v>79.907096863000007</v>
      </c>
      <c r="E750">
        <v>50</v>
      </c>
      <c r="F750">
        <v>50.940296173</v>
      </c>
      <c r="G750">
        <v>1329.0588379000001</v>
      </c>
      <c r="H750">
        <v>1327.9385986</v>
      </c>
      <c r="I750">
        <v>1341.0651855000001</v>
      </c>
      <c r="J750">
        <v>1337.7402344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184.23183399999999</v>
      </c>
      <c r="B751" s="1">
        <f>DATE(2010,11,1) + TIME(5,33,50)</f>
        <v>40483.231828703705</v>
      </c>
      <c r="C751">
        <v>80</v>
      </c>
      <c r="D751">
        <v>79.900009155000006</v>
      </c>
      <c r="E751">
        <v>50</v>
      </c>
      <c r="F751">
        <v>50.878536224000001</v>
      </c>
      <c r="G751">
        <v>1329.0540771000001</v>
      </c>
      <c r="H751">
        <v>1327.9313964999999</v>
      </c>
      <c r="I751">
        <v>1341.0196533000001</v>
      </c>
      <c r="J751">
        <v>1337.7137451000001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184.26428899999999</v>
      </c>
      <c r="B752" s="1">
        <f>DATE(2010,11,1) + TIME(6,20,34)</f>
        <v>40483.264282407406</v>
      </c>
      <c r="C752">
        <v>80</v>
      </c>
      <c r="D752">
        <v>79.892768860000004</v>
      </c>
      <c r="E752">
        <v>50</v>
      </c>
      <c r="F752">
        <v>50.819168091000002</v>
      </c>
      <c r="G752">
        <v>1329.0493164</v>
      </c>
      <c r="H752">
        <v>1327.9243164</v>
      </c>
      <c r="I752">
        <v>1340.9776611</v>
      </c>
      <c r="J752">
        <v>1337.6895752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184.297776</v>
      </c>
      <c r="B753" s="1">
        <f>DATE(2010,11,1) + TIME(7,8,47)</f>
        <v>40483.297766203701</v>
      </c>
      <c r="C753">
        <v>80</v>
      </c>
      <c r="D753">
        <v>79.885353088000002</v>
      </c>
      <c r="E753">
        <v>50</v>
      </c>
      <c r="F753">
        <v>50.762130737</v>
      </c>
      <c r="G753">
        <v>1329.0445557</v>
      </c>
      <c r="H753">
        <v>1327.9169922000001</v>
      </c>
      <c r="I753">
        <v>1340.9390868999999</v>
      </c>
      <c r="J753">
        <v>1337.6674805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184.332367</v>
      </c>
      <c r="B754" s="1">
        <f>DATE(2010,11,1) + TIME(7,58,36)</f>
        <v>40483.332361111112</v>
      </c>
      <c r="C754">
        <v>80</v>
      </c>
      <c r="D754">
        <v>79.877761840999995</v>
      </c>
      <c r="E754">
        <v>50</v>
      </c>
      <c r="F754">
        <v>50.707355499000002</v>
      </c>
      <c r="G754">
        <v>1329.0397949000001</v>
      </c>
      <c r="H754">
        <v>1327.9097899999999</v>
      </c>
      <c r="I754">
        <v>1340.9038086</v>
      </c>
      <c r="J754">
        <v>1337.6473389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184.36814899999999</v>
      </c>
      <c r="B755" s="1">
        <f>DATE(2010,11,1) + TIME(8,50,8)</f>
        <v>40483.368148148147</v>
      </c>
      <c r="C755">
        <v>80</v>
      </c>
      <c r="D755">
        <v>79.869972228999998</v>
      </c>
      <c r="E755">
        <v>50</v>
      </c>
      <c r="F755">
        <v>50.654777527</v>
      </c>
      <c r="G755">
        <v>1329.0349120999999</v>
      </c>
      <c r="H755">
        <v>1327.9023437999999</v>
      </c>
      <c r="I755">
        <v>1340.8717041</v>
      </c>
      <c r="J755">
        <v>1337.6292725000001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184.40523899999999</v>
      </c>
      <c r="B756" s="1">
        <f>DATE(2010,11,1) + TIME(9,43,32)</f>
        <v>40483.405231481483</v>
      </c>
      <c r="C756">
        <v>80</v>
      </c>
      <c r="D756">
        <v>79.861961364999999</v>
      </c>
      <c r="E756">
        <v>50</v>
      </c>
      <c r="F756">
        <v>50.604316711000003</v>
      </c>
      <c r="G756">
        <v>1329.0299072</v>
      </c>
      <c r="H756">
        <v>1327.8950195</v>
      </c>
      <c r="I756">
        <v>1340.8425293</v>
      </c>
      <c r="J756">
        <v>1337.6130370999999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184.44375099999999</v>
      </c>
      <c r="B757" s="1">
        <f>DATE(2010,11,1) + TIME(10,39,0)</f>
        <v>40483.443749999999</v>
      </c>
      <c r="C757">
        <v>80</v>
      </c>
      <c r="D757">
        <v>79.853721618999998</v>
      </c>
      <c r="E757">
        <v>50</v>
      </c>
      <c r="F757">
        <v>50.555908203000001</v>
      </c>
      <c r="G757">
        <v>1329.0249022999999</v>
      </c>
      <c r="H757">
        <v>1327.8874512</v>
      </c>
      <c r="I757">
        <v>1340.8161620999999</v>
      </c>
      <c r="J757">
        <v>1337.5985106999999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184.48381900000001</v>
      </c>
      <c r="B758" s="1">
        <f>DATE(2010,11,1) + TIME(11,36,41)</f>
        <v>40483.483807870369</v>
      </c>
      <c r="C758">
        <v>80</v>
      </c>
      <c r="D758">
        <v>79.845222473000007</v>
      </c>
      <c r="E758">
        <v>50</v>
      </c>
      <c r="F758">
        <v>50.509506225999999</v>
      </c>
      <c r="G758">
        <v>1329.0198975000001</v>
      </c>
      <c r="H758">
        <v>1327.8797606999999</v>
      </c>
      <c r="I758">
        <v>1340.7924805</v>
      </c>
      <c r="J758">
        <v>1337.5855713000001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184.525589</v>
      </c>
      <c r="B759" s="1">
        <f>DATE(2010,11,1) + TIME(12,36,50)</f>
        <v>40483.525578703702</v>
      </c>
      <c r="C759">
        <v>80</v>
      </c>
      <c r="D759">
        <v>79.836441039999997</v>
      </c>
      <c r="E759">
        <v>50</v>
      </c>
      <c r="F759">
        <v>50.465072632000002</v>
      </c>
      <c r="G759">
        <v>1329.0147704999999</v>
      </c>
      <c r="H759">
        <v>1327.8719481999999</v>
      </c>
      <c r="I759">
        <v>1340.7713623</v>
      </c>
      <c r="J759">
        <v>1337.5743408000001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184.56922700000001</v>
      </c>
      <c r="B760" s="1">
        <f>DATE(2010,11,1) + TIME(13,39,41)</f>
        <v>40483.569224537037</v>
      </c>
      <c r="C760">
        <v>80</v>
      </c>
      <c r="D760">
        <v>79.827354431000003</v>
      </c>
      <c r="E760">
        <v>50</v>
      </c>
      <c r="F760">
        <v>50.422565460000001</v>
      </c>
      <c r="G760">
        <v>1329.0093993999999</v>
      </c>
      <c r="H760">
        <v>1327.8640137</v>
      </c>
      <c r="I760">
        <v>1340.7525635</v>
      </c>
      <c r="J760">
        <v>1337.5644531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184.614937</v>
      </c>
      <c r="B761" s="1">
        <f>DATE(2010,11,1) + TIME(14,45,30)</f>
        <v>40483.614930555559</v>
      </c>
      <c r="C761">
        <v>80</v>
      </c>
      <c r="D761">
        <v>79.817924500000004</v>
      </c>
      <c r="E761">
        <v>50</v>
      </c>
      <c r="F761">
        <v>50.381954192999999</v>
      </c>
      <c r="G761">
        <v>1329.0040283000001</v>
      </c>
      <c r="H761">
        <v>1327.8558350000001</v>
      </c>
      <c r="I761">
        <v>1340.7360839999999</v>
      </c>
      <c r="J761">
        <v>1337.5560303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184.662949</v>
      </c>
      <c r="B762" s="1">
        <f>DATE(2010,11,1) + TIME(15,54,38)</f>
        <v>40483.662939814814</v>
      </c>
      <c r="C762">
        <v>80</v>
      </c>
      <c r="D762">
        <v>79.808120728000006</v>
      </c>
      <c r="E762">
        <v>50</v>
      </c>
      <c r="F762">
        <v>50.343208312999998</v>
      </c>
      <c r="G762">
        <v>1328.9985352000001</v>
      </c>
      <c r="H762">
        <v>1327.8475341999999</v>
      </c>
      <c r="I762">
        <v>1340.7216797000001</v>
      </c>
      <c r="J762">
        <v>1337.5489502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184.71352899999999</v>
      </c>
      <c r="B763" s="1">
        <f>DATE(2010,11,1) + TIME(17,7,28)</f>
        <v>40483.713518518518</v>
      </c>
      <c r="C763">
        <v>80</v>
      </c>
      <c r="D763">
        <v>79.797904967999997</v>
      </c>
      <c r="E763">
        <v>50</v>
      </c>
      <c r="F763">
        <v>50.306301116999997</v>
      </c>
      <c r="G763">
        <v>1328.9927978999999</v>
      </c>
      <c r="H763">
        <v>1327.8389893000001</v>
      </c>
      <c r="I763">
        <v>1340.7092285000001</v>
      </c>
      <c r="J763">
        <v>1337.5429687999999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184.76699500000001</v>
      </c>
      <c r="B764" s="1">
        <f>DATE(2010,11,1) + TIME(18,24,28)</f>
        <v>40483.76699074074</v>
      </c>
      <c r="C764">
        <v>80</v>
      </c>
      <c r="D764">
        <v>79.787216186999999</v>
      </c>
      <c r="E764">
        <v>50</v>
      </c>
      <c r="F764">
        <v>50.271221161</v>
      </c>
      <c r="G764">
        <v>1328.9868164</v>
      </c>
      <c r="H764">
        <v>1327.8300781</v>
      </c>
      <c r="I764">
        <v>1340.6986084</v>
      </c>
      <c r="J764">
        <v>1337.5382079999999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184.823722</v>
      </c>
      <c r="B765" s="1">
        <f>DATE(2010,11,1) + TIME(19,46,9)</f>
        <v>40483.82371527778</v>
      </c>
      <c r="C765">
        <v>80</v>
      </c>
      <c r="D765">
        <v>79.776000976999995</v>
      </c>
      <c r="E765">
        <v>50</v>
      </c>
      <c r="F765">
        <v>50.237957000999998</v>
      </c>
      <c r="G765">
        <v>1328.9807129000001</v>
      </c>
      <c r="H765">
        <v>1327.8208007999999</v>
      </c>
      <c r="I765">
        <v>1340.6895752</v>
      </c>
      <c r="J765">
        <v>1337.5344238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184.884162</v>
      </c>
      <c r="B766" s="1">
        <f>DATE(2010,11,1) + TIME(21,13,11)</f>
        <v>40483.884155092594</v>
      </c>
      <c r="C766">
        <v>80</v>
      </c>
      <c r="D766">
        <v>79.764190674000005</v>
      </c>
      <c r="E766">
        <v>50</v>
      </c>
      <c r="F766">
        <v>50.206501007</v>
      </c>
      <c r="G766">
        <v>1328.9743652</v>
      </c>
      <c r="H766">
        <v>1327.8112793</v>
      </c>
      <c r="I766">
        <v>1340.6821289</v>
      </c>
      <c r="J766">
        <v>1337.5316161999999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184.94886500000001</v>
      </c>
      <c r="B767" s="1">
        <f>DATE(2010,11,1) + TIME(22,46,21)</f>
        <v>40483.948854166665</v>
      </c>
      <c r="C767">
        <v>80</v>
      </c>
      <c r="D767">
        <v>79.751701354999994</v>
      </c>
      <c r="E767">
        <v>50</v>
      </c>
      <c r="F767">
        <v>50.176849365000002</v>
      </c>
      <c r="G767">
        <v>1328.9676514</v>
      </c>
      <c r="H767">
        <v>1327.8012695</v>
      </c>
      <c r="I767">
        <v>1340.6760254000001</v>
      </c>
      <c r="J767">
        <v>1337.5295410000001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185.018507</v>
      </c>
      <c r="B768" s="1">
        <f>DATE(2010,11,2) + TIME(0,26,39)</f>
        <v>40484.018506944441</v>
      </c>
      <c r="C768">
        <v>80</v>
      </c>
      <c r="D768">
        <v>79.738426208000007</v>
      </c>
      <c r="E768">
        <v>50</v>
      </c>
      <c r="F768">
        <v>50.149005889999998</v>
      </c>
      <c r="G768">
        <v>1328.9605713000001</v>
      </c>
      <c r="H768">
        <v>1327.7907714999999</v>
      </c>
      <c r="I768">
        <v>1340.6710204999999</v>
      </c>
      <c r="J768">
        <v>1337.5283202999999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185.09393800000001</v>
      </c>
      <c r="B769" s="1">
        <f>DATE(2010,11,2) + TIME(2,15,16)</f>
        <v>40484.093935185185</v>
      </c>
      <c r="C769">
        <v>80</v>
      </c>
      <c r="D769">
        <v>79.724250792999996</v>
      </c>
      <c r="E769">
        <v>50</v>
      </c>
      <c r="F769">
        <v>50.122985839999998</v>
      </c>
      <c r="G769">
        <v>1328.953125</v>
      </c>
      <c r="H769">
        <v>1327.7796631000001</v>
      </c>
      <c r="I769">
        <v>1340.6669922000001</v>
      </c>
      <c r="J769">
        <v>1337.5275879000001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185.17622</v>
      </c>
      <c r="B770" s="1">
        <f>DATE(2010,11,2) + TIME(4,13,45)</f>
        <v>40484.176215277781</v>
      </c>
      <c r="C770">
        <v>80</v>
      </c>
      <c r="D770">
        <v>79.709014893000003</v>
      </c>
      <c r="E770">
        <v>50</v>
      </c>
      <c r="F770">
        <v>50.098800658999998</v>
      </c>
      <c r="G770">
        <v>1328.9451904</v>
      </c>
      <c r="H770">
        <v>1327.7679443</v>
      </c>
      <c r="I770">
        <v>1340.6638184000001</v>
      </c>
      <c r="J770">
        <v>1337.5272216999999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185.26505</v>
      </c>
      <c r="B771" s="1">
        <f>DATE(2010,11,2) + TIME(6,21,40)</f>
        <v>40484.265046296299</v>
      </c>
      <c r="C771">
        <v>80</v>
      </c>
      <c r="D771">
        <v>79.692794800000001</v>
      </c>
      <c r="E771">
        <v>50</v>
      </c>
      <c r="F771">
        <v>50.076828003000003</v>
      </c>
      <c r="G771">
        <v>1328.9367675999999</v>
      </c>
      <c r="H771">
        <v>1327.7553711</v>
      </c>
      <c r="I771">
        <v>1340.6618652</v>
      </c>
      <c r="J771">
        <v>1337.5275879000001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185.35959199999999</v>
      </c>
      <c r="B772" s="1">
        <f>DATE(2010,11,2) + TIME(8,37,48)</f>
        <v>40484.359583333331</v>
      </c>
      <c r="C772">
        <v>80</v>
      </c>
      <c r="D772">
        <v>79.675750731999997</v>
      </c>
      <c r="E772">
        <v>50</v>
      </c>
      <c r="F772">
        <v>50.057357787999997</v>
      </c>
      <c r="G772">
        <v>1328.9278564000001</v>
      </c>
      <c r="H772">
        <v>1327.7421875</v>
      </c>
      <c r="I772">
        <v>1340.6608887</v>
      </c>
      <c r="J772">
        <v>1337.5285644999999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185.46013099999999</v>
      </c>
      <c r="B773" s="1">
        <f>DATE(2010,11,2) + TIME(11,2,35)</f>
        <v>40484.460127314815</v>
      </c>
      <c r="C773">
        <v>80</v>
      </c>
      <c r="D773">
        <v>79.657859802000004</v>
      </c>
      <c r="E773">
        <v>50</v>
      </c>
      <c r="F773">
        <v>50.040317535</v>
      </c>
      <c r="G773">
        <v>1328.918457</v>
      </c>
      <c r="H773">
        <v>1327.7283935999999</v>
      </c>
      <c r="I773">
        <v>1340.6600341999999</v>
      </c>
      <c r="J773">
        <v>1337.5294189000001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185.56183899999999</v>
      </c>
      <c r="B774" s="1">
        <f>DATE(2010,11,2) + TIME(13,29,2)</f>
        <v>40484.561828703707</v>
      </c>
      <c r="C774">
        <v>80</v>
      </c>
      <c r="D774">
        <v>79.639892578000001</v>
      </c>
      <c r="E774">
        <v>50</v>
      </c>
      <c r="F774">
        <v>50.026168822999999</v>
      </c>
      <c r="G774">
        <v>1328.9088135</v>
      </c>
      <c r="H774">
        <v>1327.7141113</v>
      </c>
      <c r="I774">
        <v>1340.6605225000001</v>
      </c>
      <c r="J774">
        <v>1337.5307617000001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185.66450800000001</v>
      </c>
      <c r="B775" s="1">
        <f>DATE(2010,11,2) + TIME(15,56,53)</f>
        <v>40484.664502314816</v>
      </c>
      <c r="C775">
        <v>80</v>
      </c>
      <c r="D775">
        <v>79.621887207</v>
      </c>
      <c r="E775">
        <v>50</v>
      </c>
      <c r="F775">
        <v>50.014476776000002</v>
      </c>
      <c r="G775">
        <v>1328.8990478999999</v>
      </c>
      <c r="H775">
        <v>1327.6999512</v>
      </c>
      <c r="I775">
        <v>1340.6602783000001</v>
      </c>
      <c r="J775">
        <v>1337.5316161999999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185.768687</v>
      </c>
      <c r="B776" s="1">
        <f>DATE(2010,11,2) + TIME(18,26,54)</f>
        <v>40484.768680555557</v>
      </c>
      <c r="C776">
        <v>80</v>
      </c>
      <c r="D776">
        <v>79.603744507000002</v>
      </c>
      <c r="E776">
        <v>50</v>
      </c>
      <c r="F776">
        <v>50.004806518999999</v>
      </c>
      <c r="G776">
        <v>1328.8892822</v>
      </c>
      <c r="H776">
        <v>1327.6856689000001</v>
      </c>
      <c r="I776">
        <v>1340.6591797000001</v>
      </c>
      <c r="J776">
        <v>1337.5317382999999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185.874878</v>
      </c>
      <c r="B777" s="1">
        <f>DATE(2010,11,2) + TIME(20,59,49)</f>
        <v>40484.874872685185</v>
      </c>
      <c r="C777">
        <v>80</v>
      </c>
      <c r="D777">
        <v>79.585388183999996</v>
      </c>
      <c r="E777">
        <v>50</v>
      </c>
      <c r="F777">
        <v>49.996803284000002</v>
      </c>
      <c r="G777">
        <v>1328.8795166</v>
      </c>
      <c r="H777">
        <v>1327.6713867000001</v>
      </c>
      <c r="I777">
        <v>1340.6571045000001</v>
      </c>
      <c r="J777">
        <v>1337.5311279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185.983577</v>
      </c>
      <c r="B778" s="1">
        <f>DATE(2010,11,2) + TIME(23,36,21)</f>
        <v>40484.983576388891</v>
      </c>
      <c r="C778">
        <v>80</v>
      </c>
      <c r="D778">
        <v>79.566749572999996</v>
      </c>
      <c r="E778">
        <v>50</v>
      </c>
      <c r="F778">
        <v>49.990192413000003</v>
      </c>
      <c r="G778">
        <v>1328.8696289</v>
      </c>
      <c r="H778">
        <v>1327.6569824000001</v>
      </c>
      <c r="I778">
        <v>1340.6540527</v>
      </c>
      <c r="J778">
        <v>1337.5297852000001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186.09532200000001</v>
      </c>
      <c r="B779" s="1">
        <f>DATE(2010,11,3) + TIME(2,17,15)</f>
        <v>40485.095312500001</v>
      </c>
      <c r="C779">
        <v>80</v>
      </c>
      <c r="D779">
        <v>79.547744750999996</v>
      </c>
      <c r="E779">
        <v>50</v>
      </c>
      <c r="F779">
        <v>49.984748840000002</v>
      </c>
      <c r="G779">
        <v>1328.8596190999999</v>
      </c>
      <c r="H779">
        <v>1327.6423339999999</v>
      </c>
      <c r="I779">
        <v>1340.6501464999999</v>
      </c>
      <c r="J779">
        <v>1337.5277100000001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186.21069800000001</v>
      </c>
      <c r="B780" s="1">
        <f>DATE(2010,11,3) + TIME(5,3,24)</f>
        <v>40485.210694444446</v>
      </c>
      <c r="C780">
        <v>80</v>
      </c>
      <c r="D780">
        <v>79.528289795000006</v>
      </c>
      <c r="E780">
        <v>50</v>
      </c>
      <c r="F780">
        <v>49.980278015000003</v>
      </c>
      <c r="G780">
        <v>1328.8493652</v>
      </c>
      <c r="H780">
        <v>1327.6275635</v>
      </c>
      <c r="I780">
        <v>1340.6452637</v>
      </c>
      <c r="J780">
        <v>1337.5250243999999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186.33034499999999</v>
      </c>
      <c r="B781" s="1">
        <f>DATE(2010,11,3) + TIME(7,55,41)</f>
        <v>40485.330335648148</v>
      </c>
      <c r="C781">
        <v>80</v>
      </c>
      <c r="D781">
        <v>79.508285521999994</v>
      </c>
      <c r="E781">
        <v>50</v>
      </c>
      <c r="F781">
        <v>49.976631165000001</v>
      </c>
      <c r="G781">
        <v>1328.8388672000001</v>
      </c>
      <c r="H781">
        <v>1327.6123047000001</v>
      </c>
      <c r="I781">
        <v>1340.6395264</v>
      </c>
      <c r="J781">
        <v>1337.5216064000001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186.45496600000001</v>
      </c>
      <c r="B782" s="1">
        <f>DATE(2010,11,3) + TIME(10,55,9)</f>
        <v>40485.454965277779</v>
      </c>
      <c r="C782">
        <v>80</v>
      </c>
      <c r="D782">
        <v>79.487648010000001</v>
      </c>
      <c r="E782">
        <v>50</v>
      </c>
      <c r="F782">
        <v>49.973674774000003</v>
      </c>
      <c r="G782">
        <v>1328.828125</v>
      </c>
      <c r="H782">
        <v>1327.5968018000001</v>
      </c>
      <c r="I782">
        <v>1340.6328125</v>
      </c>
      <c r="J782">
        <v>1337.5174560999999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186.585182</v>
      </c>
      <c r="B783" s="1">
        <f>DATE(2010,11,3) + TIME(14,2,39)</f>
        <v>40485.585173611114</v>
      </c>
      <c r="C783">
        <v>80</v>
      </c>
      <c r="D783">
        <v>79.466278075999995</v>
      </c>
      <c r="E783">
        <v>50</v>
      </c>
      <c r="F783">
        <v>49.971302031999997</v>
      </c>
      <c r="G783">
        <v>1328.8171387</v>
      </c>
      <c r="H783">
        <v>1327.5808105000001</v>
      </c>
      <c r="I783">
        <v>1340.6251221</v>
      </c>
      <c r="J783">
        <v>1337.5126952999999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186.72108800000001</v>
      </c>
      <c r="B784" s="1">
        <f>DATE(2010,11,3) + TIME(17,18,22)</f>
        <v>40485.721087962964</v>
      </c>
      <c r="C784">
        <v>80</v>
      </c>
      <c r="D784">
        <v>79.444183350000003</v>
      </c>
      <c r="E784">
        <v>50</v>
      </c>
      <c r="F784">
        <v>49.969429015999999</v>
      </c>
      <c r="G784">
        <v>1328.8056641000001</v>
      </c>
      <c r="H784">
        <v>1327.5642089999999</v>
      </c>
      <c r="I784">
        <v>1340.6165771000001</v>
      </c>
      <c r="J784">
        <v>1337.5072021000001</v>
      </c>
      <c r="K784">
        <v>0</v>
      </c>
      <c r="L784">
        <v>2750</v>
      </c>
      <c r="M784">
        <v>2750</v>
      </c>
      <c r="N784">
        <v>0</v>
      </c>
    </row>
    <row r="785" spans="1:14" x14ac:dyDescent="0.25">
      <c r="A785">
        <v>186.86361600000001</v>
      </c>
      <c r="B785" s="1">
        <f>DATE(2010,11,3) + TIME(20,43,36)</f>
        <v>40485.863611111112</v>
      </c>
      <c r="C785">
        <v>80</v>
      </c>
      <c r="D785">
        <v>79.421226501000007</v>
      </c>
      <c r="E785">
        <v>50</v>
      </c>
      <c r="F785">
        <v>49.967964172000002</v>
      </c>
      <c r="G785">
        <v>1328.7938231999999</v>
      </c>
      <c r="H785">
        <v>1327.5472411999999</v>
      </c>
      <c r="I785">
        <v>1340.6071777</v>
      </c>
      <c r="J785">
        <v>1337.5012207</v>
      </c>
      <c r="K785">
        <v>0</v>
      </c>
      <c r="L785">
        <v>2750</v>
      </c>
      <c r="M785">
        <v>2750</v>
      </c>
      <c r="N785">
        <v>0</v>
      </c>
    </row>
    <row r="786" spans="1:14" x14ac:dyDescent="0.25">
      <c r="A786">
        <v>187.013803</v>
      </c>
      <c r="B786" s="1">
        <f>DATE(2010,11,4) + TIME(0,19,52)</f>
        <v>40486.013796296298</v>
      </c>
      <c r="C786">
        <v>80</v>
      </c>
      <c r="D786">
        <v>79.397277832</v>
      </c>
      <c r="E786">
        <v>50</v>
      </c>
      <c r="F786">
        <v>49.966842651</v>
      </c>
      <c r="G786">
        <v>1328.7814940999999</v>
      </c>
      <c r="H786">
        <v>1327.5295410000001</v>
      </c>
      <c r="I786">
        <v>1340.5968018000001</v>
      </c>
      <c r="J786">
        <v>1337.4945068</v>
      </c>
      <c r="K786">
        <v>0</v>
      </c>
      <c r="L786">
        <v>2750</v>
      </c>
      <c r="M786">
        <v>2750</v>
      </c>
      <c r="N786">
        <v>0</v>
      </c>
    </row>
    <row r="787" spans="1:14" x14ac:dyDescent="0.25">
      <c r="A787">
        <v>187.17287200000001</v>
      </c>
      <c r="B787" s="1">
        <f>DATE(2010,11,4) + TIME(4,8,56)</f>
        <v>40486.17287037037</v>
      </c>
      <c r="C787">
        <v>80</v>
      </c>
      <c r="D787">
        <v>79.372184752999999</v>
      </c>
      <c r="E787">
        <v>50</v>
      </c>
      <c r="F787">
        <v>49.965999603</v>
      </c>
      <c r="G787">
        <v>1328.7686768000001</v>
      </c>
      <c r="H787">
        <v>1327.5112305</v>
      </c>
      <c r="I787">
        <v>1340.5855713000001</v>
      </c>
      <c r="J787">
        <v>1337.4871826000001</v>
      </c>
      <c r="K787">
        <v>0</v>
      </c>
      <c r="L787">
        <v>2750</v>
      </c>
      <c r="M787">
        <v>2750</v>
      </c>
      <c r="N787">
        <v>0</v>
      </c>
    </row>
    <row r="788" spans="1:14" x14ac:dyDescent="0.25">
      <c r="A788">
        <v>187.34229400000001</v>
      </c>
      <c r="B788" s="1">
        <f>DATE(2010,11,4) + TIME(8,12,54)</f>
        <v>40486.342291666668</v>
      </c>
      <c r="C788">
        <v>80</v>
      </c>
      <c r="D788">
        <v>79.345764160000002</v>
      </c>
      <c r="E788">
        <v>50</v>
      </c>
      <c r="F788">
        <v>49.965381622000002</v>
      </c>
      <c r="G788">
        <v>1328.7553711</v>
      </c>
      <c r="H788">
        <v>1327.4919434000001</v>
      </c>
      <c r="I788">
        <v>1340.5734863</v>
      </c>
      <c r="J788">
        <v>1337.4792480000001</v>
      </c>
      <c r="K788">
        <v>0</v>
      </c>
      <c r="L788">
        <v>2750</v>
      </c>
      <c r="M788">
        <v>2750</v>
      </c>
      <c r="N788">
        <v>0</v>
      </c>
    </row>
    <row r="789" spans="1:14" x14ac:dyDescent="0.25">
      <c r="A789">
        <v>187.52287200000001</v>
      </c>
      <c r="B789" s="1">
        <f>DATE(2010,11,4) + TIME(12,32,56)</f>
        <v>40486.522870370369</v>
      </c>
      <c r="C789">
        <v>80</v>
      </c>
      <c r="D789">
        <v>79.317909240999995</v>
      </c>
      <c r="E789">
        <v>50</v>
      </c>
      <c r="F789">
        <v>49.964950561999999</v>
      </c>
      <c r="G789">
        <v>1328.7412108999999</v>
      </c>
      <c r="H789">
        <v>1327.4718018000001</v>
      </c>
      <c r="I789">
        <v>1340.5603027</v>
      </c>
      <c r="J789">
        <v>1337.4705810999999</v>
      </c>
      <c r="K789">
        <v>0</v>
      </c>
      <c r="L789">
        <v>2750</v>
      </c>
      <c r="M789">
        <v>2750</v>
      </c>
      <c r="N789">
        <v>0</v>
      </c>
    </row>
    <row r="790" spans="1:14" x14ac:dyDescent="0.25">
      <c r="A790">
        <v>187.71276800000001</v>
      </c>
      <c r="B790" s="1">
        <f>DATE(2010,11,4) + TIME(17,6,23)</f>
        <v>40486.712766203702</v>
      </c>
      <c r="C790">
        <v>80</v>
      </c>
      <c r="D790">
        <v>79.288871764999996</v>
      </c>
      <c r="E790">
        <v>50</v>
      </c>
      <c r="F790">
        <v>49.964668273999997</v>
      </c>
      <c r="G790">
        <v>1328.7264404</v>
      </c>
      <c r="H790">
        <v>1327.4505615</v>
      </c>
      <c r="I790">
        <v>1340.5463867000001</v>
      </c>
      <c r="J790">
        <v>1337.4613036999999</v>
      </c>
      <c r="K790">
        <v>0</v>
      </c>
      <c r="L790">
        <v>2750</v>
      </c>
      <c r="M790">
        <v>2750</v>
      </c>
      <c r="N790">
        <v>0</v>
      </c>
    </row>
    <row r="791" spans="1:14" x14ac:dyDescent="0.25">
      <c r="A791">
        <v>187.908535</v>
      </c>
      <c r="B791" s="1">
        <f>DATE(2010,11,4) + TIME(21,48,17)</f>
        <v>40486.908530092594</v>
      </c>
      <c r="C791">
        <v>80</v>
      </c>
      <c r="D791">
        <v>79.259063721000004</v>
      </c>
      <c r="E791">
        <v>50</v>
      </c>
      <c r="F791">
        <v>49.964504241999997</v>
      </c>
      <c r="G791">
        <v>1328.7110596</v>
      </c>
      <c r="H791">
        <v>1327.4287108999999</v>
      </c>
      <c r="I791">
        <v>1340.5317382999999</v>
      </c>
      <c r="J791">
        <v>1337.4516602000001</v>
      </c>
      <c r="K791">
        <v>0</v>
      </c>
      <c r="L791">
        <v>2750</v>
      </c>
      <c r="M791">
        <v>2750</v>
      </c>
      <c r="N791">
        <v>0</v>
      </c>
    </row>
    <row r="792" spans="1:14" x14ac:dyDescent="0.25">
      <c r="A792">
        <v>188.11075299999999</v>
      </c>
      <c r="B792" s="1">
        <f>DATE(2010,11,5) + TIME(2,39,29)</f>
        <v>40487.110752314817</v>
      </c>
      <c r="C792">
        <v>80</v>
      </c>
      <c r="D792">
        <v>79.228446959999999</v>
      </c>
      <c r="E792">
        <v>50</v>
      </c>
      <c r="F792">
        <v>49.964416503999999</v>
      </c>
      <c r="G792">
        <v>1328.6953125</v>
      </c>
      <c r="H792">
        <v>1327.4063721</v>
      </c>
      <c r="I792">
        <v>1340.5167236</v>
      </c>
      <c r="J792">
        <v>1337.4417725000001</v>
      </c>
      <c r="K792">
        <v>0</v>
      </c>
      <c r="L792">
        <v>2750</v>
      </c>
      <c r="M792">
        <v>2750</v>
      </c>
      <c r="N792">
        <v>0</v>
      </c>
    </row>
    <row r="793" spans="1:14" x14ac:dyDescent="0.25">
      <c r="A793">
        <v>188.31640400000001</v>
      </c>
      <c r="B793" s="1">
        <f>DATE(2010,11,5) + TIME(7,35,37)</f>
        <v>40487.316400462965</v>
      </c>
      <c r="C793">
        <v>80</v>
      </c>
      <c r="D793">
        <v>79.197387695000003</v>
      </c>
      <c r="E793">
        <v>50</v>
      </c>
      <c r="F793">
        <v>49.964385986000003</v>
      </c>
      <c r="G793">
        <v>1328.6793213000001</v>
      </c>
      <c r="H793">
        <v>1327.3835449000001</v>
      </c>
      <c r="I793">
        <v>1340.5015868999999</v>
      </c>
      <c r="J793">
        <v>1337.4317627</v>
      </c>
      <c r="K793">
        <v>0</v>
      </c>
      <c r="L793">
        <v>2750</v>
      </c>
      <c r="M793">
        <v>2750</v>
      </c>
      <c r="N793">
        <v>0</v>
      </c>
    </row>
    <row r="794" spans="1:14" x14ac:dyDescent="0.25">
      <c r="A794">
        <v>188.52599000000001</v>
      </c>
      <c r="B794" s="1">
        <f>DATE(2010,11,5) + TIME(12,37,25)</f>
        <v>40487.525983796295</v>
      </c>
      <c r="C794">
        <v>80</v>
      </c>
      <c r="D794">
        <v>79.165863036999994</v>
      </c>
      <c r="E794">
        <v>50</v>
      </c>
      <c r="F794">
        <v>49.964389801000003</v>
      </c>
      <c r="G794">
        <v>1328.6630858999999</v>
      </c>
      <c r="H794">
        <v>1327.3604736</v>
      </c>
      <c r="I794">
        <v>1340.4863281</v>
      </c>
      <c r="J794">
        <v>1337.4216309000001</v>
      </c>
      <c r="K794">
        <v>0</v>
      </c>
      <c r="L794">
        <v>2750</v>
      </c>
      <c r="M794">
        <v>2750</v>
      </c>
      <c r="N794">
        <v>0</v>
      </c>
    </row>
    <row r="795" spans="1:14" x14ac:dyDescent="0.25">
      <c r="A795">
        <v>188.74013500000001</v>
      </c>
      <c r="B795" s="1">
        <f>DATE(2010,11,5) + TIME(17,45,47)</f>
        <v>40487.740127314813</v>
      </c>
      <c r="C795">
        <v>80</v>
      </c>
      <c r="D795">
        <v>79.133819579999994</v>
      </c>
      <c r="E795">
        <v>50</v>
      </c>
      <c r="F795">
        <v>49.964416503999999</v>
      </c>
      <c r="G795">
        <v>1328.6467285000001</v>
      </c>
      <c r="H795">
        <v>1327.3372803</v>
      </c>
      <c r="I795">
        <v>1340.4710693</v>
      </c>
      <c r="J795">
        <v>1337.411499</v>
      </c>
      <c r="K795">
        <v>0</v>
      </c>
      <c r="L795">
        <v>2750</v>
      </c>
      <c r="M795">
        <v>2750</v>
      </c>
      <c r="N795">
        <v>0</v>
      </c>
    </row>
    <row r="796" spans="1:14" x14ac:dyDescent="0.25">
      <c r="A796">
        <v>188.95792399999999</v>
      </c>
      <c r="B796" s="1">
        <f>DATE(2010,11,5) + TIME(22,59,24)</f>
        <v>40487.957916666666</v>
      </c>
      <c r="C796">
        <v>80</v>
      </c>
      <c r="D796">
        <v>79.101379394999995</v>
      </c>
      <c r="E796">
        <v>50</v>
      </c>
      <c r="F796">
        <v>49.964454650999997</v>
      </c>
      <c r="G796">
        <v>1328.630249</v>
      </c>
      <c r="H796">
        <v>1327.3137207</v>
      </c>
      <c r="I796">
        <v>1340.4559326000001</v>
      </c>
      <c r="J796">
        <v>1337.4014893000001</v>
      </c>
      <c r="K796">
        <v>0</v>
      </c>
      <c r="L796">
        <v>2750</v>
      </c>
      <c r="M796">
        <v>2750</v>
      </c>
      <c r="N796">
        <v>0</v>
      </c>
    </row>
    <row r="797" spans="1:14" x14ac:dyDescent="0.25">
      <c r="A797">
        <v>189.18050099999999</v>
      </c>
      <c r="B797" s="1">
        <f>DATE(2010,11,6) + TIME(4,19,55)</f>
        <v>40488.180497685185</v>
      </c>
      <c r="C797">
        <v>80</v>
      </c>
      <c r="D797">
        <v>79.068435668999996</v>
      </c>
      <c r="E797">
        <v>50</v>
      </c>
      <c r="F797">
        <v>49.964496613000001</v>
      </c>
      <c r="G797">
        <v>1328.6135254000001</v>
      </c>
      <c r="H797">
        <v>1327.2900391000001</v>
      </c>
      <c r="I797">
        <v>1340.440918</v>
      </c>
      <c r="J797">
        <v>1337.3914795000001</v>
      </c>
      <c r="K797">
        <v>0</v>
      </c>
      <c r="L797">
        <v>2750</v>
      </c>
      <c r="M797">
        <v>2750</v>
      </c>
      <c r="N797">
        <v>0</v>
      </c>
    </row>
    <row r="798" spans="1:14" x14ac:dyDescent="0.25">
      <c r="A798">
        <v>189.40898200000001</v>
      </c>
      <c r="B798" s="1">
        <f>DATE(2010,11,6) + TIME(9,48,56)</f>
        <v>40488.40898148148</v>
      </c>
      <c r="C798">
        <v>80</v>
      </c>
      <c r="D798">
        <v>79.034881592000005</v>
      </c>
      <c r="E798">
        <v>50</v>
      </c>
      <c r="F798">
        <v>49.964542389000002</v>
      </c>
      <c r="G798">
        <v>1328.5965576000001</v>
      </c>
      <c r="H798">
        <v>1327.2661132999999</v>
      </c>
      <c r="I798">
        <v>1340.4260254000001</v>
      </c>
      <c r="J798">
        <v>1337.3815918</v>
      </c>
      <c r="K798">
        <v>0</v>
      </c>
      <c r="L798">
        <v>2750</v>
      </c>
      <c r="M798">
        <v>2750</v>
      </c>
      <c r="N798">
        <v>0</v>
      </c>
    </row>
    <row r="799" spans="1:14" x14ac:dyDescent="0.25">
      <c r="A799">
        <v>189.64466200000001</v>
      </c>
      <c r="B799" s="1">
        <f>DATE(2010,11,6) + TIME(15,28,18)</f>
        <v>40488.644652777781</v>
      </c>
      <c r="C799">
        <v>80</v>
      </c>
      <c r="D799">
        <v>79.000564574999999</v>
      </c>
      <c r="E799">
        <v>50</v>
      </c>
      <c r="F799">
        <v>49.964584350999999</v>
      </c>
      <c r="G799">
        <v>1328.5793457</v>
      </c>
      <c r="H799">
        <v>1327.2416992000001</v>
      </c>
      <c r="I799">
        <v>1340.4111327999999</v>
      </c>
      <c r="J799">
        <v>1337.3717041</v>
      </c>
      <c r="K799">
        <v>0</v>
      </c>
      <c r="L799">
        <v>2750</v>
      </c>
      <c r="M799">
        <v>2750</v>
      </c>
      <c r="N799">
        <v>0</v>
      </c>
    </row>
    <row r="800" spans="1:14" x14ac:dyDescent="0.25">
      <c r="A800">
        <v>189.88887399999999</v>
      </c>
      <c r="B800" s="1">
        <f>DATE(2010,11,6) + TIME(21,19,58)</f>
        <v>40488.888865740744</v>
      </c>
      <c r="C800">
        <v>80</v>
      </c>
      <c r="D800">
        <v>78.965354919000006</v>
      </c>
      <c r="E800">
        <v>50</v>
      </c>
      <c r="F800">
        <v>49.964622497999997</v>
      </c>
      <c r="G800">
        <v>1328.5617675999999</v>
      </c>
      <c r="H800">
        <v>1327.2169189000001</v>
      </c>
      <c r="I800">
        <v>1340.3962402</v>
      </c>
      <c r="J800">
        <v>1337.3619385</v>
      </c>
      <c r="K800">
        <v>0</v>
      </c>
      <c r="L800">
        <v>2750</v>
      </c>
      <c r="M800">
        <v>2750</v>
      </c>
      <c r="N800">
        <v>0</v>
      </c>
    </row>
    <row r="801" spans="1:14" x14ac:dyDescent="0.25">
      <c r="A801">
        <v>190.143125</v>
      </c>
      <c r="B801" s="1">
        <f>DATE(2010,11,7) + TIME(3,26,6)</f>
        <v>40489.143125000002</v>
      </c>
      <c r="C801">
        <v>80</v>
      </c>
      <c r="D801">
        <v>78.929084778000004</v>
      </c>
      <c r="E801">
        <v>50</v>
      </c>
      <c r="F801">
        <v>49.964656830000003</v>
      </c>
      <c r="G801">
        <v>1328.5438231999999</v>
      </c>
      <c r="H801">
        <v>1327.1914062000001</v>
      </c>
      <c r="I801">
        <v>1340.3813477000001</v>
      </c>
      <c r="J801">
        <v>1337.3520507999999</v>
      </c>
      <c r="K801">
        <v>0</v>
      </c>
      <c r="L801">
        <v>2750</v>
      </c>
      <c r="M801">
        <v>2750</v>
      </c>
      <c r="N801">
        <v>0</v>
      </c>
    </row>
    <row r="802" spans="1:14" x14ac:dyDescent="0.25">
      <c r="A802">
        <v>190.408535</v>
      </c>
      <c r="B802" s="1">
        <f>DATE(2010,11,7) + TIME(9,48,17)</f>
        <v>40489.408530092594</v>
      </c>
      <c r="C802">
        <v>80</v>
      </c>
      <c r="D802">
        <v>78.891639709000003</v>
      </c>
      <c r="E802">
        <v>50</v>
      </c>
      <c r="F802">
        <v>49.964687347000002</v>
      </c>
      <c r="G802">
        <v>1328.5252685999999</v>
      </c>
      <c r="H802">
        <v>1327.1652832</v>
      </c>
      <c r="I802">
        <v>1340.3663329999999</v>
      </c>
      <c r="J802">
        <v>1337.3421631000001</v>
      </c>
      <c r="K802">
        <v>0</v>
      </c>
      <c r="L802">
        <v>2750</v>
      </c>
      <c r="M802">
        <v>2750</v>
      </c>
      <c r="N802">
        <v>0</v>
      </c>
    </row>
    <row r="803" spans="1:14" x14ac:dyDescent="0.25">
      <c r="A803">
        <v>190.68466900000001</v>
      </c>
      <c r="B803" s="1">
        <f>DATE(2010,11,7) + TIME(16,25,55)</f>
        <v>40489.684664351851</v>
      </c>
      <c r="C803">
        <v>80</v>
      </c>
      <c r="D803">
        <v>78.853050232000001</v>
      </c>
      <c r="E803">
        <v>50</v>
      </c>
      <c r="F803">
        <v>49.964710236000002</v>
      </c>
      <c r="G803">
        <v>1328.5062256000001</v>
      </c>
      <c r="H803">
        <v>1327.1383057</v>
      </c>
      <c r="I803">
        <v>1340.3511963000001</v>
      </c>
      <c r="J803">
        <v>1337.3321533000001</v>
      </c>
      <c r="K803">
        <v>0</v>
      </c>
      <c r="L803">
        <v>2750</v>
      </c>
      <c r="M803">
        <v>2750</v>
      </c>
      <c r="N803">
        <v>0</v>
      </c>
    </row>
    <row r="804" spans="1:14" x14ac:dyDescent="0.25">
      <c r="A804">
        <v>190.973433</v>
      </c>
      <c r="B804" s="1">
        <f>DATE(2010,11,7) + TIME(23,21,44)</f>
        <v>40489.973425925928</v>
      </c>
      <c r="C804">
        <v>80</v>
      </c>
      <c r="D804">
        <v>78.813140868999994</v>
      </c>
      <c r="E804">
        <v>50</v>
      </c>
      <c r="F804">
        <v>49.964725494</v>
      </c>
      <c r="G804">
        <v>1328.4864502</v>
      </c>
      <c r="H804">
        <v>1327.1105957</v>
      </c>
      <c r="I804">
        <v>1340.3360596</v>
      </c>
      <c r="J804">
        <v>1337.3221435999999</v>
      </c>
      <c r="K804">
        <v>0</v>
      </c>
      <c r="L804">
        <v>2750</v>
      </c>
      <c r="M804">
        <v>2750</v>
      </c>
      <c r="N804">
        <v>0</v>
      </c>
    </row>
    <row r="805" spans="1:14" x14ac:dyDescent="0.25">
      <c r="A805">
        <v>191.27696900000001</v>
      </c>
      <c r="B805" s="1">
        <f>DATE(2010,11,8) + TIME(6,38,50)</f>
        <v>40490.276967592596</v>
      </c>
      <c r="C805">
        <v>80</v>
      </c>
      <c r="D805">
        <v>78.771690368999998</v>
      </c>
      <c r="E805">
        <v>50</v>
      </c>
      <c r="F805">
        <v>49.964736938000001</v>
      </c>
      <c r="G805">
        <v>1328.4661865</v>
      </c>
      <c r="H805">
        <v>1327.0819091999999</v>
      </c>
      <c r="I805">
        <v>1340.3206786999999</v>
      </c>
      <c r="J805">
        <v>1337.3121338000001</v>
      </c>
      <c r="K805">
        <v>0</v>
      </c>
      <c r="L805">
        <v>2750</v>
      </c>
      <c r="M805">
        <v>2750</v>
      </c>
      <c r="N805">
        <v>0</v>
      </c>
    </row>
    <row r="806" spans="1:14" x14ac:dyDescent="0.25">
      <c r="A806">
        <v>191.59448499999999</v>
      </c>
      <c r="B806" s="1">
        <f>DATE(2010,11,8) + TIME(14,16,3)</f>
        <v>40490.59447916667</v>
      </c>
      <c r="C806">
        <v>80</v>
      </c>
      <c r="D806">
        <v>78.728759765999996</v>
      </c>
      <c r="E806">
        <v>50</v>
      </c>
      <c r="F806">
        <v>49.964740753000001</v>
      </c>
      <c r="G806">
        <v>1328.4449463000001</v>
      </c>
      <c r="H806">
        <v>1327.052124</v>
      </c>
      <c r="I806">
        <v>1340.3051757999999</v>
      </c>
      <c r="J806">
        <v>1337.3020019999999</v>
      </c>
      <c r="K806">
        <v>0</v>
      </c>
      <c r="L806">
        <v>2750</v>
      </c>
      <c r="M806">
        <v>2750</v>
      </c>
      <c r="N806">
        <v>0</v>
      </c>
    </row>
    <row r="807" spans="1:14" x14ac:dyDescent="0.25">
      <c r="A807">
        <v>191.917101</v>
      </c>
      <c r="B807" s="1">
        <f>DATE(2010,11,8) + TIME(22,0,37)</f>
        <v>40490.917094907411</v>
      </c>
      <c r="C807">
        <v>80</v>
      </c>
      <c r="D807">
        <v>78.685195922999995</v>
      </c>
      <c r="E807">
        <v>50</v>
      </c>
      <c r="F807">
        <v>49.964736938000001</v>
      </c>
      <c r="G807">
        <v>1328.4232178</v>
      </c>
      <c r="H807">
        <v>1327.0216064000001</v>
      </c>
      <c r="I807">
        <v>1340.2895507999999</v>
      </c>
      <c r="J807">
        <v>1337.2918701000001</v>
      </c>
      <c r="K807">
        <v>0</v>
      </c>
      <c r="L807">
        <v>2750</v>
      </c>
      <c r="M807">
        <v>2750</v>
      </c>
      <c r="N807">
        <v>0</v>
      </c>
    </row>
    <row r="808" spans="1:14" x14ac:dyDescent="0.25">
      <c r="A808">
        <v>192.24436800000001</v>
      </c>
      <c r="B808" s="1">
        <f>DATE(2010,11,9) + TIME(5,51,53)</f>
        <v>40491.244363425925</v>
      </c>
      <c r="C808">
        <v>80</v>
      </c>
      <c r="D808">
        <v>78.641128539999997</v>
      </c>
      <c r="E808">
        <v>50</v>
      </c>
      <c r="F808">
        <v>49.964729308999999</v>
      </c>
      <c r="G808">
        <v>1328.4012451000001</v>
      </c>
      <c r="H808">
        <v>1326.9907227000001</v>
      </c>
      <c r="I808">
        <v>1340.2742920000001</v>
      </c>
      <c r="J808">
        <v>1337.2818603999999</v>
      </c>
      <c r="K808">
        <v>0</v>
      </c>
      <c r="L808">
        <v>2750</v>
      </c>
      <c r="M808">
        <v>2750</v>
      </c>
      <c r="N808">
        <v>0</v>
      </c>
    </row>
    <row r="809" spans="1:14" x14ac:dyDescent="0.25">
      <c r="A809">
        <v>192.57554400000001</v>
      </c>
      <c r="B809" s="1">
        <f>DATE(2010,11,9) + TIME(13,48,46)</f>
        <v>40491.575532407405</v>
      </c>
      <c r="C809">
        <v>80</v>
      </c>
      <c r="D809">
        <v>78.596725464000002</v>
      </c>
      <c r="E809">
        <v>50</v>
      </c>
      <c r="F809">
        <v>49.964714049999998</v>
      </c>
      <c r="G809">
        <v>1328.3790283000001</v>
      </c>
      <c r="H809">
        <v>1326.9595947</v>
      </c>
      <c r="I809">
        <v>1340.2592772999999</v>
      </c>
      <c r="J809">
        <v>1337.2722168</v>
      </c>
      <c r="K809">
        <v>0</v>
      </c>
      <c r="L809">
        <v>2750</v>
      </c>
      <c r="M809">
        <v>2750</v>
      </c>
      <c r="N809">
        <v>0</v>
      </c>
    </row>
    <row r="810" spans="1:14" x14ac:dyDescent="0.25">
      <c r="A810">
        <v>192.911959</v>
      </c>
      <c r="B810" s="1">
        <f>DATE(2010,11,9) + TIME(21,53,13)</f>
        <v>40491.911956018521</v>
      </c>
      <c r="C810">
        <v>80</v>
      </c>
      <c r="D810">
        <v>78.551925659000005</v>
      </c>
      <c r="E810">
        <v>50</v>
      </c>
      <c r="F810">
        <v>49.964698792</v>
      </c>
      <c r="G810">
        <v>1328.3568115</v>
      </c>
      <c r="H810">
        <v>1326.9284668</v>
      </c>
      <c r="I810">
        <v>1340.244751</v>
      </c>
      <c r="J810">
        <v>1337.2628173999999</v>
      </c>
      <c r="K810">
        <v>0</v>
      </c>
      <c r="L810">
        <v>2750</v>
      </c>
      <c r="M810">
        <v>2750</v>
      </c>
      <c r="N810">
        <v>0</v>
      </c>
    </row>
    <row r="811" spans="1:14" x14ac:dyDescent="0.25">
      <c r="A811">
        <v>193.255436</v>
      </c>
      <c r="B811" s="1">
        <f>DATE(2010,11,10) + TIME(6,7,49)</f>
        <v>40492.255428240744</v>
      </c>
      <c r="C811">
        <v>80</v>
      </c>
      <c r="D811">
        <v>78.506599425999994</v>
      </c>
      <c r="E811">
        <v>50</v>
      </c>
      <c r="F811">
        <v>49.964679717999999</v>
      </c>
      <c r="G811">
        <v>1328.3343506000001</v>
      </c>
      <c r="H811">
        <v>1326.8969727000001</v>
      </c>
      <c r="I811">
        <v>1340.2305908000001</v>
      </c>
      <c r="J811">
        <v>1337.2535399999999</v>
      </c>
      <c r="K811">
        <v>0</v>
      </c>
      <c r="L811">
        <v>2750</v>
      </c>
      <c r="M811">
        <v>2750</v>
      </c>
      <c r="N811">
        <v>0</v>
      </c>
    </row>
    <row r="812" spans="1:14" x14ac:dyDescent="0.25">
      <c r="A812">
        <v>193.60785999999999</v>
      </c>
      <c r="B812" s="1">
        <f>DATE(2010,11,10) + TIME(14,35,19)</f>
        <v>40492.607858796298</v>
      </c>
      <c r="C812">
        <v>80</v>
      </c>
      <c r="D812">
        <v>78.460594177000004</v>
      </c>
      <c r="E812">
        <v>50</v>
      </c>
      <c r="F812">
        <v>49.964656830000003</v>
      </c>
      <c r="G812">
        <v>1328.3116454999999</v>
      </c>
      <c r="H812">
        <v>1326.8652344</v>
      </c>
      <c r="I812">
        <v>1340.2165527</v>
      </c>
      <c r="J812">
        <v>1337.2446289</v>
      </c>
      <c r="K812">
        <v>0</v>
      </c>
      <c r="L812">
        <v>2750</v>
      </c>
      <c r="M812">
        <v>2750</v>
      </c>
      <c r="N812">
        <v>0</v>
      </c>
    </row>
    <row r="813" spans="1:14" x14ac:dyDescent="0.25">
      <c r="A813">
        <v>193.97126399999999</v>
      </c>
      <c r="B813" s="1">
        <f>DATE(2010,11,10) + TIME(23,18,37)</f>
        <v>40492.971261574072</v>
      </c>
      <c r="C813">
        <v>80</v>
      </c>
      <c r="D813">
        <v>78.413719177000004</v>
      </c>
      <c r="E813">
        <v>50</v>
      </c>
      <c r="F813">
        <v>49.964630127</v>
      </c>
      <c r="G813">
        <v>1328.2885742000001</v>
      </c>
      <c r="H813">
        <v>1326.8330077999999</v>
      </c>
      <c r="I813">
        <v>1340.2026367000001</v>
      </c>
      <c r="J813">
        <v>1337.2357178</v>
      </c>
      <c r="K813">
        <v>0</v>
      </c>
      <c r="L813">
        <v>2750</v>
      </c>
      <c r="M813">
        <v>2750</v>
      </c>
      <c r="N813">
        <v>0</v>
      </c>
    </row>
    <row r="814" spans="1:14" x14ac:dyDescent="0.25">
      <c r="A814">
        <v>194.34648200000001</v>
      </c>
      <c r="B814" s="1">
        <f>DATE(2010,11,11) + TIME(8,18,56)</f>
        <v>40493.34648148148</v>
      </c>
      <c r="C814">
        <v>80</v>
      </c>
      <c r="D814">
        <v>78.365898131999998</v>
      </c>
      <c r="E814">
        <v>50</v>
      </c>
      <c r="F814">
        <v>49.964603424000003</v>
      </c>
      <c r="G814">
        <v>1328.2651367000001</v>
      </c>
      <c r="H814">
        <v>1326.8001709</v>
      </c>
      <c r="I814">
        <v>1340.1888428</v>
      </c>
      <c r="J814">
        <v>1337.2268065999999</v>
      </c>
      <c r="K814">
        <v>0</v>
      </c>
      <c r="L814">
        <v>2750</v>
      </c>
      <c r="M814">
        <v>2750</v>
      </c>
      <c r="N814">
        <v>0</v>
      </c>
    </row>
    <row r="815" spans="1:14" x14ac:dyDescent="0.25">
      <c r="A815">
        <v>194.73218</v>
      </c>
      <c r="B815" s="1">
        <f>DATE(2010,11,11) + TIME(17,34,20)</f>
        <v>40493.732175925928</v>
      </c>
      <c r="C815">
        <v>80</v>
      </c>
      <c r="D815">
        <v>78.317199707</v>
      </c>
      <c r="E815">
        <v>50</v>
      </c>
      <c r="F815">
        <v>49.964576721</v>
      </c>
      <c r="G815">
        <v>1328.2410889</v>
      </c>
      <c r="H815">
        <v>1326.7666016000001</v>
      </c>
      <c r="I815">
        <v>1340.1751709</v>
      </c>
      <c r="J815">
        <v>1337.2180175999999</v>
      </c>
      <c r="K815">
        <v>0</v>
      </c>
      <c r="L815">
        <v>2750</v>
      </c>
      <c r="M815">
        <v>2750</v>
      </c>
      <c r="N815">
        <v>0</v>
      </c>
    </row>
    <row r="816" spans="1:14" x14ac:dyDescent="0.25">
      <c r="A816">
        <v>195.13061999999999</v>
      </c>
      <c r="B816" s="1">
        <f>DATE(2010,11,12) + TIME(3,8,5)</f>
        <v>40494.130613425928</v>
      </c>
      <c r="C816">
        <v>80</v>
      </c>
      <c r="D816">
        <v>78.267471313000001</v>
      </c>
      <c r="E816">
        <v>50</v>
      </c>
      <c r="F816">
        <v>49.964546204000001</v>
      </c>
      <c r="G816">
        <v>1328.2166748</v>
      </c>
      <c r="H816">
        <v>1326.7325439000001</v>
      </c>
      <c r="I816">
        <v>1340.161499</v>
      </c>
      <c r="J816">
        <v>1337.2093506000001</v>
      </c>
      <c r="K816">
        <v>0</v>
      </c>
      <c r="L816">
        <v>2750</v>
      </c>
      <c r="M816">
        <v>2750</v>
      </c>
      <c r="N816">
        <v>0</v>
      </c>
    </row>
    <row r="817" spans="1:14" x14ac:dyDescent="0.25">
      <c r="A817">
        <v>195.54424299999999</v>
      </c>
      <c r="B817" s="1">
        <f>DATE(2010,11,12) + TIME(13,3,42)</f>
        <v>40494.544236111113</v>
      </c>
      <c r="C817">
        <v>80</v>
      </c>
      <c r="D817">
        <v>78.216491699000002</v>
      </c>
      <c r="E817">
        <v>50</v>
      </c>
      <c r="F817">
        <v>49.964515685999999</v>
      </c>
      <c r="G817">
        <v>1328.1917725000001</v>
      </c>
      <c r="H817">
        <v>1326.6977539</v>
      </c>
      <c r="I817">
        <v>1340.1478271000001</v>
      </c>
      <c r="J817">
        <v>1337.2008057</v>
      </c>
      <c r="K817">
        <v>0</v>
      </c>
      <c r="L817">
        <v>2750</v>
      </c>
      <c r="M817">
        <v>2750</v>
      </c>
      <c r="N817">
        <v>0</v>
      </c>
    </row>
    <row r="818" spans="1:14" x14ac:dyDescent="0.25">
      <c r="A818">
        <v>195.97586000000001</v>
      </c>
      <c r="B818" s="1">
        <f>DATE(2010,11,12) + TIME(23,25,14)</f>
        <v>40494.975856481484</v>
      </c>
      <c r="C818">
        <v>80</v>
      </c>
      <c r="D818">
        <v>78.164024353000002</v>
      </c>
      <c r="E818">
        <v>50</v>
      </c>
      <c r="F818">
        <v>49.964481354</v>
      </c>
      <c r="G818">
        <v>1328.1661377</v>
      </c>
      <c r="H818">
        <v>1326.6621094</v>
      </c>
      <c r="I818">
        <v>1340.1342772999999</v>
      </c>
      <c r="J818">
        <v>1337.1921387</v>
      </c>
      <c r="K818">
        <v>0</v>
      </c>
      <c r="L818">
        <v>2750</v>
      </c>
      <c r="M818">
        <v>2750</v>
      </c>
      <c r="N818">
        <v>0</v>
      </c>
    </row>
    <row r="819" spans="1:14" x14ac:dyDescent="0.25">
      <c r="A819">
        <v>196.418948</v>
      </c>
      <c r="B819" s="1">
        <f>DATE(2010,11,13) + TIME(10,3,17)</f>
        <v>40495.418946759259</v>
      </c>
      <c r="C819">
        <v>80</v>
      </c>
      <c r="D819">
        <v>78.110496521000002</v>
      </c>
      <c r="E819">
        <v>50</v>
      </c>
      <c r="F819">
        <v>49.964450835999997</v>
      </c>
      <c r="G819">
        <v>1328.1397704999999</v>
      </c>
      <c r="H819">
        <v>1326.6254882999999</v>
      </c>
      <c r="I819">
        <v>1340.1204834</v>
      </c>
      <c r="J819">
        <v>1337.1834716999999</v>
      </c>
      <c r="K819">
        <v>0</v>
      </c>
      <c r="L819">
        <v>2750</v>
      </c>
      <c r="M819">
        <v>2750</v>
      </c>
      <c r="N819">
        <v>0</v>
      </c>
    </row>
    <row r="820" spans="1:14" x14ac:dyDescent="0.25">
      <c r="A820">
        <v>196.87025399999999</v>
      </c>
      <c r="B820" s="1">
        <f>DATE(2010,11,13) + TIME(20,53,9)</f>
        <v>40495.870243055557</v>
      </c>
      <c r="C820">
        <v>80</v>
      </c>
      <c r="D820">
        <v>78.056213378999999</v>
      </c>
      <c r="E820">
        <v>50</v>
      </c>
      <c r="F820">
        <v>49.964416503999999</v>
      </c>
      <c r="G820">
        <v>1328.1129149999999</v>
      </c>
      <c r="H820">
        <v>1326.5881348</v>
      </c>
      <c r="I820">
        <v>1340.1069336</v>
      </c>
      <c r="J820">
        <v>1337.1750488</v>
      </c>
      <c r="K820">
        <v>0</v>
      </c>
      <c r="L820">
        <v>2750</v>
      </c>
      <c r="M820">
        <v>2750</v>
      </c>
      <c r="N820">
        <v>0</v>
      </c>
    </row>
    <row r="821" spans="1:14" x14ac:dyDescent="0.25">
      <c r="A821">
        <v>197.324602</v>
      </c>
      <c r="B821" s="1">
        <f>DATE(2010,11,14) + TIME(7,47,25)</f>
        <v>40496.324594907404</v>
      </c>
      <c r="C821">
        <v>80</v>
      </c>
      <c r="D821">
        <v>78.001670837000006</v>
      </c>
      <c r="E821">
        <v>50</v>
      </c>
      <c r="F821">
        <v>49.964385986000003</v>
      </c>
      <c r="G821">
        <v>1328.0858154</v>
      </c>
      <c r="H821">
        <v>1326.5505370999999</v>
      </c>
      <c r="I821">
        <v>1340.0936279</v>
      </c>
      <c r="J821">
        <v>1337.166626</v>
      </c>
      <c r="K821">
        <v>0</v>
      </c>
      <c r="L821">
        <v>2750</v>
      </c>
      <c r="M821">
        <v>2750</v>
      </c>
      <c r="N821">
        <v>0</v>
      </c>
    </row>
    <row r="822" spans="1:14" x14ac:dyDescent="0.25">
      <c r="A822">
        <v>197.78456499999999</v>
      </c>
      <c r="B822" s="1">
        <f>DATE(2010,11,14) + TIME(18,49,46)</f>
        <v>40496.784560185188</v>
      </c>
      <c r="C822">
        <v>80</v>
      </c>
      <c r="D822">
        <v>77.946838378999999</v>
      </c>
      <c r="E822">
        <v>50</v>
      </c>
      <c r="F822">
        <v>49.964351653999998</v>
      </c>
      <c r="G822">
        <v>1328.0585937999999</v>
      </c>
      <c r="H822">
        <v>1326.5128173999999</v>
      </c>
      <c r="I822">
        <v>1340.0805664</v>
      </c>
      <c r="J822">
        <v>1337.1585693</v>
      </c>
      <c r="K822">
        <v>0</v>
      </c>
      <c r="L822">
        <v>2750</v>
      </c>
      <c r="M822">
        <v>2750</v>
      </c>
      <c r="N822">
        <v>0</v>
      </c>
    </row>
    <row r="823" spans="1:14" x14ac:dyDescent="0.25">
      <c r="A823">
        <v>198.25264100000001</v>
      </c>
      <c r="B823" s="1">
        <f>DATE(2010,11,15) + TIME(6,3,48)</f>
        <v>40497.252638888887</v>
      </c>
      <c r="C823">
        <v>80</v>
      </c>
      <c r="D823">
        <v>77.891601562000005</v>
      </c>
      <c r="E823">
        <v>50</v>
      </c>
      <c r="F823">
        <v>49.964321136000002</v>
      </c>
      <c r="G823">
        <v>1328.0313721</v>
      </c>
      <c r="H823">
        <v>1326.4750977000001</v>
      </c>
      <c r="I823">
        <v>1340.0678711</v>
      </c>
      <c r="J823">
        <v>1337.1506348</v>
      </c>
      <c r="K823">
        <v>0</v>
      </c>
      <c r="L823">
        <v>2750</v>
      </c>
      <c r="M823">
        <v>2750</v>
      </c>
      <c r="N823">
        <v>0</v>
      </c>
    </row>
    <row r="824" spans="1:14" x14ac:dyDescent="0.25">
      <c r="A824">
        <v>198.73137299999999</v>
      </c>
      <c r="B824" s="1">
        <f>DATE(2010,11,15) + TIME(17,33,10)</f>
        <v>40497.731365740743</v>
      </c>
      <c r="C824">
        <v>80</v>
      </c>
      <c r="D824">
        <v>77.835777282999999</v>
      </c>
      <c r="E824">
        <v>50</v>
      </c>
      <c r="F824">
        <v>49.964286803999997</v>
      </c>
      <c r="G824">
        <v>1328.0039062000001</v>
      </c>
      <c r="H824">
        <v>1326.4370117000001</v>
      </c>
      <c r="I824">
        <v>1340.0554199000001</v>
      </c>
      <c r="J824">
        <v>1337.1429443</v>
      </c>
      <c r="K824">
        <v>0</v>
      </c>
      <c r="L824">
        <v>2750</v>
      </c>
      <c r="M824">
        <v>2750</v>
      </c>
      <c r="N824">
        <v>0</v>
      </c>
    </row>
    <row r="825" spans="1:14" x14ac:dyDescent="0.25">
      <c r="A825">
        <v>199.22347300000001</v>
      </c>
      <c r="B825" s="1">
        <f>DATE(2010,11,16) + TIME(5,21,48)</f>
        <v>40498.22347222222</v>
      </c>
      <c r="C825">
        <v>80</v>
      </c>
      <c r="D825">
        <v>77.779121399000005</v>
      </c>
      <c r="E825">
        <v>50</v>
      </c>
      <c r="F825">
        <v>49.964256286999998</v>
      </c>
      <c r="G825">
        <v>1327.9761963000001</v>
      </c>
      <c r="H825">
        <v>1326.3985596</v>
      </c>
      <c r="I825">
        <v>1340.0429687999999</v>
      </c>
      <c r="J825">
        <v>1337.135376</v>
      </c>
      <c r="K825">
        <v>0</v>
      </c>
      <c r="L825">
        <v>2750</v>
      </c>
      <c r="M825">
        <v>2750</v>
      </c>
      <c r="N825">
        <v>0</v>
      </c>
    </row>
    <row r="826" spans="1:14" x14ac:dyDescent="0.25">
      <c r="A826">
        <v>199.73191700000001</v>
      </c>
      <c r="B826" s="1">
        <f>DATE(2010,11,16) + TIME(17,33,57)</f>
        <v>40498.731909722221</v>
      </c>
      <c r="C826">
        <v>80</v>
      </c>
      <c r="D826">
        <v>77.721374511999997</v>
      </c>
      <c r="E826">
        <v>50</v>
      </c>
      <c r="F826">
        <v>49.964225769000002</v>
      </c>
      <c r="G826">
        <v>1327.947876</v>
      </c>
      <c r="H826">
        <v>1326.359375</v>
      </c>
      <c r="I826">
        <v>1340.0306396000001</v>
      </c>
      <c r="J826">
        <v>1337.1278076000001</v>
      </c>
      <c r="K826">
        <v>0</v>
      </c>
      <c r="L826">
        <v>2750</v>
      </c>
      <c r="M826">
        <v>2750</v>
      </c>
      <c r="N826">
        <v>0</v>
      </c>
    </row>
    <row r="827" spans="1:14" x14ac:dyDescent="0.25">
      <c r="A827">
        <v>200.25357700000001</v>
      </c>
      <c r="B827" s="1">
        <f>DATE(2010,11,17) + TIME(6,5,9)</f>
        <v>40499.253576388888</v>
      </c>
      <c r="C827">
        <v>80</v>
      </c>
      <c r="D827">
        <v>77.662643433</v>
      </c>
      <c r="E827">
        <v>50</v>
      </c>
      <c r="F827">
        <v>49.964195251</v>
      </c>
      <c r="G827">
        <v>1327.9190673999999</v>
      </c>
      <c r="H827">
        <v>1326.3195800999999</v>
      </c>
      <c r="I827">
        <v>1340.0184326000001</v>
      </c>
      <c r="J827">
        <v>1337.1202393000001</v>
      </c>
      <c r="K827">
        <v>0</v>
      </c>
      <c r="L827">
        <v>2750</v>
      </c>
      <c r="M827">
        <v>2750</v>
      </c>
      <c r="N827">
        <v>0</v>
      </c>
    </row>
    <row r="828" spans="1:14" x14ac:dyDescent="0.25">
      <c r="A828">
        <v>200.790312</v>
      </c>
      <c r="B828" s="1">
        <f>DATE(2010,11,17) + TIME(18,58,2)</f>
        <v>40499.790300925924</v>
      </c>
      <c r="C828">
        <v>80</v>
      </c>
      <c r="D828">
        <v>77.602813721000004</v>
      </c>
      <c r="E828">
        <v>50</v>
      </c>
      <c r="F828">
        <v>49.964168549</v>
      </c>
      <c r="G828">
        <v>1327.8898925999999</v>
      </c>
      <c r="H828">
        <v>1326.2791748</v>
      </c>
      <c r="I828">
        <v>1340.0061035000001</v>
      </c>
      <c r="J828">
        <v>1337.1129149999999</v>
      </c>
      <c r="K828">
        <v>0</v>
      </c>
      <c r="L828">
        <v>2750</v>
      </c>
      <c r="M828">
        <v>2750</v>
      </c>
      <c r="N828">
        <v>0</v>
      </c>
    </row>
    <row r="829" spans="1:14" x14ac:dyDescent="0.25">
      <c r="A829">
        <v>201.34094999999999</v>
      </c>
      <c r="B829" s="1">
        <f>DATE(2010,11,18) + TIME(8,10,58)</f>
        <v>40500.340949074074</v>
      </c>
      <c r="C829">
        <v>80</v>
      </c>
      <c r="D829">
        <v>77.541931152000004</v>
      </c>
      <c r="E829">
        <v>50</v>
      </c>
      <c r="F829">
        <v>49.964138030999997</v>
      </c>
      <c r="G829">
        <v>1327.8601074000001</v>
      </c>
      <c r="H829">
        <v>1326.2380370999999</v>
      </c>
      <c r="I829">
        <v>1339.9940185999999</v>
      </c>
      <c r="J829">
        <v>1337.1054687999999</v>
      </c>
      <c r="K829">
        <v>0</v>
      </c>
      <c r="L829">
        <v>2750</v>
      </c>
      <c r="M829">
        <v>2750</v>
      </c>
      <c r="N829">
        <v>0</v>
      </c>
    </row>
    <row r="830" spans="1:14" x14ac:dyDescent="0.25">
      <c r="A830">
        <v>201.90465599999999</v>
      </c>
      <c r="B830" s="1">
        <f>DATE(2010,11,18) + TIME(21,42,42)</f>
        <v>40500.904652777775</v>
      </c>
      <c r="C830">
        <v>80</v>
      </c>
      <c r="D830">
        <v>77.480056762999993</v>
      </c>
      <c r="E830">
        <v>50</v>
      </c>
      <c r="F830">
        <v>49.964111328000001</v>
      </c>
      <c r="G830">
        <v>1327.8298339999999</v>
      </c>
      <c r="H830">
        <v>1326.1964111</v>
      </c>
      <c r="I830">
        <v>1339.9819336</v>
      </c>
      <c r="J830">
        <v>1337.0982666</v>
      </c>
      <c r="K830">
        <v>0</v>
      </c>
      <c r="L830">
        <v>2750</v>
      </c>
      <c r="M830">
        <v>2750</v>
      </c>
      <c r="N830">
        <v>0</v>
      </c>
    </row>
    <row r="831" spans="1:14" x14ac:dyDescent="0.25">
      <c r="A831">
        <v>202.48500200000001</v>
      </c>
      <c r="B831" s="1">
        <f>DATE(2010,11,19) + TIME(11,38,24)</f>
        <v>40501.485000000001</v>
      </c>
      <c r="C831">
        <v>80</v>
      </c>
      <c r="D831">
        <v>77.417007446</v>
      </c>
      <c r="E831">
        <v>50</v>
      </c>
      <c r="F831">
        <v>49.964084624999998</v>
      </c>
      <c r="G831">
        <v>1327.7990723</v>
      </c>
      <c r="H831">
        <v>1326.1540527</v>
      </c>
      <c r="I831">
        <v>1339.9699707</v>
      </c>
      <c r="J831">
        <v>1337.0910644999999</v>
      </c>
      <c r="K831">
        <v>0</v>
      </c>
      <c r="L831">
        <v>2750</v>
      </c>
      <c r="M831">
        <v>2750</v>
      </c>
      <c r="N831">
        <v>0</v>
      </c>
    </row>
    <row r="832" spans="1:14" x14ac:dyDescent="0.25">
      <c r="A832">
        <v>203.07251299999999</v>
      </c>
      <c r="B832" s="1">
        <f>DATE(2010,11,20) + TIME(1,44,25)</f>
        <v>40502.072511574072</v>
      </c>
      <c r="C832">
        <v>80</v>
      </c>
      <c r="D832">
        <v>77.353263854999994</v>
      </c>
      <c r="E832">
        <v>50</v>
      </c>
      <c r="F832">
        <v>49.964057922000002</v>
      </c>
      <c r="G832">
        <v>1327.7679443</v>
      </c>
      <c r="H832">
        <v>1326.1112060999999</v>
      </c>
      <c r="I832">
        <v>1339.9580077999999</v>
      </c>
      <c r="J832">
        <v>1337.0838623</v>
      </c>
      <c r="K832">
        <v>0</v>
      </c>
      <c r="L832">
        <v>2750</v>
      </c>
      <c r="M832">
        <v>2750</v>
      </c>
      <c r="N832">
        <v>0</v>
      </c>
    </row>
    <row r="833" spans="1:14" x14ac:dyDescent="0.25">
      <c r="A833">
        <v>203.66797299999999</v>
      </c>
      <c r="B833" s="1">
        <f>DATE(2010,11,20) + TIME(16,1,52)</f>
        <v>40502.667962962965</v>
      </c>
      <c r="C833">
        <v>80</v>
      </c>
      <c r="D833">
        <v>77.288963318</v>
      </c>
      <c r="E833">
        <v>50</v>
      </c>
      <c r="F833">
        <v>49.964031218999999</v>
      </c>
      <c r="G833">
        <v>1327.7365723</v>
      </c>
      <c r="H833">
        <v>1326.0679932</v>
      </c>
      <c r="I833">
        <v>1339.9462891000001</v>
      </c>
      <c r="J833">
        <v>1337.0769043</v>
      </c>
      <c r="K833">
        <v>0</v>
      </c>
      <c r="L833">
        <v>2750</v>
      </c>
      <c r="M833">
        <v>2750</v>
      </c>
      <c r="N833">
        <v>0</v>
      </c>
    </row>
    <row r="834" spans="1:14" x14ac:dyDescent="0.25">
      <c r="A834">
        <v>204.27479</v>
      </c>
      <c r="B834" s="1">
        <f>DATE(2010,11,21) + TIME(6,35,41)</f>
        <v>40503.274780092594</v>
      </c>
      <c r="C834">
        <v>80</v>
      </c>
      <c r="D834">
        <v>77.223991393999995</v>
      </c>
      <c r="E834">
        <v>50</v>
      </c>
      <c r="F834">
        <v>49.964004516999999</v>
      </c>
      <c r="G834">
        <v>1327.7050781</v>
      </c>
      <c r="H834">
        <v>1326.0246582</v>
      </c>
      <c r="I834">
        <v>1339.9348144999999</v>
      </c>
      <c r="J834">
        <v>1337.0701904</v>
      </c>
      <c r="K834">
        <v>0</v>
      </c>
      <c r="L834">
        <v>2750</v>
      </c>
      <c r="M834">
        <v>2750</v>
      </c>
      <c r="N834">
        <v>0</v>
      </c>
    </row>
    <row r="835" spans="1:14" x14ac:dyDescent="0.25">
      <c r="A835">
        <v>204.89650800000001</v>
      </c>
      <c r="B835" s="1">
        <f>DATE(2010,11,21) + TIME(21,30,58)</f>
        <v>40503.896504629629</v>
      </c>
      <c r="C835">
        <v>80</v>
      </c>
      <c r="D835">
        <v>77.158111571999996</v>
      </c>
      <c r="E835">
        <v>50</v>
      </c>
      <c r="F835">
        <v>49.963981627999999</v>
      </c>
      <c r="G835">
        <v>1327.6732178</v>
      </c>
      <c r="H835">
        <v>1325.980957</v>
      </c>
      <c r="I835">
        <v>1339.9234618999999</v>
      </c>
      <c r="J835">
        <v>1337.0634766000001</v>
      </c>
      <c r="K835">
        <v>0</v>
      </c>
      <c r="L835">
        <v>2750</v>
      </c>
      <c r="M835">
        <v>2750</v>
      </c>
      <c r="N835">
        <v>0</v>
      </c>
    </row>
    <row r="836" spans="1:14" x14ac:dyDescent="0.25">
      <c r="A836">
        <v>205.53473199999999</v>
      </c>
      <c r="B836" s="1">
        <f>DATE(2010,11,22) + TIME(12,50,0)</f>
        <v>40504.534722222219</v>
      </c>
      <c r="C836">
        <v>80</v>
      </c>
      <c r="D836">
        <v>77.091125488000003</v>
      </c>
      <c r="E836">
        <v>50</v>
      </c>
      <c r="F836">
        <v>49.963958740000002</v>
      </c>
      <c r="G836">
        <v>1327.6411132999999</v>
      </c>
      <c r="H836">
        <v>1325.9367675999999</v>
      </c>
      <c r="I836">
        <v>1339.9121094</v>
      </c>
      <c r="J836">
        <v>1337.0568848</v>
      </c>
      <c r="K836">
        <v>0</v>
      </c>
      <c r="L836">
        <v>2750</v>
      </c>
      <c r="M836">
        <v>2750</v>
      </c>
      <c r="N836">
        <v>0</v>
      </c>
    </row>
    <row r="837" spans="1:14" x14ac:dyDescent="0.25">
      <c r="A837">
        <v>206.187059</v>
      </c>
      <c r="B837" s="1">
        <f>DATE(2010,11,23) + TIME(4,29,21)</f>
        <v>40505.187048611115</v>
      </c>
      <c r="C837">
        <v>80</v>
      </c>
      <c r="D837">
        <v>77.023040770999998</v>
      </c>
      <c r="E837">
        <v>50</v>
      </c>
      <c r="F837">
        <v>49.963935851999999</v>
      </c>
      <c r="G837">
        <v>1327.6083983999999</v>
      </c>
      <c r="H837">
        <v>1325.8919678</v>
      </c>
      <c r="I837">
        <v>1339.9008789</v>
      </c>
      <c r="J837">
        <v>1337.050293</v>
      </c>
      <c r="K837">
        <v>0</v>
      </c>
      <c r="L837">
        <v>2750</v>
      </c>
      <c r="M837">
        <v>2750</v>
      </c>
      <c r="N837">
        <v>0</v>
      </c>
    </row>
    <row r="838" spans="1:14" x14ac:dyDescent="0.25">
      <c r="A838">
        <v>206.85476600000001</v>
      </c>
      <c r="B838" s="1">
        <f>DATE(2010,11,23) + TIME(20,30,51)</f>
        <v>40505.854756944442</v>
      </c>
      <c r="C838">
        <v>80</v>
      </c>
      <c r="D838">
        <v>76.953796386999997</v>
      </c>
      <c r="E838">
        <v>50</v>
      </c>
      <c r="F838">
        <v>49.963912964000002</v>
      </c>
      <c r="G838">
        <v>1327.5754394999999</v>
      </c>
      <c r="H838">
        <v>1325.8466797000001</v>
      </c>
      <c r="I838">
        <v>1339.8897704999999</v>
      </c>
      <c r="J838">
        <v>1337.0438231999999</v>
      </c>
      <c r="K838">
        <v>0</v>
      </c>
      <c r="L838">
        <v>2750</v>
      </c>
      <c r="M838">
        <v>2750</v>
      </c>
      <c r="N838">
        <v>0</v>
      </c>
    </row>
    <row r="839" spans="1:14" x14ac:dyDescent="0.25">
      <c r="A839">
        <v>207.536158</v>
      </c>
      <c r="B839" s="1">
        <f>DATE(2010,11,24) + TIME(12,52,4)</f>
        <v>40506.536157407405</v>
      </c>
      <c r="C839">
        <v>80</v>
      </c>
      <c r="D839">
        <v>76.88343811</v>
      </c>
      <c r="E839">
        <v>50</v>
      </c>
      <c r="F839">
        <v>49.963893890000001</v>
      </c>
      <c r="G839">
        <v>1327.5419922000001</v>
      </c>
      <c r="H839">
        <v>1325.8010254000001</v>
      </c>
      <c r="I839">
        <v>1339.8786620999999</v>
      </c>
      <c r="J839">
        <v>1337.0373535000001</v>
      </c>
      <c r="K839">
        <v>0</v>
      </c>
      <c r="L839">
        <v>2750</v>
      </c>
      <c r="M839">
        <v>2750</v>
      </c>
      <c r="N839">
        <v>0</v>
      </c>
    </row>
    <row r="840" spans="1:14" x14ac:dyDescent="0.25">
      <c r="A840">
        <v>208.22956600000001</v>
      </c>
      <c r="B840" s="1">
        <f>DATE(2010,11,25) + TIME(5,30,34)</f>
        <v>40507.229560185187</v>
      </c>
      <c r="C840">
        <v>80</v>
      </c>
      <c r="D840">
        <v>76.812065125000004</v>
      </c>
      <c r="E840">
        <v>50</v>
      </c>
      <c r="F840">
        <v>49.963874816999997</v>
      </c>
      <c r="G840">
        <v>1327.5083007999999</v>
      </c>
      <c r="H840">
        <v>1325.7547606999999</v>
      </c>
      <c r="I840">
        <v>1339.8676757999999</v>
      </c>
      <c r="J840">
        <v>1337.0311279</v>
      </c>
      <c r="K840">
        <v>0</v>
      </c>
      <c r="L840">
        <v>2750</v>
      </c>
      <c r="M840">
        <v>2750</v>
      </c>
      <c r="N840">
        <v>0</v>
      </c>
    </row>
    <row r="841" spans="1:14" x14ac:dyDescent="0.25">
      <c r="A841">
        <v>208.939325</v>
      </c>
      <c r="B841" s="1">
        <f>DATE(2010,11,25) + TIME(22,32,37)</f>
        <v>40507.939317129632</v>
      </c>
      <c r="C841">
        <v>80</v>
      </c>
      <c r="D841">
        <v>76.739509583</v>
      </c>
      <c r="E841">
        <v>50</v>
      </c>
      <c r="F841">
        <v>49.963855743000003</v>
      </c>
      <c r="G841">
        <v>1327.4742432</v>
      </c>
      <c r="H841">
        <v>1325.7082519999999</v>
      </c>
      <c r="I841">
        <v>1339.8569336</v>
      </c>
      <c r="J841">
        <v>1337.0249022999999</v>
      </c>
      <c r="K841">
        <v>0</v>
      </c>
      <c r="L841">
        <v>2750</v>
      </c>
      <c r="M841">
        <v>2750</v>
      </c>
      <c r="N841">
        <v>0</v>
      </c>
    </row>
    <row r="842" spans="1:14" x14ac:dyDescent="0.25">
      <c r="A842">
        <v>209.669974</v>
      </c>
      <c r="B842" s="1">
        <f>DATE(2010,11,26) + TIME(16,4,45)</f>
        <v>40508.669965277775</v>
      </c>
      <c r="C842">
        <v>80</v>
      </c>
      <c r="D842">
        <v>76.665443420000003</v>
      </c>
      <c r="E842">
        <v>50</v>
      </c>
      <c r="F842">
        <v>49.963836669999999</v>
      </c>
      <c r="G842">
        <v>1327.4398193</v>
      </c>
      <c r="H842">
        <v>1325.6611327999999</v>
      </c>
      <c r="I842">
        <v>1339.8461914</v>
      </c>
      <c r="J842">
        <v>1337.0187988</v>
      </c>
      <c r="K842">
        <v>0</v>
      </c>
      <c r="L842">
        <v>2750</v>
      </c>
      <c r="M842">
        <v>2750</v>
      </c>
      <c r="N842">
        <v>0</v>
      </c>
    </row>
    <row r="843" spans="1:14" x14ac:dyDescent="0.25">
      <c r="A843">
        <v>210.41376399999999</v>
      </c>
      <c r="B843" s="1">
        <f>DATE(2010,11,27) + TIME(9,55,49)</f>
        <v>40509.413761574076</v>
      </c>
      <c r="C843">
        <v>80</v>
      </c>
      <c r="D843">
        <v>76.590026855000005</v>
      </c>
      <c r="E843">
        <v>50</v>
      </c>
      <c r="F843">
        <v>49.963821410999998</v>
      </c>
      <c r="G843">
        <v>1327.4049072</v>
      </c>
      <c r="H843">
        <v>1325.6135254000001</v>
      </c>
      <c r="I843">
        <v>1339.8354492000001</v>
      </c>
      <c r="J843">
        <v>1337.0126952999999</v>
      </c>
      <c r="K843">
        <v>0</v>
      </c>
      <c r="L843">
        <v>2750</v>
      </c>
      <c r="M843">
        <v>2750</v>
      </c>
      <c r="N843">
        <v>0</v>
      </c>
    </row>
    <row r="844" spans="1:14" x14ac:dyDescent="0.25">
      <c r="A844">
        <v>211.167641</v>
      </c>
      <c r="B844" s="1">
        <f>DATE(2010,11,28) + TIME(4,1,24)</f>
        <v>40510.167638888888</v>
      </c>
      <c r="C844">
        <v>80</v>
      </c>
      <c r="D844">
        <v>76.513511657999999</v>
      </c>
      <c r="E844">
        <v>50</v>
      </c>
      <c r="F844">
        <v>49.963806151999997</v>
      </c>
      <c r="G844">
        <v>1327.369751</v>
      </c>
      <c r="H844">
        <v>1325.5654297000001</v>
      </c>
      <c r="I844">
        <v>1339.8248291</v>
      </c>
      <c r="J844">
        <v>1337.0067139</v>
      </c>
      <c r="K844">
        <v>0</v>
      </c>
      <c r="L844">
        <v>2750</v>
      </c>
      <c r="M844">
        <v>2750</v>
      </c>
      <c r="N844">
        <v>0</v>
      </c>
    </row>
    <row r="845" spans="1:14" x14ac:dyDescent="0.25">
      <c r="A845">
        <v>211.93299999999999</v>
      </c>
      <c r="B845" s="1">
        <f>DATE(2010,11,28) + TIME(22,23,31)</f>
        <v>40510.932997685188</v>
      </c>
      <c r="C845">
        <v>80</v>
      </c>
      <c r="D845">
        <v>76.435989379999995</v>
      </c>
      <c r="E845">
        <v>50</v>
      </c>
      <c r="F845">
        <v>49.963790893999999</v>
      </c>
      <c r="G845">
        <v>1327.3343506000001</v>
      </c>
      <c r="H845">
        <v>1325.5172118999999</v>
      </c>
      <c r="I845">
        <v>1339.8143310999999</v>
      </c>
      <c r="J845">
        <v>1337.0007324000001</v>
      </c>
      <c r="K845">
        <v>0</v>
      </c>
      <c r="L845">
        <v>2750</v>
      </c>
      <c r="M845">
        <v>2750</v>
      </c>
      <c r="N845">
        <v>0</v>
      </c>
    </row>
    <row r="846" spans="1:14" x14ac:dyDescent="0.25">
      <c r="A846">
        <v>212.71132600000001</v>
      </c>
      <c r="B846" s="1">
        <f>DATE(2010,11,29) + TIME(17,4,18)</f>
        <v>40511.711319444446</v>
      </c>
      <c r="C846">
        <v>80</v>
      </c>
      <c r="D846">
        <v>76.357376099000007</v>
      </c>
      <c r="E846">
        <v>50</v>
      </c>
      <c r="F846">
        <v>49.963775634999998</v>
      </c>
      <c r="G846">
        <v>1327.2988281</v>
      </c>
      <c r="H846">
        <v>1325.46875</v>
      </c>
      <c r="I846">
        <v>1339.8039550999999</v>
      </c>
      <c r="J846">
        <v>1336.9949951000001</v>
      </c>
      <c r="K846">
        <v>0</v>
      </c>
      <c r="L846">
        <v>2750</v>
      </c>
      <c r="M846">
        <v>2750</v>
      </c>
      <c r="N846">
        <v>0</v>
      </c>
    </row>
    <row r="847" spans="1:14" x14ac:dyDescent="0.25">
      <c r="A847">
        <v>213.49919199999999</v>
      </c>
      <c r="B847" s="1">
        <f>DATE(2010,11,30) + TIME(11,58,50)</f>
        <v>40512.499189814815</v>
      </c>
      <c r="C847">
        <v>80</v>
      </c>
      <c r="D847">
        <v>76.277770996000001</v>
      </c>
      <c r="E847">
        <v>50</v>
      </c>
      <c r="F847">
        <v>49.963764191000003</v>
      </c>
      <c r="G847">
        <v>1327.2631836</v>
      </c>
      <c r="H847">
        <v>1325.4200439000001</v>
      </c>
      <c r="I847">
        <v>1339.7938231999999</v>
      </c>
      <c r="J847">
        <v>1336.9893798999999</v>
      </c>
      <c r="K847">
        <v>0</v>
      </c>
      <c r="L847">
        <v>2750</v>
      </c>
      <c r="M847">
        <v>2750</v>
      </c>
      <c r="N847">
        <v>0</v>
      </c>
    </row>
    <row r="848" spans="1:14" x14ac:dyDescent="0.25">
      <c r="A848">
        <v>214</v>
      </c>
      <c r="B848" s="1">
        <f>DATE(2010,12,1) + TIME(0,0,0)</f>
        <v>40513</v>
      </c>
      <c r="C848">
        <v>80</v>
      </c>
      <c r="D848">
        <v>76.213386536000002</v>
      </c>
      <c r="E848">
        <v>50</v>
      </c>
      <c r="F848">
        <v>49.963745117000002</v>
      </c>
      <c r="G848">
        <v>1327.2283935999999</v>
      </c>
      <c r="H848">
        <v>1325.3734131000001</v>
      </c>
      <c r="I848">
        <v>1339.7836914</v>
      </c>
      <c r="J848">
        <v>1336.9836425999999</v>
      </c>
      <c r="K848">
        <v>0</v>
      </c>
      <c r="L848">
        <v>2750</v>
      </c>
      <c r="M848">
        <v>2750</v>
      </c>
      <c r="N848">
        <v>0</v>
      </c>
    </row>
    <row r="849" spans="1:14" x14ac:dyDescent="0.25">
      <c r="A849">
        <v>214.80021400000001</v>
      </c>
      <c r="B849" s="1">
        <f>DATE(2010,12,1) + TIME(19,12,18)</f>
        <v>40513.800208333334</v>
      </c>
      <c r="C849">
        <v>80</v>
      </c>
      <c r="D849">
        <v>76.140380859000004</v>
      </c>
      <c r="E849">
        <v>50</v>
      </c>
      <c r="F849">
        <v>49.963741302000003</v>
      </c>
      <c r="G849">
        <v>1327.2022704999999</v>
      </c>
      <c r="H849">
        <v>1325.3360596</v>
      </c>
      <c r="I849">
        <v>1339.7775879000001</v>
      </c>
      <c r="J849">
        <v>1336.9803466999999</v>
      </c>
      <c r="K849">
        <v>0</v>
      </c>
      <c r="L849">
        <v>2750</v>
      </c>
      <c r="M849">
        <v>2750</v>
      </c>
      <c r="N849">
        <v>0</v>
      </c>
    </row>
    <row r="850" spans="1:14" x14ac:dyDescent="0.25">
      <c r="A850">
        <v>215.63235499999999</v>
      </c>
      <c r="B850" s="1">
        <f>DATE(2010,12,2) + TIME(15,10,35)</f>
        <v>40514.632349537038</v>
      </c>
      <c r="C850">
        <v>80</v>
      </c>
      <c r="D850">
        <v>76.061058044000006</v>
      </c>
      <c r="E850">
        <v>50</v>
      </c>
      <c r="F850">
        <v>49.963733673</v>
      </c>
      <c r="G850">
        <v>1327.1679687999999</v>
      </c>
      <c r="H850">
        <v>1325.2899170000001</v>
      </c>
      <c r="I850">
        <v>1339.7678223</v>
      </c>
      <c r="J850">
        <v>1336.9749756000001</v>
      </c>
      <c r="K850">
        <v>0</v>
      </c>
      <c r="L850">
        <v>2750</v>
      </c>
      <c r="M850">
        <v>2750</v>
      </c>
      <c r="N850">
        <v>0</v>
      </c>
    </row>
    <row r="851" spans="1:14" x14ac:dyDescent="0.25">
      <c r="A851">
        <v>216.49093300000001</v>
      </c>
      <c r="B851" s="1">
        <f>DATE(2010,12,3) + TIME(11,46,56)</f>
        <v>40515.490925925929</v>
      </c>
      <c r="C851">
        <v>80</v>
      </c>
      <c r="D851">
        <v>75.977355957</v>
      </c>
      <c r="E851">
        <v>50</v>
      </c>
      <c r="F851">
        <v>49.963726043999998</v>
      </c>
      <c r="G851">
        <v>1327.1322021000001</v>
      </c>
      <c r="H851">
        <v>1325.2415771000001</v>
      </c>
      <c r="I851">
        <v>1339.7579346</v>
      </c>
      <c r="J851">
        <v>1336.9696045000001</v>
      </c>
      <c r="K851">
        <v>0</v>
      </c>
      <c r="L851">
        <v>2750</v>
      </c>
      <c r="M851">
        <v>2750</v>
      </c>
      <c r="N851">
        <v>0</v>
      </c>
    </row>
    <row r="852" spans="1:14" x14ac:dyDescent="0.25">
      <c r="A852">
        <v>217.37233900000001</v>
      </c>
      <c r="B852" s="1">
        <f>DATE(2010,12,4) + TIME(8,56,10)</f>
        <v>40516.372337962966</v>
      </c>
      <c r="C852">
        <v>80</v>
      </c>
      <c r="D852">
        <v>75.890350342000005</v>
      </c>
      <c r="E852">
        <v>50</v>
      </c>
      <c r="F852">
        <v>49.963718413999999</v>
      </c>
      <c r="G852">
        <v>1327.0953368999999</v>
      </c>
      <c r="H852">
        <v>1325.1916504000001</v>
      </c>
      <c r="I852">
        <v>1339.7480469</v>
      </c>
      <c r="J852">
        <v>1336.9641113</v>
      </c>
      <c r="K852">
        <v>0</v>
      </c>
      <c r="L852">
        <v>2750</v>
      </c>
      <c r="M852">
        <v>2750</v>
      </c>
      <c r="N852">
        <v>0</v>
      </c>
    </row>
    <row r="853" spans="1:14" x14ac:dyDescent="0.25">
      <c r="A853">
        <v>218.26622800000001</v>
      </c>
      <c r="B853" s="1">
        <f>DATE(2010,12,5) + TIME(6,23,22)</f>
        <v>40517.266226851854</v>
      </c>
      <c r="C853">
        <v>80</v>
      </c>
      <c r="D853">
        <v>75.800964355000005</v>
      </c>
      <c r="E853">
        <v>50</v>
      </c>
      <c r="F853">
        <v>49.963710785000004</v>
      </c>
      <c r="G853">
        <v>1327.0577393000001</v>
      </c>
      <c r="H853">
        <v>1325.1407471</v>
      </c>
      <c r="I853">
        <v>1339.7381591999999</v>
      </c>
      <c r="J853">
        <v>1336.9587402</v>
      </c>
      <c r="K853">
        <v>0</v>
      </c>
      <c r="L853">
        <v>2750</v>
      </c>
      <c r="M853">
        <v>2750</v>
      </c>
      <c r="N853">
        <v>0</v>
      </c>
    </row>
    <row r="854" spans="1:14" x14ac:dyDescent="0.25">
      <c r="A854">
        <v>219.17033900000001</v>
      </c>
      <c r="B854" s="1">
        <f>DATE(2010,12,6) + TIME(4,5,17)</f>
        <v>40518.170335648145</v>
      </c>
      <c r="C854">
        <v>80</v>
      </c>
      <c r="D854">
        <v>75.709877014</v>
      </c>
      <c r="E854">
        <v>50</v>
      </c>
      <c r="F854">
        <v>49.963703156000001</v>
      </c>
      <c r="G854">
        <v>1327.0200195</v>
      </c>
      <c r="H854">
        <v>1325.0894774999999</v>
      </c>
      <c r="I854">
        <v>1339.7283935999999</v>
      </c>
      <c r="J854">
        <v>1336.9534911999999</v>
      </c>
      <c r="K854">
        <v>0</v>
      </c>
      <c r="L854">
        <v>2750</v>
      </c>
      <c r="M854">
        <v>2750</v>
      </c>
      <c r="N854">
        <v>0</v>
      </c>
    </row>
    <row r="855" spans="1:14" x14ac:dyDescent="0.25">
      <c r="A855">
        <v>220.080107</v>
      </c>
      <c r="B855" s="1">
        <f>DATE(2010,12,7) + TIME(1,55,21)</f>
        <v>40519.080104166664</v>
      </c>
      <c r="C855">
        <v>80</v>
      </c>
      <c r="D855">
        <v>75.617576599000003</v>
      </c>
      <c r="E855">
        <v>50</v>
      </c>
      <c r="F855">
        <v>49.963699341000002</v>
      </c>
      <c r="G855">
        <v>1326.9821777</v>
      </c>
      <c r="H855">
        <v>1325.0380858999999</v>
      </c>
      <c r="I855">
        <v>1339.71875</v>
      </c>
      <c r="J855">
        <v>1336.9483643000001</v>
      </c>
      <c r="K855">
        <v>0</v>
      </c>
      <c r="L855">
        <v>2750</v>
      </c>
      <c r="M855">
        <v>2750</v>
      </c>
      <c r="N855">
        <v>0</v>
      </c>
    </row>
    <row r="856" spans="1:14" x14ac:dyDescent="0.25">
      <c r="A856">
        <v>220.99964600000001</v>
      </c>
      <c r="B856" s="1">
        <f>DATE(2010,12,7) + TIME(23,59,29)</f>
        <v>40519.999641203707</v>
      </c>
      <c r="C856">
        <v>80</v>
      </c>
      <c r="D856">
        <v>75.524177550999994</v>
      </c>
      <c r="E856">
        <v>50</v>
      </c>
      <c r="F856">
        <v>49.963695526000002</v>
      </c>
      <c r="G856">
        <v>1326.9443358999999</v>
      </c>
      <c r="H856">
        <v>1324.9869385</v>
      </c>
      <c r="I856">
        <v>1339.7093506000001</v>
      </c>
      <c r="J856">
        <v>1336.9432373</v>
      </c>
      <c r="K856">
        <v>0</v>
      </c>
      <c r="L856">
        <v>2750</v>
      </c>
      <c r="M856">
        <v>2750</v>
      </c>
      <c r="N856">
        <v>0</v>
      </c>
    </row>
    <row r="857" spans="1:14" x14ac:dyDescent="0.25">
      <c r="A857">
        <v>221.93544299999999</v>
      </c>
      <c r="B857" s="1">
        <f>DATE(2010,12,8) + TIME(22,27,2)</f>
        <v>40520.935439814813</v>
      </c>
      <c r="C857">
        <v>80</v>
      </c>
      <c r="D857">
        <v>75.429359435999999</v>
      </c>
      <c r="E857">
        <v>50</v>
      </c>
      <c r="F857">
        <v>49.963691711000003</v>
      </c>
      <c r="G857">
        <v>1326.9067382999999</v>
      </c>
      <c r="H857">
        <v>1324.9357910000001</v>
      </c>
      <c r="I857">
        <v>1339.7000731999999</v>
      </c>
      <c r="J857">
        <v>1336.9383545000001</v>
      </c>
      <c r="K857">
        <v>0</v>
      </c>
      <c r="L857">
        <v>2750</v>
      </c>
      <c r="M857">
        <v>2750</v>
      </c>
      <c r="N857">
        <v>0</v>
      </c>
    </row>
    <row r="858" spans="1:14" x14ac:dyDescent="0.25">
      <c r="A858">
        <v>222.887586</v>
      </c>
      <c r="B858" s="1">
        <f>DATE(2010,12,9) + TIME(21,18,7)</f>
        <v>40521.88758101852</v>
      </c>
      <c r="C858">
        <v>80</v>
      </c>
      <c r="D858">
        <v>75.332809448000006</v>
      </c>
      <c r="E858">
        <v>50</v>
      </c>
      <c r="F858">
        <v>49.963687897</v>
      </c>
      <c r="G858">
        <v>1326.8688964999999</v>
      </c>
      <c r="H858">
        <v>1324.8843993999999</v>
      </c>
      <c r="I858">
        <v>1339.690918</v>
      </c>
      <c r="J858">
        <v>1336.9334716999999</v>
      </c>
      <c r="K858">
        <v>0</v>
      </c>
      <c r="L858">
        <v>2750</v>
      </c>
      <c r="M858">
        <v>2750</v>
      </c>
      <c r="N858">
        <v>0</v>
      </c>
    </row>
    <row r="859" spans="1:14" x14ac:dyDescent="0.25">
      <c r="A859">
        <v>223.86235600000001</v>
      </c>
      <c r="B859" s="1">
        <f>DATE(2010,12,10) + TIME(20,41,47)</f>
        <v>40522.862349537034</v>
      </c>
      <c r="C859">
        <v>80</v>
      </c>
      <c r="D859">
        <v>75.234146117999998</v>
      </c>
      <c r="E859">
        <v>50</v>
      </c>
      <c r="F859">
        <v>49.963687897</v>
      </c>
      <c r="G859">
        <v>1326.8308105000001</v>
      </c>
      <c r="H859">
        <v>1324.8330077999999</v>
      </c>
      <c r="I859">
        <v>1339.6817627</v>
      </c>
      <c r="J859">
        <v>1336.9285889</v>
      </c>
      <c r="K859">
        <v>0</v>
      </c>
      <c r="L859">
        <v>2750</v>
      </c>
      <c r="M859">
        <v>2750</v>
      </c>
      <c r="N859">
        <v>0</v>
      </c>
    </row>
    <row r="860" spans="1:14" x14ac:dyDescent="0.25">
      <c r="A860">
        <v>224.86671999999999</v>
      </c>
      <c r="B860" s="1">
        <f>DATE(2010,12,11) + TIME(20,48,4)</f>
        <v>40523.866712962961</v>
      </c>
      <c r="C860">
        <v>80</v>
      </c>
      <c r="D860">
        <v>75.132804871000005</v>
      </c>
      <c r="E860">
        <v>50</v>
      </c>
      <c r="F860">
        <v>49.963687897</v>
      </c>
      <c r="G860">
        <v>1326.7924805</v>
      </c>
      <c r="H860">
        <v>1324.7810059000001</v>
      </c>
      <c r="I860">
        <v>1339.6726074000001</v>
      </c>
      <c r="J860">
        <v>1336.9238281</v>
      </c>
      <c r="K860">
        <v>0</v>
      </c>
      <c r="L860">
        <v>2750</v>
      </c>
      <c r="M860">
        <v>2750</v>
      </c>
      <c r="N860">
        <v>0</v>
      </c>
    </row>
    <row r="861" spans="1:14" x14ac:dyDescent="0.25">
      <c r="A861">
        <v>225.38742199999999</v>
      </c>
      <c r="B861" s="1">
        <f>DATE(2010,12,12) + TIME(9,17,53)</f>
        <v>40524.387418981481</v>
      </c>
      <c r="C861">
        <v>80</v>
      </c>
      <c r="D861">
        <v>75.054862975999995</v>
      </c>
      <c r="E861">
        <v>50</v>
      </c>
      <c r="F861">
        <v>49.963676452999998</v>
      </c>
      <c r="G861">
        <v>1326.7548827999999</v>
      </c>
      <c r="H861">
        <v>1324.7313231999999</v>
      </c>
      <c r="I861">
        <v>1339.6633300999999</v>
      </c>
      <c r="J861">
        <v>1336.9188231999999</v>
      </c>
      <c r="K861">
        <v>0</v>
      </c>
      <c r="L861">
        <v>2750</v>
      </c>
      <c r="M861">
        <v>2750</v>
      </c>
      <c r="N861">
        <v>0</v>
      </c>
    </row>
    <row r="862" spans="1:14" x14ac:dyDescent="0.25">
      <c r="A862">
        <v>225.90812399999999</v>
      </c>
      <c r="B862" s="1">
        <f>DATE(2010,12,12) + TIME(21,47,41)</f>
        <v>40524.908113425925</v>
      </c>
      <c r="C862">
        <v>80</v>
      </c>
      <c r="D862">
        <v>74.988380432</v>
      </c>
      <c r="E862">
        <v>50</v>
      </c>
      <c r="F862">
        <v>49.963668822999999</v>
      </c>
      <c r="G862">
        <v>1326.730957</v>
      </c>
      <c r="H862">
        <v>1324.6973877</v>
      </c>
      <c r="I862">
        <v>1339.6586914</v>
      </c>
      <c r="J862">
        <v>1336.9163818</v>
      </c>
      <c r="K862">
        <v>0</v>
      </c>
      <c r="L862">
        <v>2750</v>
      </c>
      <c r="M862">
        <v>2750</v>
      </c>
      <c r="N862">
        <v>0</v>
      </c>
    </row>
    <row r="863" spans="1:14" x14ac:dyDescent="0.25">
      <c r="A863">
        <v>226.42882599999999</v>
      </c>
      <c r="B863" s="1">
        <f>DATE(2010,12,13) + TIME(10,17,30)</f>
        <v>40525.428819444445</v>
      </c>
      <c r="C863">
        <v>80</v>
      </c>
      <c r="D863">
        <v>74.927696228000002</v>
      </c>
      <c r="E863">
        <v>50</v>
      </c>
      <c r="F863">
        <v>49.963665009000003</v>
      </c>
      <c r="G863">
        <v>1326.7088623</v>
      </c>
      <c r="H863">
        <v>1324.666626</v>
      </c>
      <c r="I863">
        <v>1339.6541748</v>
      </c>
      <c r="J863">
        <v>1336.9140625</v>
      </c>
      <c r="K863">
        <v>0</v>
      </c>
      <c r="L863">
        <v>2750</v>
      </c>
      <c r="M863">
        <v>2750</v>
      </c>
      <c r="N863">
        <v>0</v>
      </c>
    </row>
    <row r="864" spans="1:14" x14ac:dyDescent="0.25">
      <c r="A864">
        <v>226.94952900000001</v>
      </c>
      <c r="B864" s="1">
        <f>DATE(2010,12,13) + TIME(22,47,19)</f>
        <v>40525.949525462966</v>
      </c>
      <c r="C864">
        <v>80</v>
      </c>
      <c r="D864">
        <v>74.869941710999996</v>
      </c>
      <c r="E864">
        <v>50</v>
      </c>
      <c r="F864">
        <v>49.963665009000003</v>
      </c>
      <c r="G864">
        <v>1326.6879882999999</v>
      </c>
      <c r="H864">
        <v>1324.6376952999999</v>
      </c>
      <c r="I864">
        <v>1339.6496582</v>
      </c>
      <c r="J864">
        <v>1336.9116211</v>
      </c>
      <c r="K864">
        <v>0</v>
      </c>
      <c r="L864">
        <v>2750</v>
      </c>
      <c r="M864">
        <v>2750</v>
      </c>
      <c r="N864">
        <v>0</v>
      </c>
    </row>
    <row r="865" spans="1:14" x14ac:dyDescent="0.25">
      <c r="A865">
        <v>227.47023100000001</v>
      </c>
      <c r="B865" s="1">
        <f>DATE(2010,12,14) + TIME(11,17,7)</f>
        <v>40526.470219907409</v>
      </c>
      <c r="C865">
        <v>80</v>
      </c>
      <c r="D865">
        <v>74.813629149999997</v>
      </c>
      <c r="E865">
        <v>50</v>
      </c>
      <c r="F865">
        <v>49.963665009000003</v>
      </c>
      <c r="G865">
        <v>1326.6676024999999</v>
      </c>
      <c r="H865">
        <v>1324.6099853999999</v>
      </c>
      <c r="I865">
        <v>1339.6451416</v>
      </c>
      <c r="J865">
        <v>1336.9093018000001</v>
      </c>
      <c r="K865">
        <v>0</v>
      </c>
      <c r="L865">
        <v>2750</v>
      </c>
      <c r="M865">
        <v>2750</v>
      </c>
      <c r="N865">
        <v>0</v>
      </c>
    </row>
    <row r="866" spans="1:14" x14ac:dyDescent="0.25">
      <c r="A866">
        <v>227.99093300000001</v>
      </c>
      <c r="B866" s="1">
        <f>DATE(2010,12,14) + TIME(23,46,56)</f>
        <v>40526.990925925929</v>
      </c>
      <c r="C866">
        <v>80</v>
      </c>
      <c r="D866">
        <v>74.757995605000005</v>
      </c>
      <c r="E866">
        <v>50</v>
      </c>
      <c r="F866">
        <v>49.963668822999999</v>
      </c>
      <c r="G866">
        <v>1326.6475829999999</v>
      </c>
      <c r="H866">
        <v>1324.5827637</v>
      </c>
      <c r="I866">
        <v>1339.6407471</v>
      </c>
      <c r="J866">
        <v>1336.9069824000001</v>
      </c>
      <c r="K866">
        <v>0</v>
      </c>
      <c r="L866">
        <v>2750</v>
      </c>
      <c r="M866">
        <v>2750</v>
      </c>
      <c r="N866">
        <v>0</v>
      </c>
    </row>
    <row r="867" spans="1:14" x14ac:dyDescent="0.25">
      <c r="A867">
        <v>228.51163600000001</v>
      </c>
      <c r="B867" s="1">
        <f>DATE(2010,12,15) + TIME(12,16,45)</f>
        <v>40527.511631944442</v>
      </c>
      <c r="C867">
        <v>80</v>
      </c>
      <c r="D867">
        <v>74.702659607000001</v>
      </c>
      <c r="E867">
        <v>50</v>
      </c>
      <c r="F867">
        <v>49.963668822999999</v>
      </c>
      <c r="G867">
        <v>1326.6279297000001</v>
      </c>
      <c r="H867">
        <v>1324.5561522999999</v>
      </c>
      <c r="I867">
        <v>1339.6363524999999</v>
      </c>
      <c r="J867">
        <v>1336.9046631000001</v>
      </c>
      <c r="K867">
        <v>0</v>
      </c>
      <c r="L867">
        <v>2750</v>
      </c>
      <c r="M867">
        <v>2750</v>
      </c>
      <c r="N867">
        <v>0</v>
      </c>
    </row>
    <row r="868" spans="1:14" x14ac:dyDescent="0.25">
      <c r="A868">
        <v>229.55304000000001</v>
      </c>
      <c r="B868" s="1">
        <f>DATE(2010,12,16) + TIME(13,16,22)</f>
        <v>40528.553032407406</v>
      </c>
      <c r="C868">
        <v>80</v>
      </c>
      <c r="D868">
        <v>74.628677367999998</v>
      </c>
      <c r="E868">
        <v>50</v>
      </c>
      <c r="F868">
        <v>49.963691711000003</v>
      </c>
      <c r="G868">
        <v>1326.6075439000001</v>
      </c>
      <c r="H868">
        <v>1324.5277100000001</v>
      </c>
      <c r="I868">
        <v>1339.6322021000001</v>
      </c>
      <c r="J868">
        <v>1336.9025879000001</v>
      </c>
      <c r="K868">
        <v>0</v>
      </c>
      <c r="L868">
        <v>2750</v>
      </c>
      <c r="M868">
        <v>2750</v>
      </c>
      <c r="N868">
        <v>0</v>
      </c>
    </row>
    <row r="869" spans="1:14" x14ac:dyDescent="0.25">
      <c r="A869">
        <v>230.60106400000001</v>
      </c>
      <c r="B869" s="1">
        <f>DATE(2010,12,17) + TIME(14,25,31)</f>
        <v>40529.601053240738</v>
      </c>
      <c r="C869">
        <v>80</v>
      </c>
      <c r="D869">
        <v>74.530387877999999</v>
      </c>
      <c r="E869">
        <v>50</v>
      </c>
      <c r="F869">
        <v>49.963703156000001</v>
      </c>
      <c r="G869">
        <v>1326.5742187999999</v>
      </c>
      <c r="H869">
        <v>1324.4847411999999</v>
      </c>
      <c r="I869">
        <v>1339.6236572</v>
      </c>
      <c r="J869">
        <v>1336.8981934000001</v>
      </c>
      <c r="K869">
        <v>0</v>
      </c>
      <c r="L869">
        <v>2750</v>
      </c>
      <c r="M869">
        <v>2750</v>
      </c>
      <c r="N869">
        <v>0</v>
      </c>
    </row>
    <row r="870" spans="1:14" x14ac:dyDescent="0.25">
      <c r="A870">
        <v>231.67706899999999</v>
      </c>
      <c r="B870" s="1">
        <f>DATE(2010,12,18) + TIME(16,14,58)</f>
        <v>40530.677060185182</v>
      </c>
      <c r="C870">
        <v>80</v>
      </c>
      <c r="D870">
        <v>74.422286987000007</v>
      </c>
      <c r="E870">
        <v>50</v>
      </c>
      <c r="F870">
        <v>49.963714600000003</v>
      </c>
      <c r="G870">
        <v>1326.5379639</v>
      </c>
      <c r="H870">
        <v>1324.4365233999999</v>
      </c>
      <c r="I870">
        <v>1339.6153564000001</v>
      </c>
      <c r="J870">
        <v>1336.8939209</v>
      </c>
      <c r="K870">
        <v>0</v>
      </c>
      <c r="L870">
        <v>2750</v>
      </c>
      <c r="M870">
        <v>2750</v>
      </c>
      <c r="N870">
        <v>0</v>
      </c>
    </row>
    <row r="871" spans="1:14" x14ac:dyDescent="0.25">
      <c r="A871">
        <v>232.78860499999999</v>
      </c>
      <c r="B871" s="1">
        <f>DATE(2010,12,19) + TIME(18,55,35)</f>
        <v>40531.788599537038</v>
      </c>
      <c r="C871">
        <v>80</v>
      </c>
      <c r="D871">
        <v>74.308288574000002</v>
      </c>
      <c r="E871">
        <v>50</v>
      </c>
      <c r="F871">
        <v>49.963722228999998</v>
      </c>
      <c r="G871">
        <v>1326.5001221</v>
      </c>
      <c r="H871">
        <v>1324.3857422000001</v>
      </c>
      <c r="I871">
        <v>1339.6069336</v>
      </c>
      <c r="J871">
        <v>1336.8895264</v>
      </c>
      <c r="K871">
        <v>0</v>
      </c>
      <c r="L871">
        <v>2750</v>
      </c>
      <c r="M871">
        <v>2750</v>
      </c>
      <c r="N871">
        <v>0</v>
      </c>
    </row>
    <row r="872" spans="1:14" x14ac:dyDescent="0.25">
      <c r="A872">
        <v>233.94437400000001</v>
      </c>
      <c r="B872" s="1">
        <f>DATE(2010,12,20) + TIME(22,39,53)</f>
        <v>40532.944363425922</v>
      </c>
      <c r="C872">
        <v>80</v>
      </c>
      <c r="D872">
        <v>74.189170837000006</v>
      </c>
      <c r="E872">
        <v>50</v>
      </c>
      <c r="F872">
        <v>49.963733673</v>
      </c>
      <c r="G872">
        <v>1326.4613036999999</v>
      </c>
      <c r="H872">
        <v>1324.3334961</v>
      </c>
      <c r="I872">
        <v>1339.5985106999999</v>
      </c>
      <c r="J872">
        <v>1336.8852539</v>
      </c>
      <c r="K872">
        <v>0</v>
      </c>
      <c r="L872">
        <v>2750</v>
      </c>
      <c r="M872">
        <v>2750</v>
      </c>
      <c r="N872">
        <v>0</v>
      </c>
    </row>
    <row r="873" spans="1:14" x14ac:dyDescent="0.25">
      <c r="A873">
        <v>234.534008</v>
      </c>
      <c r="B873" s="1">
        <f>DATE(2010,12,21) + TIME(12,48,58)</f>
        <v>40533.534004629626</v>
      </c>
      <c r="C873">
        <v>80</v>
      </c>
      <c r="D873">
        <v>74.094528198000006</v>
      </c>
      <c r="E873">
        <v>50</v>
      </c>
      <c r="F873">
        <v>49.963722228999998</v>
      </c>
      <c r="G873">
        <v>1326.4226074000001</v>
      </c>
      <c r="H873">
        <v>1324.2828368999999</v>
      </c>
      <c r="I873">
        <v>1339.5898437999999</v>
      </c>
      <c r="J873">
        <v>1336.8807373</v>
      </c>
      <c r="K873">
        <v>0</v>
      </c>
      <c r="L873">
        <v>2750</v>
      </c>
      <c r="M873">
        <v>2750</v>
      </c>
      <c r="N873">
        <v>0</v>
      </c>
    </row>
    <row r="874" spans="1:14" x14ac:dyDescent="0.25">
      <c r="A874">
        <v>235.12364099999999</v>
      </c>
      <c r="B874" s="1">
        <f>DATE(2010,12,22) + TIME(2,58,2)</f>
        <v>40534.12363425926</v>
      </c>
      <c r="C874">
        <v>80</v>
      </c>
      <c r="D874">
        <v>74.016159058</v>
      </c>
      <c r="E874">
        <v>50</v>
      </c>
      <c r="F874">
        <v>49.963722228999998</v>
      </c>
      <c r="G874">
        <v>1326.3981934000001</v>
      </c>
      <c r="H874">
        <v>1324.2479248</v>
      </c>
      <c r="I874">
        <v>1339.5854492000001</v>
      </c>
      <c r="J874">
        <v>1336.8785399999999</v>
      </c>
      <c r="K874">
        <v>0</v>
      </c>
      <c r="L874">
        <v>2750</v>
      </c>
      <c r="M874">
        <v>2750</v>
      </c>
      <c r="N874">
        <v>0</v>
      </c>
    </row>
    <row r="875" spans="1:14" x14ac:dyDescent="0.25">
      <c r="A875">
        <v>235.71327500000001</v>
      </c>
      <c r="B875" s="1">
        <f>DATE(2010,12,22) + TIME(17,7,6)</f>
        <v>40534.713263888887</v>
      </c>
      <c r="C875">
        <v>80</v>
      </c>
      <c r="D875">
        <v>73.945388793999996</v>
      </c>
      <c r="E875">
        <v>50</v>
      </c>
      <c r="F875">
        <v>49.963726043999998</v>
      </c>
      <c r="G875">
        <v>1326.3758545000001</v>
      </c>
      <c r="H875">
        <v>1324.2169189000001</v>
      </c>
      <c r="I875">
        <v>1339.5812988</v>
      </c>
      <c r="J875">
        <v>1336.8763428</v>
      </c>
      <c r="K875">
        <v>0</v>
      </c>
      <c r="L875">
        <v>2750</v>
      </c>
      <c r="M875">
        <v>2750</v>
      </c>
      <c r="N875">
        <v>0</v>
      </c>
    </row>
    <row r="876" spans="1:14" x14ac:dyDescent="0.25">
      <c r="A876">
        <v>236.302908</v>
      </c>
      <c r="B876" s="1">
        <f>DATE(2010,12,23) + TIME(7,16,11)</f>
        <v>40535.302905092591</v>
      </c>
      <c r="C876">
        <v>80</v>
      </c>
      <c r="D876">
        <v>73.878112793</v>
      </c>
      <c r="E876">
        <v>50</v>
      </c>
      <c r="F876">
        <v>49.963729858000001</v>
      </c>
      <c r="G876">
        <v>1326.3547363</v>
      </c>
      <c r="H876">
        <v>1324.1878661999999</v>
      </c>
      <c r="I876">
        <v>1339.5770264</v>
      </c>
      <c r="J876">
        <v>1336.8741454999999</v>
      </c>
      <c r="K876">
        <v>0</v>
      </c>
      <c r="L876">
        <v>2750</v>
      </c>
      <c r="M876">
        <v>2750</v>
      </c>
      <c r="N876">
        <v>0</v>
      </c>
    </row>
    <row r="877" spans="1:14" x14ac:dyDescent="0.25">
      <c r="A877">
        <v>237.48217500000001</v>
      </c>
      <c r="B877" s="1">
        <f>DATE(2010,12,24) + TIME(11,34,19)</f>
        <v>40536.482164351852</v>
      </c>
      <c r="C877">
        <v>80</v>
      </c>
      <c r="D877">
        <v>73.792381286999998</v>
      </c>
      <c r="E877">
        <v>50</v>
      </c>
      <c r="F877">
        <v>49.963760376000003</v>
      </c>
      <c r="G877">
        <v>1326.333374</v>
      </c>
      <c r="H877">
        <v>1324.1578368999999</v>
      </c>
      <c r="I877">
        <v>1339.5729980000001</v>
      </c>
      <c r="J877">
        <v>1336.8721923999999</v>
      </c>
      <c r="K877">
        <v>0</v>
      </c>
      <c r="L877">
        <v>2750</v>
      </c>
      <c r="M877">
        <v>2750</v>
      </c>
      <c r="N877">
        <v>0</v>
      </c>
    </row>
    <row r="878" spans="1:14" x14ac:dyDescent="0.25">
      <c r="A878">
        <v>238.66300000000001</v>
      </c>
      <c r="B878" s="1">
        <f>DATE(2010,12,25) + TIME(15,54,43)</f>
        <v>40537.662997685184</v>
      </c>
      <c r="C878">
        <v>80</v>
      </c>
      <c r="D878">
        <v>73.676582335999996</v>
      </c>
      <c r="E878">
        <v>50</v>
      </c>
      <c r="F878">
        <v>49.963775634999998</v>
      </c>
      <c r="G878">
        <v>1326.2987060999999</v>
      </c>
      <c r="H878">
        <v>1324.1134033000001</v>
      </c>
      <c r="I878">
        <v>1339.5648193</v>
      </c>
      <c r="J878">
        <v>1336.8680420000001</v>
      </c>
      <c r="K878">
        <v>0</v>
      </c>
      <c r="L878">
        <v>2750</v>
      </c>
      <c r="M878">
        <v>2750</v>
      </c>
      <c r="N878">
        <v>0</v>
      </c>
    </row>
    <row r="879" spans="1:14" x14ac:dyDescent="0.25">
      <c r="A879">
        <v>239.86937499999999</v>
      </c>
      <c r="B879" s="1">
        <f>DATE(2010,12,26) + TIME(20,51,53)</f>
        <v>40538.869363425925</v>
      </c>
      <c r="C879">
        <v>80</v>
      </c>
      <c r="D879">
        <v>73.550285338999998</v>
      </c>
      <c r="E879">
        <v>50</v>
      </c>
      <c r="F879">
        <v>49.963794708000002</v>
      </c>
      <c r="G879">
        <v>1326.2611084</v>
      </c>
      <c r="H879">
        <v>1324.0634766000001</v>
      </c>
      <c r="I879">
        <v>1339.5568848</v>
      </c>
      <c r="J879">
        <v>1336.8640137</v>
      </c>
      <c r="K879">
        <v>0</v>
      </c>
      <c r="L879">
        <v>2750</v>
      </c>
      <c r="M879">
        <v>2750</v>
      </c>
      <c r="N879">
        <v>0</v>
      </c>
    </row>
    <row r="880" spans="1:14" x14ac:dyDescent="0.25">
      <c r="A880">
        <v>241.10992200000001</v>
      </c>
      <c r="B880" s="1">
        <f>DATE(2010,12,28) + TIME(2,38,17)</f>
        <v>40540.109918981485</v>
      </c>
      <c r="C880">
        <v>80</v>
      </c>
      <c r="D880">
        <v>73.418167113999999</v>
      </c>
      <c r="E880">
        <v>50</v>
      </c>
      <c r="F880">
        <v>49.963809967000003</v>
      </c>
      <c r="G880">
        <v>1326.2224120999999</v>
      </c>
      <c r="H880">
        <v>1324.0114745999999</v>
      </c>
      <c r="I880">
        <v>1339.5488281</v>
      </c>
      <c r="J880">
        <v>1336.8599853999999</v>
      </c>
      <c r="K880">
        <v>0</v>
      </c>
      <c r="L880">
        <v>2750</v>
      </c>
      <c r="M880">
        <v>2750</v>
      </c>
      <c r="N880">
        <v>0</v>
      </c>
    </row>
    <row r="881" spans="1:14" x14ac:dyDescent="0.25">
      <c r="A881">
        <v>242.392112</v>
      </c>
      <c r="B881" s="1">
        <f>DATE(2010,12,29) + TIME(9,24,38)</f>
        <v>40541.392106481479</v>
      </c>
      <c r="C881">
        <v>80</v>
      </c>
      <c r="D881">
        <v>73.281021117999998</v>
      </c>
      <c r="E881">
        <v>50</v>
      </c>
      <c r="F881">
        <v>49.963829040999997</v>
      </c>
      <c r="G881">
        <v>1326.1827393000001</v>
      </c>
      <c r="H881">
        <v>1323.9582519999999</v>
      </c>
      <c r="I881">
        <v>1339.5407714999999</v>
      </c>
      <c r="J881">
        <v>1336.8558350000001</v>
      </c>
      <c r="K881">
        <v>0</v>
      </c>
      <c r="L881">
        <v>2750</v>
      </c>
      <c r="M881">
        <v>2750</v>
      </c>
      <c r="N881">
        <v>0</v>
      </c>
    </row>
    <row r="882" spans="1:14" x14ac:dyDescent="0.25">
      <c r="A882">
        <v>243.052054</v>
      </c>
      <c r="B882" s="1">
        <f>DATE(2010,12,30) + TIME(1,14,57)</f>
        <v>40542.052048611113</v>
      </c>
      <c r="C882">
        <v>80</v>
      </c>
      <c r="D882">
        <v>73.169670104999994</v>
      </c>
      <c r="E882">
        <v>50</v>
      </c>
      <c r="F882">
        <v>49.963825225999997</v>
      </c>
      <c r="G882">
        <v>1326.1434326000001</v>
      </c>
      <c r="H882">
        <v>1323.9067382999999</v>
      </c>
      <c r="I882">
        <v>1339.5324707</v>
      </c>
      <c r="J882">
        <v>1336.8516846</v>
      </c>
      <c r="K882">
        <v>0</v>
      </c>
      <c r="L882">
        <v>2750</v>
      </c>
      <c r="M882">
        <v>2750</v>
      </c>
      <c r="N882">
        <v>0</v>
      </c>
    </row>
    <row r="883" spans="1:14" x14ac:dyDescent="0.25">
      <c r="A883">
        <v>243.711996</v>
      </c>
      <c r="B883" s="1">
        <f>DATE(2010,12,30) + TIME(17,5,16)</f>
        <v>40542.71199074074</v>
      </c>
      <c r="C883">
        <v>80</v>
      </c>
      <c r="D883">
        <v>73.079605103000006</v>
      </c>
      <c r="E883">
        <v>50</v>
      </c>
      <c r="F883">
        <v>49.963825225999997</v>
      </c>
      <c r="G883">
        <v>1326.1185303</v>
      </c>
      <c r="H883">
        <v>1323.8709716999999</v>
      </c>
      <c r="I883">
        <v>1339.5283202999999</v>
      </c>
      <c r="J883">
        <v>1336.8494873</v>
      </c>
      <c r="K883">
        <v>0</v>
      </c>
      <c r="L883">
        <v>2750</v>
      </c>
      <c r="M883">
        <v>2750</v>
      </c>
      <c r="N883">
        <v>0</v>
      </c>
    </row>
    <row r="884" spans="1:14" x14ac:dyDescent="0.25">
      <c r="A884">
        <v>245</v>
      </c>
      <c r="B884" s="1">
        <f>DATE(2011,1,1) + TIME(0,0,0)</f>
        <v>40544</v>
      </c>
      <c r="C884">
        <v>80</v>
      </c>
      <c r="D884">
        <v>72.977096558</v>
      </c>
      <c r="E884">
        <v>50</v>
      </c>
      <c r="F884">
        <v>49.963859558000003</v>
      </c>
      <c r="G884">
        <v>1326.0950928</v>
      </c>
      <c r="H884">
        <v>1323.8375243999999</v>
      </c>
      <c r="I884">
        <v>1339.5244141000001</v>
      </c>
      <c r="J884">
        <v>1336.8475341999999</v>
      </c>
      <c r="K884">
        <v>0</v>
      </c>
      <c r="L884">
        <v>2750</v>
      </c>
      <c r="M884">
        <v>2750</v>
      </c>
      <c r="N884">
        <v>0</v>
      </c>
    </row>
    <row r="885" spans="1:14" x14ac:dyDescent="0.25">
      <c r="A885">
        <v>245.659942</v>
      </c>
      <c r="B885" s="1">
        <f>DATE(2011,1,1) + TIME(15,50,18)</f>
        <v>40544.659930555557</v>
      </c>
      <c r="C885">
        <v>80</v>
      </c>
      <c r="D885">
        <v>72.872352599999999</v>
      </c>
      <c r="E885">
        <v>50</v>
      </c>
      <c r="F885">
        <v>49.963859558000003</v>
      </c>
      <c r="G885">
        <v>1326.0601807</v>
      </c>
      <c r="H885">
        <v>1323.7937012</v>
      </c>
      <c r="I885">
        <v>1339.5164795000001</v>
      </c>
      <c r="J885">
        <v>1336.8435059000001</v>
      </c>
      <c r="K885">
        <v>0</v>
      </c>
      <c r="L885">
        <v>2750</v>
      </c>
      <c r="M885">
        <v>2750</v>
      </c>
      <c r="N885">
        <v>0</v>
      </c>
    </row>
    <row r="886" spans="1:14" x14ac:dyDescent="0.25">
      <c r="A886">
        <v>246.319884</v>
      </c>
      <c r="B886" s="1">
        <f>DATE(2011,1,2) + TIME(7,40,37)</f>
        <v>40545.319872685184</v>
      </c>
      <c r="C886">
        <v>80</v>
      </c>
      <c r="D886">
        <v>72.784866332999997</v>
      </c>
      <c r="E886">
        <v>50</v>
      </c>
      <c r="F886">
        <v>49.963863373000002</v>
      </c>
      <c r="G886">
        <v>1326.0367432</v>
      </c>
      <c r="H886">
        <v>1323.7604980000001</v>
      </c>
      <c r="I886">
        <v>1339.5124512</v>
      </c>
      <c r="J886">
        <v>1336.8415527</v>
      </c>
      <c r="K886">
        <v>0</v>
      </c>
      <c r="L886">
        <v>2750</v>
      </c>
      <c r="M886">
        <v>2750</v>
      </c>
      <c r="N886">
        <v>0</v>
      </c>
    </row>
    <row r="887" spans="1:14" x14ac:dyDescent="0.25">
      <c r="A887">
        <v>247.639768</v>
      </c>
      <c r="B887" s="1">
        <f>DATE(2011,1,3) + TIME(15,21,15)</f>
        <v>40546.639756944445</v>
      </c>
      <c r="C887">
        <v>80</v>
      </c>
      <c r="D887">
        <v>72.682800293</v>
      </c>
      <c r="E887">
        <v>50</v>
      </c>
      <c r="F887">
        <v>49.96390152</v>
      </c>
      <c r="G887">
        <v>1326.0144043</v>
      </c>
      <c r="H887">
        <v>1323.7287598</v>
      </c>
      <c r="I887">
        <v>1339.5086670000001</v>
      </c>
      <c r="J887">
        <v>1336.8395995999999</v>
      </c>
      <c r="K887">
        <v>0</v>
      </c>
      <c r="L887">
        <v>2750</v>
      </c>
      <c r="M887">
        <v>2750</v>
      </c>
      <c r="N887">
        <v>0</v>
      </c>
    </row>
    <row r="888" spans="1:14" x14ac:dyDescent="0.25">
      <c r="A888">
        <v>248.96463700000001</v>
      </c>
      <c r="B888" s="1">
        <f>DATE(2011,1,4) + TIME(23,9,4)</f>
        <v>40547.964629629627</v>
      </c>
      <c r="C888">
        <v>80</v>
      </c>
      <c r="D888">
        <v>72.546371460000003</v>
      </c>
      <c r="E888">
        <v>50</v>
      </c>
      <c r="F888">
        <v>49.963928223000003</v>
      </c>
      <c r="G888">
        <v>1325.979126</v>
      </c>
      <c r="H888">
        <v>1323.6833495999999</v>
      </c>
      <c r="I888">
        <v>1339.5009766000001</v>
      </c>
      <c r="J888">
        <v>1336.8358154</v>
      </c>
      <c r="K888">
        <v>0</v>
      </c>
      <c r="L888">
        <v>2750</v>
      </c>
      <c r="M888">
        <v>2750</v>
      </c>
      <c r="N888">
        <v>0</v>
      </c>
    </row>
    <row r="889" spans="1:14" x14ac:dyDescent="0.25">
      <c r="A889">
        <v>250.32288199999999</v>
      </c>
      <c r="B889" s="1">
        <f>DATE(2011,1,6) + TIME(7,44,56)</f>
        <v>40549.322870370372</v>
      </c>
      <c r="C889">
        <v>80</v>
      </c>
      <c r="D889">
        <v>72.398796082000004</v>
      </c>
      <c r="E889">
        <v>50</v>
      </c>
      <c r="F889">
        <v>49.963951111</v>
      </c>
      <c r="G889">
        <v>1325.9410399999999</v>
      </c>
      <c r="H889">
        <v>1323.6326904</v>
      </c>
      <c r="I889">
        <v>1339.4934082</v>
      </c>
      <c r="J889">
        <v>1336.8319091999999</v>
      </c>
      <c r="K889">
        <v>0</v>
      </c>
      <c r="L889">
        <v>2750</v>
      </c>
      <c r="M889">
        <v>2750</v>
      </c>
      <c r="N889">
        <v>0</v>
      </c>
    </row>
    <row r="890" spans="1:14" x14ac:dyDescent="0.25">
      <c r="A890">
        <v>251.72444200000001</v>
      </c>
      <c r="B890" s="1">
        <f>DATE(2011,1,7) + TIME(17,23,11)</f>
        <v>40550.724432870367</v>
      </c>
      <c r="C890">
        <v>80</v>
      </c>
      <c r="D890">
        <v>72.244712829999997</v>
      </c>
      <c r="E890">
        <v>50</v>
      </c>
      <c r="F890">
        <v>49.963977814000003</v>
      </c>
      <c r="G890">
        <v>1325.9018555</v>
      </c>
      <c r="H890">
        <v>1323.5800781</v>
      </c>
      <c r="I890">
        <v>1339.4857178</v>
      </c>
      <c r="J890">
        <v>1336.828125</v>
      </c>
      <c r="K890">
        <v>0</v>
      </c>
      <c r="L890">
        <v>2750</v>
      </c>
      <c r="M890">
        <v>2750</v>
      </c>
      <c r="N890">
        <v>0</v>
      </c>
    </row>
    <row r="891" spans="1:14" x14ac:dyDescent="0.25">
      <c r="A891">
        <v>253.17005599999999</v>
      </c>
      <c r="B891" s="1">
        <f>DATE(2011,1,9) + TIME(4,4,52)</f>
        <v>40552.170046296298</v>
      </c>
      <c r="C891">
        <v>80</v>
      </c>
      <c r="D891">
        <v>72.084831238000007</v>
      </c>
      <c r="E891">
        <v>50</v>
      </c>
      <c r="F891">
        <v>49.964004516999999</v>
      </c>
      <c r="G891">
        <v>1325.8618164</v>
      </c>
      <c r="H891">
        <v>1323.5262451000001</v>
      </c>
      <c r="I891">
        <v>1339.4780272999999</v>
      </c>
      <c r="J891">
        <v>1336.8242187999999</v>
      </c>
      <c r="K891">
        <v>0</v>
      </c>
      <c r="L891">
        <v>2750</v>
      </c>
      <c r="M891">
        <v>2750</v>
      </c>
      <c r="N891">
        <v>0</v>
      </c>
    </row>
    <row r="892" spans="1:14" x14ac:dyDescent="0.25">
      <c r="A892">
        <v>254.617941</v>
      </c>
      <c r="B892" s="1">
        <f>DATE(2011,1,10) + TIME(14,49,50)</f>
        <v>40553.617939814816</v>
      </c>
      <c r="C892">
        <v>80</v>
      </c>
      <c r="D892">
        <v>71.920455933</v>
      </c>
      <c r="E892">
        <v>50</v>
      </c>
      <c r="F892">
        <v>49.964031218999999</v>
      </c>
      <c r="G892">
        <v>1325.8209228999999</v>
      </c>
      <c r="H892">
        <v>1323.4715576000001</v>
      </c>
      <c r="I892">
        <v>1339.4702147999999</v>
      </c>
      <c r="J892">
        <v>1336.8203125</v>
      </c>
      <c r="K892">
        <v>0</v>
      </c>
      <c r="L892">
        <v>2750</v>
      </c>
      <c r="M892">
        <v>2750</v>
      </c>
      <c r="N892">
        <v>0</v>
      </c>
    </row>
    <row r="893" spans="1:14" x14ac:dyDescent="0.25">
      <c r="A893">
        <v>256.06634700000001</v>
      </c>
      <c r="B893" s="1">
        <f>DATE(2011,1,12) + TIME(1,35,32)</f>
        <v>40555.066342592596</v>
      </c>
      <c r="C893">
        <v>80</v>
      </c>
      <c r="D893">
        <v>71.754356384000005</v>
      </c>
      <c r="E893">
        <v>50</v>
      </c>
      <c r="F893">
        <v>49.964057922000002</v>
      </c>
      <c r="G893">
        <v>1325.7803954999999</v>
      </c>
      <c r="H893">
        <v>1323.4168701000001</v>
      </c>
      <c r="I893">
        <v>1339.4625243999999</v>
      </c>
      <c r="J893">
        <v>1336.8164062000001</v>
      </c>
      <c r="K893">
        <v>0</v>
      </c>
      <c r="L893">
        <v>2750</v>
      </c>
      <c r="M893">
        <v>2750</v>
      </c>
      <c r="N893">
        <v>0</v>
      </c>
    </row>
    <row r="894" spans="1:14" x14ac:dyDescent="0.25">
      <c r="A894">
        <v>257.52739600000001</v>
      </c>
      <c r="B894" s="1">
        <f>DATE(2011,1,13) + TIME(12,39,27)</f>
        <v>40556.527395833335</v>
      </c>
      <c r="C894">
        <v>80</v>
      </c>
      <c r="D894">
        <v>71.587013244999994</v>
      </c>
      <c r="E894">
        <v>50</v>
      </c>
      <c r="F894">
        <v>49.964088439999998</v>
      </c>
      <c r="G894">
        <v>1325.7401123</v>
      </c>
      <c r="H894">
        <v>1323.3626709</v>
      </c>
      <c r="I894">
        <v>1339.4549560999999</v>
      </c>
      <c r="J894">
        <v>1336.8126221</v>
      </c>
      <c r="K894">
        <v>0</v>
      </c>
      <c r="L894">
        <v>2750</v>
      </c>
      <c r="M894">
        <v>2750</v>
      </c>
      <c r="N894">
        <v>0</v>
      </c>
    </row>
    <row r="895" spans="1:14" x14ac:dyDescent="0.25">
      <c r="A895">
        <v>259.01278400000001</v>
      </c>
      <c r="B895" s="1">
        <f>DATE(2011,1,15) + TIME(0,18,24)</f>
        <v>40558.012777777774</v>
      </c>
      <c r="C895">
        <v>80</v>
      </c>
      <c r="D895">
        <v>71.417510985999996</v>
      </c>
      <c r="E895">
        <v>50</v>
      </c>
      <c r="F895">
        <v>49.964118958</v>
      </c>
      <c r="G895">
        <v>1325.7001952999999</v>
      </c>
      <c r="H895">
        <v>1323.3089600000001</v>
      </c>
      <c r="I895">
        <v>1339.4475098</v>
      </c>
      <c r="J895">
        <v>1336.8088379000001</v>
      </c>
      <c r="K895">
        <v>0</v>
      </c>
      <c r="L895">
        <v>2750</v>
      </c>
      <c r="M895">
        <v>2750</v>
      </c>
      <c r="N895">
        <v>0</v>
      </c>
    </row>
    <row r="896" spans="1:14" x14ac:dyDescent="0.25">
      <c r="A896">
        <v>260.52770900000002</v>
      </c>
      <c r="B896" s="1">
        <f>DATE(2011,1,16) + TIME(12,39,54)</f>
        <v>40559.527708333335</v>
      </c>
      <c r="C896">
        <v>80</v>
      </c>
      <c r="D896">
        <v>71.244804381999998</v>
      </c>
      <c r="E896">
        <v>50</v>
      </c>
      <c r="F896">
        <v>49.964149474999999</v>
      </c>
      <c r="G896">
        <v>1325.6602783000001</v>
      </c>
      <c r="H896">
        <v>1323.2551269999999</v>
      </c>
      <c r="I896">
        <v>1339.4400635</v>
      </c>
      <c r="J896">
        <v>1336.8050536999999</v>
      </c>
      <c r="K896">
        <v>0</v>
      </c>
      <c r="L896">
        <v>2750</v>
      </c>
      <c r="M896">
        <v>2750</v>
      </c>
      <c r="N896">
        <v>0</v>
      </c>
    </row>
    <row r="897" spans="1:14" x14ac:dyDescent="0.25">
      <c r="A897">
        <v>262.08402799999999</v>
      </c>
      <c r="B897" s="1">
        <f>DATE(2011,1,18) + TIME(2,0,59)</f>
        <v>40561.084016203706</v>
      </c>
      <c r="C897">
        <v>80</v>
      </c>
      <c r="D897">
        <v>71.067993164000001</v>
      </c>
      <c r="E897">
        <v>50</v>
      </c>
      <c r="F897">
        <v>49.964183806999998</v>
      </c>
      <c r="G897">
        <v>1325.6201172000001</v>
      </c>
      <c r="H897">
        <v>1323.2011719</v>
      </c>
      <c r="I897">
        <v>1339.4326172000001</v>
      </c>
      <c r="J897">
        <v>1336.8012695</v>
      </c>
      <c r="K897">
        <v>0</v>
      </c>
      <c r="L897">
        <v>2750</v>
      </c>
      <c r="M897">
        <v>2750</v>
      </c>
      <c r="N897">
        <v>0</v>
      </c>
    </row>
    <row r="898" spans="1:14" x14ac:dyDescent="0.25">
      <c r="A898">
        <v>262.87690900000001</v>
      </c>
      <c r="B898" s="1">
        <f>DATE(2011,1,18) + TIME(21,2,44)</f>
        <v>40561.876898148148</v>
      </c>
      <c r="C898">
        <v>80</v>
      </c>
      <c r="D898">
        <v>70.920585631999998</v>
      </c>
      <c r="E898">
        <v>50</v>
      </c>
      <c r="F898">
        <v>49.964187621999997</v>
      </c>
      <c r="G898">
        <v>1325.5804443</v>
      </c>
      <c r="H898">
        <v>1323.1491699000001</v>
      </c>
      <c r="I898">
        <v>1339.4250488</v>
      </c>
      <c r="J898">
        <v>1336.7973632999999</v>
      </c>
      <c r="K898">
        <v>0</v>
      </c>
      <c r="L898">
        <v>2750</v>
      </c>
      <c r="M898">
        <v>2750</v>
      </c>
      <c r="N898">
        <v>0</v>
      </c>
    </row>
    <row r="899" spans="1:14" x14ac:dyDescent="0.25">
      <c r="A899">
        <v>263.66798</v>
      </c>
      <c r="B899" s="1">
        <f>DATE(2011,1,19) + TIME(16,1,53)</f>
        <v>40562.667974537035</v>
      </c>
      <c r="C899">
        <v>80</v>
      </c>
      <c r="D899">
        <v>70.807113646999994</v>
      </c>
      <c r="E899">
        <v>50</v>
      </c>
      <c r="F899">
        <v>49.964199065999999</v>
      </c>
      <c r="G899">
        <v>1325.5555420000001</v>
      </c>
      <c r="H899">
        <v>1323.1131591999999</v>
      </c>
      <c r="I899">
        <v>1339.4212646000001</v>
      </c>
      <c r="J899">
        <v>1336.7954102000001</v>
      </c>
      <c r="K899">
        <v>0</v>
      </c>
      <c r="L899">
        <v>2750</v>
      </c>
      <c r="M899">
        <v>2750</v>
      </c>
      <c r="N899">
        <v>0</v>
      </c>
    </row>
    <row r="900" spans="1:14" x14ac:dyDescent="0.25">
      <c r="A900">
        <v>264.45905099999999</v>
      </c>
      <c r="B900" s="1">
        <f>DATE(2011,1,20) + TIME(11,1,2)</f>
        <v>40563.459050925929</v>
      </c>
      <c r="C900">
        <v>80</v>
      </c>
      <c r="D900">
        <v>70.706359863000003</v>
      </c>
      <c r="E900">
        <v>50</v>
      </c>
      <c r="F900">
        <v>49.964214325</v>
      </c>
      <c r="G900">
        <v>1325.5333252</v>
      </c>
      <c r="H900">
        <v>1323.0822754000001</v>
      </c>
      <c r="I900">
        <v>1339.4174805</v>
      </c>
      <c r="J900">
        <v>1336.7935791</v>
      </c>
      <c r="K900">
        <v>0</v>
      </c>
      <c r="L900">
        <v>2750</v>
      </c>
      <c r="M900">
        <v>2750</v>
      </c>
      <c r="N900">
        <v>0</v>
      </c>
    </row>
    <row r="901" spans="1:14" x14ac:dyDescent="0.25">
      <c r="A901">
        <v>265.25012299999997</v>
      </c>
      <c r="B901" s="1">
        <f>DATE(2011,1,21) + TIME(6,0,10)</f>
        <v>40564.250115740739</v>
      </c>
      <c r="C901">
        <v>80</v>
      </c>
      <c r="D901">
        <v>70.610305785999998</v>
      </c>
      <c r="E901">
        <v>50</v>
      </c>
      <c r="F901">
        <v>49.964229584000002</v>
      </c>
      <c r="G901">
        <v>1325.5123291</v>
      </c>
      <c r="H901">
        <v>1323.0535889</v>
      </c>
      <c r="I901">
        <v>1339.4138184000001</v>
      </c>
      <c r="J901">
        <v>1336.791626</v>
      </c>
      <c r="K901">
        <v>0</v>
      </c>
      <c r="L901">
        <v>2750</v>
      </c>
      <c r="M901">
        <v>2750</v>
      </c>
      <c r="N901">
        <v>0</v>
      </c>
    </row>
    <row r="902" spans="1:14" x14ac:dyDescent="0.25">
      <c r="A902">
        <v>266.04119400000002</v>
      </c>
      <c r="B902" s="1">
        <f>DATE(2011,1,22) + TIME(0,59,19)</f>
        <v>40565.041192129633</v>
      </c>
      <c r="C902">
        <v>80</v>
      </c>
      <c r="D902">
        <v>70.515937804999993</v>
      </c>
      <c r="E902">
        <v>50</v>
      </c>
      <c r="F902">
        <v>49.964248656999999</v>
      </c>
      <c r="G902">
        <v>1325.4919434000001</v>
      </c>
      <c r="H902">
        <v>1323.0258789</v>
      </c>
      <c r="I902">
        <v>1339.4101562000001</v>
      </c>
      <c r="J902">
        <v>1336.7897949000001</v>
      </c>
      <c r="K902">
        <v>0</v>
      </c>
      <c r="L902">
        <v>2750</v>
      </c>
      <c r="M902">
        <v>2750</v>
      </c>
      <c r="N902">
        <v>0</v>
      </c>
    </row>
    <row r="903" spans="1:14" x14ac:dyDescent="0.25">
      <c r="A903">
        <v>266.83226500000001</v>
      </c>
      <c r="B903" s="1">
        <f>DATE(2011,1,22) + TIME(19,58,27)</f>
        <v>40565.832256944443</v>
      </c>
      <c r="C903">
        <v>80</v>
      </c>
      <c r="D903">
        <v>70.422119140999996</v>
      </c>
      <c r="E903">
        <v>50</v>
      </c>
      <c r="F903">
        <v>49.964263916</v>
      </c>
      <c r="G903">
        <v>1325.4719238</v>
      </c>
      <c r="H903">
        <v>1322.9987793</v>
      </c>
      <c r="I903">
        <v>1339.4064940999999</v>
      </c>
      <c r="J903">
        <v>1336.7878418</v>
      </c>
      <c r="K903">
        <v>0</v>
      </c>
      <c r="L903">
        <v>2750</v>
      </c>
      <c r="M903">
        <v>2750</v>
      </c>
      <c r="N903">
        <v>0</v>
      </c>
    </row>
    <row r="904" spans="1:14" x14ac:dyDescent="0.25">
      <c r="A904">
        <v>268.41440799999998</v>
      </c>
      <c r="B904" s="1">
        <f>DATE(2011,1,24) + TIME(9,56,44)</f>
        <v>40567.414398148147</v>
      </c>
      <c r="C904">
        <v>80</v>
      </c>
      <c r="D904">
        <v>70.306854247999993</v>
      </c>
      <c r="E904">
        <v>50</v>
      </c>
      <c r="F904">
        <v>49.964321136000002</v>
      </c>
      <c r="G904">
        <v>1325.4516602000001</v>
      </c>
      <c r="H904">
        <v>1322.9704589999999</v>
      </c>
      <c r="I904">
        <v>1339.4030762</v>
      </c>
      <c r="J904">
        <v>1336.7861327999999</v>
      </c>
      <c r="K904">
        <v>0</v>
      </c>
      <c r="L904">
        <v>2750</v>
      </c>
      <c r="M904">
        <v>2750</v>
      </c>
      <c r="N904">
        <v>0</v>
      </c>
    </row>
    <row r="905" spans="1:14" x14ac:dyDescent="0.25">
      <c r="A905">
        <v>269.998761</v>
      </c>
      <c r="B905" s="1">
        <f>DATE(2011,1,25) + TIME(23,58,12)</f>
        <v>40568.998749999999</v>
      </c>
      <c r="C905">
        <v>80</v>
      </c>
      <c r="D905">
        <v>70.136146545000003</v>
      </c>
      <c r="E905">
        <v>50</v>
      </c>
      <c r="F905">
        <v>49.964363098</v>
      </c>
      <c r="G905">
        <v>1325.4176024999999</v>
      </c>
      <c r="H905">
        <v>1322.9273682</v>
      </c>
      <c r="I905">
        <v>1339.395874</v>
      </c>
      <c r="J905">
        <v>1336.7824707</v>
      </c>
      <c r="K905">
        <v>0</v>
      </c>
      <c r="L905">
        <v>2750</v>
      </c>
      <c r="M905">
        <v>2750</v>
      </c>
      <c r="N905">
        <v>0</v>
      </c>
    </row>
    <row r="906" spans="1:14" x14ac:dyDescent="0.25">
      <c r="A906">
        <v>271.63006899999999</v>
      </c>
      <c r="B906" s="1">
        <f>DATE(2011,1,27) + TIME(15,7,17)</f>
        <v>40570.630057870374</v>
      </c>
      <c r="C906">
        <v>80</v>
      </c>
      <c r="D906">
        <v>69.950859070000007</v>
      </c>
      <c r="E906">
        <v>50</v>
      </c>
      <c r="F906">
        <v>49.964401244999998</v>
      </c>
      <c r="G906">
        <v>1325.3803711</v>
      </c>
      <c r="H906">
        <v>1322.8776855000001</v>
      </c>
      <c r="I906">
        <v>1339.3889160000001</v>
      </c>
      <c r="J906">
        <v>1336.7788086</v>
      </c>
      <c r="K906">
        <v>0</v>
      </c>
      <c r="L906">
        <v>2750</v>
      </c>
      <c r="M906">
        <v>2750</v>
      </c>
      <c r="N906">
        <v>0</v>
      </c>
    </row>
    <row r="907" spans="1:14" x14ac:dyDescent="0.25">
      <c r="A907">
        <v>273.32045399999998</v>
      </c>
      <c r="B907" s="1">
        <f>DATE(2011,1,29) + TIME(7,41,27)</f>
        <v>40572.320451388892</v>
      </c>
      <c r="C907">
        <v>80</v>
      </c>
      <c r="D907">
        <v>69.757102966000005</v>
      </c>
      <c r="E907">
        <v>50</v>
      </c>
      <c r="F907">
        <v>49.964443207000002</v>
      </c>
      <c r="G907">
        <v>1325.3416748</v>
      </c>
      <c r="H907">
        <v>1322.8259277</v>
      </c>
      <c r="I907">
        <v>1339.3817139</v>
      </c>
      <c r="J907">
        <v>1336.7751464999999</v>
      </c>
      <c r="K907">
        <v>0</v>
      </c>
      <c r="L907">
        <v>2750</v>
      </c>
      <c r="M907">
        <v>2750</v>
      </c>
      <c r="N907">
        <v>0</v>
      </c>
    </row>
    <row r="908" spans="1:14" x14ac:dyDescent="0.25">
      <c r="A908">
        <v>274.19038799999998</v>
      </c>
      <c r="B908" s="1">
        <f>DATE(2011,1,30) + TIME(4,34,9)</f>
        <v>40573.190381944441</v>
      </c>
      <c r="C908">
        <v>80</v>
      </c>
      <c r="D908">
        <v>69.591056824000006</v>
      </c>
      <c r="E908">
        <v>50</v>
      </c>
      <c r="F908">
        <v>49.964450835999997</v>
      </c>
      <c r="G908">
        <v>1325.3027344</v>
      </c>
      <c r="H908">
        <v>1322.7750243999999</v>
      </c>
      <c r="I908">
        <v>1339.3743896000001</v>
      </c>
      <c r="J908">
        <v>1336.7713623</v>
      </c>
      <c r="K908">
        <v>0</v>
      </c>
      <c r="L908">
        <v>2750</v>
      </c>
      <c r="M908">
        <v>2750</v>
      </c>
      <c r="N908">
        <v>0</v>
      </c>
    </row>
    <row r="909" spans="1:14" x14ac:dyDescent="0.25">
      <c r="A909">
        <v>275.09519399999999</v>
      </c>
      <c r="B909" s="1">
        <f>DATE(2011,1,31) + TIME(2,17,4)</f>
        <v>40574.095185185186</v>
      </c>
      <c r="C909">
        <v>80</v>
      </c>
      <c r="D909">
        <v>69.463417053000001</v>
      </c>
      <c r="E909">
        <v>50</v>
      </c>
      <c r="F909">
        <v>49.964469909999998</v>
      </c>
      <c r="G909">
        <v>1325.2781981999999</v>
      </c>
      <c r="H909">
        <v>1322.7392577999999</v>
      </c>
      <c r="I909">
        <v>1339.3707274999999</v>
      </c>
      <c r="J909">
        <v>1336.7694091999999</v>
      </c>
      <c r="K909">
        <v>0</v>
      </c>
      <c r="L909">
        <v>2750</v>
      </c>
      <c r="M909">
        <v>2750</v>
      </c>
      <c r="N909">
        <v>0</v>
      </c>
    </row>
    <row r="910" spans="1:14" x14ac:dyDescent="0.25">
      <c r="A910">
        <v>276</v>
      </c>
      <c r="B910" s="1">
        <f>DATE(2011,2,1) + TIME(0,0,0)</f>
        <v>40575</v>
      </c>
      <c r="C910">
        <v>80</v>
      </c>
      <c r="D910">
        <v>69.348297118999994</v>
      </c>
      <c r="E910">
        <v>50</v>
      </c>
      <c r="F910">
        <v>49.964488983000003</v>
      </c>
      <c r="G910">
        <v>1325.2556152</v>
      </c>
      <c r="H910">
        <v>1322.7080077999999</v>
      </c>
      <c r="I910">
        <v>1339.3669434000001</v>
      </c>
      <c r="J910">
        <v>1336.7674560999999</v>
      </c>
      <c r="K910">
        <v>0</v>
      </c>
      <c r="L910">
        <v>2750</v>
      </c>
      <c r="M910">
        <v>2750</v>
      </c>
      <c r="N910">
        <v>0</v>
      </c>
    </row>
    <row r="911" spans="1:14" x14ac:dyDescent="0.25">
      <c r="A911">
        <v>276.87369000000001</v>
      </c>
      <c r="B911" s="1">
        <f>DATE(2011,2,1) + TIME(20,58,6)</f>
        <v>40575.873680555553</v>
      </c>
      <c r="C911">
        <v>80</v>
      </c>
      <c r="D911">
        <v>69.238662719999994</v>
      </c>
      <c r="E911">
        <v>50</v>
      </c>
      <c r="F911">
        <v>49.964511870999999</v>
      </c>
      <c r="G911">
        <v>1325.2341309000001</v>
      </c>
      <c r="H911">
        <v>1322.6787108999999</v>
      </c>
      <c r="I911">
        <v>1339.3631591999999</v>
      </c>
      <c r="J911">
        <v>1336.7653809000001</v>
      </c>
      <c r="K911">
        <v>0</v>
      </c>
      <c r="L911">
        <v>2750</v>
      </c>
      <c r="M911">
        <v>2750</v>
      </c>
      <c r="N911">
        <v>0</v>
      </c>
    </row>
    <row r="912" spans="1:14" x14ac:dyDescent="0.25">
      <c r="A912">
        <v>277.74738000000002</v>
      </c>
      <c r="B912" s="1">
        <f>DATE(2011,2,2) + TIME(17,56,13)</f>
        <v>40576.747372685182</v>
      </c>
      <c r="C912">
        <v>80</v>
      </c>
      <c r="D912">
        <v>69.131904602000006</v>
      </c>
      <c r="E912">
        <v>50</v>
      </c>
      <c r="F912">
        <v>49.964530945</v>
      </c>
      <c r="G912">
        <v>1325.2137451000001</v>
      </c>
      <c r="H912">
        <v>1322.6508789</v>
      </c>
      <c r="I912">
        <v>1339.3596190999999</v>
      </c>
      <c r="J912">
        <v>1336.7635498</v>
      </c>
      <c r="K912">
        <v>0</v>
      </c>
      <c r="L912">
        <v>2750</v>
      </c>
      <c r="M912">
        <v>2750</v>
      </c>
      <c r="N912">
        <v>0</v>
      </c>
    </row>
    <row r="913" spans="1:14" x14ac:dyDescent="0.25">
      <c r="A913">
        <v>278.62106999999997</v>
      </c>
      <c r="B913" s="1">
        <f>DATE(2011,2,3) + TIME(14,54,20)</f>
        <v>40577.621064814812</v>
      </c>
      <c r="C913">
        <v>80</v>
      </c>
      <c r="D913">
        <v>69.026039123999993</v>
      </c>
      <c r="E913">
        <v>50</v>
      </c>
      <c r="F913">
        <v>49.964553832999997</v>
      </c>
      <c r="G913">
        <v>1325.1937256000001</v>
      </c>
      <c r="H913">
        <v>1322.6237793</v>
      </c>
      <c r="I913">
        <v>1339.355957</v>
      </c>
      <c r="J913">
        <v>1336.7615966999999</v>
      </c>
      <c r="K913">
        <v>0</v>
      </c>
      <c r="L913">
        <v>2750</v>
      </c>
      <c r="M913">
        <v>2750</v>
      </c>
      <c r="N913">
        <v>0</v>
      </c>
    </row>
    <row r="914" spans="1:14" x14ac:dyDescent="0.25">
      <c r="A914">
        <v>280.36845</v>
      </c>
      <c r="B914" s="1">
        <f>DATE(2011,2,5) + TIME(8,50,34)</f>
        <v>40579.368449074071</v>
      </c>
      <c r="C914">
        <v>80</v>
      </c>
      <c r="D914">
        <v>68.898200989000003</v>
      </c>
      <c r="E914">
        <v>50</v>
      </c>
      <c r="F914">
        <v>49.964614867999998</v>
      </c>
      <c r="G914">
        <v>1325.1735839999999</v>
      </c>
      <c r="H914">
        <v>1322.5955810999999</v>
      </c>
      <c r="I914">
        <v>1339.3525391000001</v>
      </c>
      <c r="J914">
        <v>1336.7598877</v>
      </c>
      <c r="K914">
        <v>0</v>
      </c>
      <c r="L914">
        <v>2750</v>
      </c>
      <c r="M914">
        <v>2750</v>
      </c>
      <c r="N914">
        <v>0</v>
      </c>
    </row>
    <row r="915" spans="1:14" x14ac:dyDescent="0.25">
      <c r="A915">
        <v>282.12631800000003</v>
      </c>
      <c r="B915" s="1">
        <f>DATE(2011,2,7) + TIME(3,1,53)</f>
        <v>40581.126307870371</v>
      </c>
      <c r="C915">
        <v>80</v>
      </c>
      <c r="D915">
        <v>68.704452515</v>
      </c>
      <c r="E915">
        <v>50</v>
      </c>
      <c r="F915">
        <v>49.964664458999998</v>
      </c>
      <c r="G915">
        <v>1325.1396483999999</v>
      </c>
      <c r="H915">
        <v>1322.5526123</v>
      </c>
      <c r="I915">
        <v>1339.3454589999999</v>
      </c>
      <c r="J915">
        <v>1336.7561035000001</v>
      </c>
      <c r="K915">
        <v>0</v>
      </c>
      <c r="L915">
        <v>2750</v>
      </c>
      <c r="M915">
        <v>2750</v>
      </c>
      <c r="N915">
        <v>0</v>
      </c>
    </row>
    <row r="916" spans="1:14" x14ac:dyDescent="0.25">
      <c r="A916">
        <v>283.94335000000001</v>
      </c>
      <c r="B916" s="1">
        <f>DATE(2011,2,8) + TIME(22,38,25)</f>
        <v>40582.943344907406</v>
      </c>
      <c r="C916">
        <v>80</v>
      </c>
      <c r="D916">
        <v>68.494255065999994</v>
      </c>
      <c r="E916">
        <v>50</v>
      </c>
      <c r="F916">
        <v>49.964714049999998</v>
      </c>
      <c r="G916">
        <v>1325.1021728999999</v>
      </c>
      <c r="H916">
        <v>1322.5025635</v>
      </c>
      <c r="I916">
        <v>1339.338501</v>
      </c>
      <c r="J916">
        <v>1336.7524414</v>
      </c>
      <c r="K916">
        <v>0</v>
      </c>
      <c r="L916">
        <v>2750</v>
      </c>
      <c r="M916">
        <v>2750</v>
      </c>
      <c r="N916">
        <v>0</v>
      </c>
    </row>
    <row r="917" spans="1:14" x14ac:dyDescent="0.25">
      <c r="A917">
        <v>285.82525800000002</v>
      </c>
      <c r="B917" s="1">
        <f>DATE(2011,2,10) + TIME(19,48,22)</f>
        <v>40584.825254629628</v>
      </c>
      <c r="C917">
        <v>80</v>
      </c>
      <c r="D917">
        <v>68.274375915999997</v>
      </c>
      <c r="E917">
        <v>50</v>
      </c>
      <c r="F917">
        <v>49.964767455999997</v>
      </c>
      <c r="G917">
        <v>1325.0633545000001</v>
      </c>
      <c r="H917">
        <v>1322.4503173999999</v>
      </c>
      <c r="I917">
        <v>1339.3314209</v>
      </c>
      <c r="J917">
        <v>1336.7486572</v>
      </c>
      <c r="K917">
        <v>0</v>
      </c>
      <c r="L917">
        <v>2750</v>
      </c>
      <c r="M917">
        <v>2750</v>
      </c>
      <c r="N917">
        <v>0</v>
      </c>
    </row>
    <row r="918" spans="1:14" x14ac:dyDescent="0.25">
      <c r="A918">
        <v>286.77106800000001</v>
      </c>
      <c r="B918" s="1">
        <f>DATE(2011,2,11) + TIME(18,30,20)</f>
        <v>40585.771064814813</v>
      </c>
      <c r="C918">
        <v>80</v>
      </c>
      <c r="D918">
        <v>68.084228515999996</v>
      </c>
      <c r="E918">
        <v>50</v>
      </c>
      <c r="F918">
        <v>49.964778899999999</v>
      </c>
      <c r="G918">
        <v>1325.0240478999999</v>
      </c>
      <c r="H918">
        <v>1322.3989257999999</v>
      </c>
      <c r="I918">
        <v>1339.3240966999999</v>
      </c>
      <c r="J918">
        <v>1336.744751</v>
      </c>
      <c r="K918">
        <v>0</v>
      </c>
      <c r="L918">
        <v>2750</v>
      </c>
      <c r="M918">
        <v>2750</v>
      </c>
      <c r="N918">
        <v>0</v>
      </c>
    </row>
    <row r="919" spans="1:14" x14ac:dyDescent="0.25">
      <c r="A919">
        <v>287.71687900000001</v>
      </c>
      <c r="B919" s="1">
        <f>DATE(2011,2,12) + TIME(17,12,18)</f>
        <v>40586.716874999998</v>
      </c>
      <c r="C919">
        <v>80</v>
      </c>
      <c r="D919">
        <v>67.944198607999994</v>
      </c>
      <c r="E919">
        <v>50</v>
      </c>
      <c r="F919">
        <v>49.964797974</v>
      </c>
      <c r="G919">
        <v>1324.9998779</v>
      </c>
      <c r="H919">
        <v>1322.3634033000001</v>
      </c>
      <c r="I919">
        <v>1339.3205565999999</v>
      </c>
      <c r="J919">
        <v>1336.7427978999999</v>
      </c>
      <c r="K919">
        <v>0</v>
      </c>
      <c r="L919">
        <v>2750</v>
      </c>
      <c r="M919">
        <v>2750</v>
      </c>
      <c r="N919">
        <v>0</v>
      </c>
    </row>
    <row r="920" spans="1:14" x14ac:dyDescent="0.25">
      <c r="A920">
        <v>288.662689</v>
      </c>
      <c r="B920" s="1">
        <f>DATE(2011,2,13) + TIME(15,54,16)</f>
        <v>40587.662685185183</v>
      </c>
      <c r="C920">
        <v>80</v>
      </c>
      <c r="D920">
        <v>67.820411682</v>
      </c>
      <c r="E920">
        <v>50</v>
      </c>
      <c r="F920">
        <v>49.964820862000003</v>
      </c>
      <c r="G920">
        <v>1324.9785156</v>
      </c>
      <c r="H920">
        <v>1322.333374</v>
      </c>
      <c r="I920">
        <v>1339.3170166</v>
      </c>
      <c r="J920">
        <v>1336.7408447</v>
      </c>
      <c r="K920">
        <v>0</v>
      </c>
      <c r="L920">
        <v>2750</v>
      </c>
      <c r="M920">
        <v>2750</v>
      </c>
      <c r="N920">
        <v>0</v>
      </c>
    </row>
    <row r="921" spans="1:14" x14ac:dyDescent="0.25">
      <c r="A921">
        <v>289.60849899999999</v>
      </c>
      <c r="B921" s="1">
        <f>DATE(2011,2,14) + TIME(14,36,14)</f>
        <v>40588.608495370368</v>
      </c>
      <c r="C921">
        <v>80</v>
      </c>
      <c r="D921">
        <v>67.701797485</v>
      </c>
      <c r="E921">
        <v>50</v>
      </c>
      <c r="F921">
        <v>49.964847564999999</v>
      </c>
      <c r="G921">
        <v>1324.9581298999999</v>
      </c>
      <c r="H921">
        <v>1322.3055420000001</v>
      </c>
      <c r="I921">
        <v>1339.3134766000001</v>
      </c>
      <c r="J921">
        <v>1336.7388916</v>
      </c>
      <c r="K921">
        <v>0</v>
      </c>
      <c r="L921">
        <v>2750</v>
      </c>
      <c r="M921">
        <v>2750</v>
      </c>
      <c r="N921">
        <v>0</v>
      </c>
    </row>
    <row r="922" spans="1:14" x14ac:dyDescent="0.25">
      <c r="A922">
        <v>291.50011999999998</v>
      </c>
      <c r="B922" s="1">
        <f>DATE(2011,2,16) + TIME(12,0,10)</f>
        <v>40590.500115740739</v>
      </c>
      <c r="C922">
        <v>80</v>
      </c>
      <c r="D922">
        <v>67.561935425000001</v>
      </c>
      <c r="E922">
        <v>50</v>
      </c>
      <c r="F922">
        <v>49.964912415000001</v>
      </c>
      <c r="G922">
        <v>1324.9381103999999</v>
      </c>
      <c r="H922">
        <v>1322.2772216999999</v>
      </c>
      <c r="I922">
        <v>1339.3100586</v>
      </c>
      <c r="J922">
        <v>1336.7370605000001</v>
      </c>
      <c r="K922">
        <v>0</v>
      </c>
      <c r="L922">
        <v>2750</v>
      </c>
      <c r="M922">
        <v>2750</v>
      </c>
      <c r="N922">
        <v>0</v>
      </c>
    </row>
    <row r="923" spans="1:14" x14ac:dyDescent="0.25">
      <c r="A923">
        <v>293.39504799999997</v>
      </c>
      <c r="B923" s="1">
        <f>DATE(2011,2,18) + TIME(9,28,52)</f>
        <v>40592.395046296297</v>
      </c>
      <c r="C923">
        <v>80</v>
      </c>
      <c r="D923">
        <v>67.347518921000002</v>
      </c>
      <c r="E923">
        <v>50</v>
      </c>
      <c r="F923">
        <v>49.964969635000003</v>
      </c>
      <c r="G923">
        <v>1324.9042969</v>
      </c>
      <c r="H923">
        <v>1322.2342529</v>
      </c>
      <c r="I923">
        <v>1339.3031006000001</v>
      </c>
      <c r="J923">
        <v>1336.7333983999999</v>
      </c>
      <c r="K923">
        <v>0</v>
      </c>
      <c r="L923">
        <v>2750</v>
      </c>
      <c r="M923">
        <v>2750</v>
      </c>
      <c r="N923">
        <v>0</v>
      </c>
    </row>
    <row r="924" spans="1:14" x14ac:dyDescent="0.25">
      <c r="A924">
        <v>295.34605699999997</v>
      </c>
      <c r="B924" s="1">
        <f>DATE(2011,2,20) + TIME(8,18,19)</f>
        <v>40594.346053240741</v>
      </c>
      <c r="C924">
        <v>80</v>
      </c>
      <c r="D924">
        <v>67.116584778000004</v>
      </c>
      <c r="E924">
        <v>50</v>
      </c>
      <c r="F924">
        <v>49.965026854999998</v>
      </c>
      <c r="G924">
        <v>1324.8673096</v>
      </c>
      <c r="H924">
        <v>1322.1845702999999</v>
      </c>
      <c r="I924">
        <v>1339.2961425999999</v>
      </c>
      <c r="J924">
        <v>1336.7296143000001</v>
      </c>
      <c r="K924">
        <v>0</v>
      </c>
      <c r="L924">
        <v>2750</v>
      </c>
      <c r="M924">
        <v>2750</v>
      </c>
      <c r="N924">
        <v>0</v>
      </c>
    </row>
    <row r="925" spans="1:14" x14ac:dyDescent="0.25">
      <c r="A925">
        <v>297.36982899999998</v>
      </c>
      <c r="B925" s="1">
        <f>DATE(2011,2,22) + TIME(8,52,33)</f>
        <v>40596.369826388887</v>
      </c>
      <c r="C925">
        <v>80</v>
      </c>
      <c r="D925">
        <v>66.875930785999998</v>
      </c>
      <c r="E925">
        <v>50</v>
      </c>
      <c r="F925">
        <v>49.965084075999997</v>
      </c>
      <c r="G925">
        <v>1324.8291016000001</v>
      </c>
      <c r="H925">
        <v>1322.1328125</v>
      </c>
      <c r="I925">
        <v>1339.2891846</v>
      </c>
      <c r="J925">
        <v>1336.7258300999999</v>
      </c>
      <c r="K925">
        <v>0</v>
      </c>
      <c r="L925">
        <v>2750</v>
      </c>
      <c r="M925">
        <v>2750</v>
      </c>
      <c r="N925">
        <v>0</v>
      </c>
    </row>
    <row r="926" spans="1:14" x14ac:dyDescent="0.25">
      <c r="A926">
        <v>298.391818</v>
      </c>
      <c r="B926" s="1">
        <f>DATE(2011,2,23) + TIME(9,24,13)</f>
        <v>40597.391817129632</v>
      </c>
      <c r="C926">
        <v>80</v>
      </c>
      <c r="D926">
        <v>66.665046692000004</v>
      </c>
      <c r="E926">
        <v>50</v>
      </c>
      <c r="F926">
        <v>49.965099334999998</v>
      </c>
      <c r="G926">
        <v>1324.7904053</v>
      </c>
      <c r="H926">
        <v>1322.0821533000001</v>
      </c>
      <c r="I926">
        <v>1339.2819824000001</v>
      </c>
      <c r="J926">
        <v>1336.7218018000001</v>
      </c>
      <c r="K926">
        <v>0</v>
      </c>
      <c r="L926">
        <v>2750</v>
      </c>
      <c r="M926">
        <v>2750</v>
      </c>
      <c r="N926">
        <v>0</v>
      </c>
    </row>
    <row r="927" spans="1:14" x14ac:dyDescent="0.25">
      <c r="A927">
        <v>299.41380700000002</v>
      </c>
      <c r="B927" s="1">
        <f>DATE(2011,2,24) + TIME(9,55,52)</f>
        <v>40598.4137962963</v>
      </c>
      <c r="C927">
        <v>80</v>
      </c>
      <c r="D927">
        <v>66.511970520000006</v>
      </c>
      <c r="E927">
        <v>50</v>
      </c>
      <c r="F927">
        <v>49.965122223000002</v>
      </c>
      <c r="G927">
        <v>1324.7664795000001</v>
      </c>
      <c r="H927">
        <v>1322.0467529</v>
      </c>
      <c r="I927">
        <v>1339.2784423999999</v>
      </c>
      <c r="J927">
        <v>1336.7197266000001</v>
      </c>
      <c r="K927">
        <v>0</v>
      </c>
      <c r="L927">
        <v>2750</v>
      </c>
      <c r="M927">
        <v>2750</v>
      </c>
      <c r="N927">
        <v>0</v>
      </c>
    </row>
    <row r="928" spans="1:14" x14ac:dyDescent="0.25">
      <c r="A928">
        <v>300.43579599999998</v>
      </c>
      <c r="B928" s="1">
        <f>DATE(2011,2,25) + TIME(10,27,32)</f>
        <v>40599.435787037037</v>
      </c>
      <c r="C928">
        <v>80</v>
      </c>
      <c r="D928">
        <v>66.376472473000007</v>
      </c>
      <c r="E928">
        <v>50</v>
      </c>
      <c r="F928">
        <v>49.965148925999998</v>
      </c>
      <c r="G928">
        <v>1324.7454834</v>
      </c>
      <c r="H928">
        <v>1322.0172118999999</v>
      </c>
      <c r="I928">
        <v>1339.2749022999999</v>
      </c>
      <c r="J928">
        <v>1336.7177733999999</v>
      </c>
      <c r="K928">
        <v>0</v>
      </c>
      <c r="L928">
        <v>2750</v>
      </c>
      <c r="M928">
        <v>2750</v>
      </c>
      <c r="N928">
        <v>0</v>
      </c>
    </row>
    <row r="929" spans="1:14" x14ac:dyDescent="0.25">
      <c r="A929">
        <v>301.457784</v>
      </c>
      <c r="B929" s="1">
        <f>DATE(2011,2,26) + TIME(10,59,12)</f>
        <v>40600.457777777781</v>
      </c>
      <c r="C929">
        <v>80</v>
      </c>
      <c r="D929">
        <v>66.246215820000003</v>
      </c>
      <c r="E929">
        <v>50</v>
      </c>
      <c r="F929">
        <v>49.965175629000001</v>
      </c>
      <c r="G929">
        <v>1324.7255858999999</v>
      </c>
      <c r="H929">
        <v>1321.9897461</v>
      </c>
      <c r="I929">
        <v>1339.2713623</v>
      </c>
      <c r="J929">
        <v>1336.7158202999999</v>
      </c>
      <c r="K929">
        <v>0</v>
      </c>
      <c r="L929">
        <v>2750</v>
      </c>
      <c r="M929">
        <v>2750</v>
      </c>
      <c r="N929">
        <v>0</v>
      </c>
    </row>
    <row r="930" spans="1:14" x14ac:dyDescent="0.25">
      <c r="A930">
        <v>302.47977300000002</v>
      </c>
      <c r="B930" s="1">
        <f>DATE(2011,2,27) + TIME(11,30,52)</f>
        <v>40601.479768518519</v>
      </c>
      <c r="C930">
        <v>80</v>
      </c>
      <c r="D930">
        <v>66.117416382000002</v>
      </c>
      <c r="E930">
        <v>50</v>
      </c>
      <c r="F930">
        <v>49.965206146</v>
      </c>
      <c r="G930">
        <v>1324.7060547000001</v>
      </c>
      <c r="H930">
        <v>1321.9631348</v>
      </c>
      <c r="I930">
        <v>1339.2679443</v>
      </c>
      <c r="J930">
        <v>1336.7138672000001</v>
      </c>
      <c r="K930">
        <v>0</v>
      </c>
      <c r="L930">
        <v>2750</v>
      </c>
      <c r="M930">
        <v>2750</v>
      </c>
      <c r="N930">
        <v>0</v>
      </c>
    </row>
    <row r="931" spans="1:14" x14ac:dyDescent="0.25">
      <c r="A931">
        <v>304</v>
      </c>
      <c r="B931" s="1">
        <f>DATE(2011,3,1) + TIME(0,0,0)</f>
        <v>40603</v>
      </c>
      <c r="C931">
        <v>80</v>
      </c>
      <c r="D931">
        <v>65.974533081000004</v>
      </c>
      <c r="E931">
        <v>50</v>
      </c>
      <c r="F931">
        <v>49.965255737</v>
      </c>
      <c r="G931">
        <v>1324.6867675999999</v>
      </c>
      <c r="H931">
        <v>1321.9361572</v>
      </c>
      <c r="I931">
        <v>1339.2645264</v>
      </c>
      <c r="J931">
        <v>1336.7119141000001</v>
      </c>
      <c r="K931">
        <v>0</v>
      </c>
      <c r="L931">
        <v>2750</v>
      </c>
      <c r="M931">
        <v>2750</v>
      </c>
      <c r="N931">
        <v>0</v>
      </c>
    </row>
    <row r="932" spans="1:14" x14ac:dyDescent="0.25">
      <c r="A932">
        <v>306.04397799999998</v>
      </c>
      <c r="B932" s="1">
        <f>DATE(2011,3,3) + TIME(1,3,19)</f>
        <v>40605.043969907405</v>
      </c>
      <c r="C932">
        <v>80</v>
      </c>
      <c r="D932">
        <v>65.783279418999996</v>
      </c>
      <c r="E932">
        <v>50</v>
      </c>
      <c r="F932">
        <v>49.965328217</v>
      </c>
      <c r="G932">
        <v>1324.6607666</v>
      </c>
      <c r="H932">
        <v>1321.9016113</v>
      </c>
      <c r="I932">
        <v>1339.2593993999999</v>
      </c>
      <c r="J932">
        <v>1336.7091064000001</v>
      </c>
      <c r="K932">
        <v>0</v>
      </c>
      <c r="L932">
        <v>2750</v>
      </c>
      <c r="M932">
        <v>2750</v>
      </c>
      <c r="N932">
        <v>0</v>
      </c>
    </row>
    <row r="933" spans="1:14" x14ac:dyDescent="0.25">
      <c r="A933">
        <v>308.15092399999997</v>
      </c>
      <c r="B933" s="1">
        <f>DATE(2011,3,5) + TIME(3,37,19)</f>
        <v>40607.150914351849</v>
      </c>
      <c r="C933">
        <v>80</v>
      </c>
      <c r="D933">
        <v>65.536842346</v>
      </c>
      <c r="E933">
        <v>50</v>
      </c>
      <c r="F933">
        <v>49.965389252000001</v>
      </c>
      <c r="G933">
        <v>1324.6265868999999</v>
      </c>
      <c r="H933">
        <v>1321.8565673999999</v>
      </c>
      <c r="I933">
        <v>1339.2525635</v>
      </c>
      <c r="J933">
        <v>1336.7052002</v>
      </c>
      <c r="K933">
        <v>0</v>
      </c>
      <c r="L933">
        <v>2750</v>
      </c>
      <c r="M933">
        <v>2750</v>
      </c>
      <c r="N933">
        <v>0</v>
      </c>
    </row>
    <row r="934" spans="1:14" x14ac:dyDescent="0.25">
      <c r="A934">
        <v>310.34313900000001</v>
      </c>
      <c r="B934" s="1">
        <f>DATE(2011,3,7) + TIME(8,14,7)</f>
        <v>40609.343136574076</v>
      </c>
      <c r="C934">
        <v>80</v>
      </c>
      <c r="D934">
        <v>65.272689818999993</v>
      </c>
      <c r="E934">
        <v>50</v>
      </c>
      <c r="F934">
        <v>49.965454102000002</v>
      </c>
      <c r="G934">
        <v>1324.5895995999999</v>
      </c>
      <c r="H934">
        <v>1321.8065185999999</v>
      </c>
      <c r="I934">
        <v>1339.2457274999999</v>
      </c>
      <c r="J934">
        <v>1336.7012939000001</v>
      </c>
      <c r="K934">
        <v>0</v>
      </c>
      <c r="L934">
        <v>2750</v>
      </c>
      <c r="M934">
        <v>2750</v>
      </c>
      <c r="N934">
        <v>0</v>
      </c>
    </row>
    <row r="935" spans="1:14" x14ac:dyDescent="0.25">
      <c r="A935">
        <v>311.44843800000001</v>
      </c>
      <c r="B935" s="1">
        <f>DATE(2011,3,8) + TIME(10,45,45)</f>
        <v>40610.448437500003</v>
      </c>
      <c r="C935">
        <v>80</v>
      </c>
      <c r="D935">
        <v>65.037071228000002</v>
      </c>
      <c r="E935">
        <v>50</v>
      </c>
      <c r="F935">
        <v>49.965473175</v>
      </c>
      <c r="G935">
        <v>1324.5516356999999</v>
      </c>
      <c r="H935">
        <v>1321.7565918</v>
      </c>
      <c r="I935">
        <v>1339.2385254000001</v>
      </c>
      <c r="J935">
        <v>1336.6971435999999</v>
      </c>
      <c r="K935">
        <v>0</v>
      </c>
      <c r="L935">
        <v>2750</v>
      </c>
      <c r="M935">
        <v>2750</v>
      </c>
      <c r="N935">
        <v>0</v>
      </c>
    </row>
    <row r="936" spans="1:14" x14ac:dyDescent="0.25">
      <c r="A936">
        <v>312.55373800000001</v>
      </c>
      <c r="B936" s="1">
        <f>DATE(2011,3,9) + TIME(13,17,22)</f>
        <v>40611.553726851853</v>
      </c>
      <c r="C936">
        <v>80</v>
      </c>
      <c r="D936">
        <v>64.868812560999999</v>
      </c>
      <c r="E936">
        <v>50</v>
      </c>
      <c r="F936">
        <v>49.965503693000002</v>
      </c>
      <c r="G936">
        <v>1324.5284423999999</v>
      </c>
      <c r="H936">
        <v>1321.7218018000001</v>
      </c>
      <c r="I936">
        <v>1339.2349853999999</v>
      </c>
      <c r="J936">
        <v>1336.6951904</v>
      </c>
      <c r="K936">
        <v>0</v>
      </c>
      <c r="L936">
        <v>2750</v>
      </c>
      <c r="M936">
        <v>2750</v>
      </c>
      <c r="N936">
        <v>0</v>
      </c>
    </row>
    <row r="937" spans="1:14" x14ac:dyDescent="0.25">
      <c r="A937">
        <v>313.65903700000001</v>
      </c>
      <c r="B937" s="1">
        <f>DATE(2011,3,10) + TIME(15,49,0)</f>
        <v>40612.65902777778</v>
      </c>
      <c r="C937">
        <v>80</v>
      </c>
      <c r="D937">
        <v>64.719741821</v>
      </c>
      <c r="E937">
        <v>50</v>
      </c>
      <c r="F937">
        <v>49.965534210000001</v>
      </c>
      <c r="G937">
        <v>1324.5079346</v>
      </c>
      <c r="H937">
        <v>1321.692749</v>
      </c>
      <c r="I937">
        <v>1339.2314452999999</v>
      </c>
      <c r="J937">
        <v>1336.6931152</v>
      </c>
      <c r="K937">
        <v>0</v>
      </c>
      <c r="L937">
        <v>2750</v>
      </c>
      <c r="M937">
        <v>2750</v>
      </c>
      <c r="N937">
        <v>0</v>
      </c>
    </row>
    <row r="938" spans="1:14" x14ac:dyDescent="0.25">
      <c r="A938">
        <v>314.76433700000001</v>
      </c>
      <c r="B938" s="1">
        <f>DATE(2011,3,11) + TIME(18,20,38)</f>
        <v>40613.764328703706</v>
      </c>
      <c r="C938">
        <v>80</v>
      </c>
      <c r="D938">
        <v>64.576034546000002</v>
      </c>
      <c r="E938">
        <v>50</v>
      </c>
      <c r="F938">
        <v>49.965564727999997</v>
      </c>
      <c r="G938">
        <v>1324.4885254000001</v>
      </c>
      <c r="H938">
        <v>1321.6658935999999</v>
      </c>
      <c r="I938">
        <v>1339.2279053</v>
      </c>
      <c r="J938">
        <v>1336.6910399999999</v>
      </c>
      <c r="K938">
        <v>0</v>
      </c>
      <c r="L938">
        <v>2750</v>
      </c>
      <c r="M938">
        <v>2750</v>
      </c>
      <c r="N938">
        <v>0</v>
      </c>
    </row>
    <row r="939" spans="1:14" x14ac:dyDescent="0.25">
      <c r="A939">
        <v>315.86963600000001</v>
      </c>
      <c r="B939" s="1">
        <f>DATE(2011,3,12) + TIME(20,52,16)</f>
        <v>40614.869629629633</v>
      </c>
      <c r="C939">
        <v>80</v>
      </c>
      <c r="D939">
        <v>64.433700561999999</v>
      </c>
      <c r="E939">
        <v>50</v>
      </c>
      <c r="F939">
        <v>49.965599060000002</v>
      </c>
      <c r="G939">
        <v>1324.4696045000001</v>
      </c>
      <c r="H939">
        <v>1321.6397704999999</v>
      </c>
      <c r="I939">
        <v>1339.2244873</v>
      </c>
      <c r="J939">
        <v>1336.6889647999999</v>
      </c>
      <c r="K939">
        <v>0</v>
      </c>
      <c r="L939">
        <v>2750</v>
      </c>
      <c r="M939">
        <v>2750</v>
      </c>
      <c r="N939">
        <v>0</v>
      </c>
    </row>
    <row r="940" spans="1:14" x14ac:dyDescent="0.25">
      <c r="A940">
        <v>318.08023500000002</v>
      </c>
      <c r="B940" s="1">
        <f>DATE(2011,3,15) + TIME(1,55,32)</f>
        <v>40617.080231481479</v>
      </c>
      <c r="C940">
        <v>80</v>
      </c>
      <c r="D940">
        <v>64.267532349000007</v>
      </c>
      <c r="E940">
        <v>50</v>
      </c>
      <c r="F940">
        <v>49.965679168999998</v>
      </c>
      <c r="G940">
        <v>1324.4509277</v>
      </c>
      <c r="H940">
        <v>1321.6129149999999</v>
      </c>
      <c r="I940">
        <v>1339.2210693</v>
      </c>
      <c r="J940">
        <v>1336.6870117000001</v>
      </c>
      <c r="K940">
        <v>0</v>
      </c>
      <c r="L940">
        <v>2750</v>
      </c>
      <c r="M940">
        <v>2750</v>
      </c>
      <c r="N940">
        <v>0</v>
      </c>
    </row>
    <row r="941" spans="1:14" x14ac:dyDescent="0.25">
      <c r="A941">
        <v>320.30235900000002</v>
      </c>
      <c r="B941" s="1">
        <f>DATE(2011,3,17) + TIME(7,15,23)</f>
        <v>40619.302349537036</v>
      </c>
      <c r="C941">
        <v>80</v>
      </c>
      <c r="D941">
        <v>64.003448485999996</v>
      </c>
      <c r="E941">
        <v>50</v>
      </c>
      <c r="F941">
        <v>49.965747833000002</v>
      </c>
      <c r="G941">
        <v>1324.4188231999999</v>
      </c>
      <c r="H941">
        <v>1321.5717772999999</v>
      </c>
      <c r="I941">
        <v>1339.2142334</v>
      </c>
      <c r="J941">
        <v>1336.6831055</v>
      </c>
      <c r="K941">
        <v>0</v>
      </c>
      <c r="L941">
        <v>2750</v>
      </c>
      <c r="M941">
        <v>2750</v>
      </c>
      <c r="N941">
        <v>0</v>
      </c>
    </row>
    <row r="942" spans="1:14" x14ac:dyDescent="0.25">
      <c r="A942">
        <v>322.60733800000003</v>
      </c>
      <c r="B942" s="1">
        <f>DATE(2011,3,19) + TIME(14,34,33)</f>
        <v>40621.60732638889</v>
      </c>
      <c r="C942">
        <v>80</v>
      </c>
      <c r="D942">
        <v>63.719520568999997</v>
      </c>
      <c r="E942">
        <v>50</v>
      </c>
      <c r="F942">
        <v>49.965816498000002</v>
      </c>
      <c r="G942">
        <v>1324.3835449000001</v>
      </c>
      <c r="H942">
        <v>1321.5235596</v>
      </c>
      <c r="I942">
        <v>1339.2073975000001</v>
      </c>
      <c r="J942">
        <v>1336.6790771000001</v>
      </c>
      <c r="K942">
        <v>0</v>
      </c>
      <c r="L942">
        <v>2750</v>
      </c>
      <c r="M942">
        <v>2750</v>
      </c>
      <c r="N942">
        <v>0</v>
      </c>
    </row>
    <row r="943" spans="1:14" x14ac:dyDescent="0.25">
      <c r="A943">
        <v>323.80371700000001</v>
      </c>
      <c r="B943" s="1">
        <f>DATE(2011,3,20) + TIME(19,17,21)</f>
        <v>40622.803715277776</v>
      </c>
      <c r="C943">
        <v>80</v>
      </c>
      <c r="D943">
        <v>63.462898254000002</v>
      </c>
      <c r="E943">
        <v>50</v>
      </c>
      <c r="F943">
        <v>49.965839385999999</v>
      </c>
      <c r="G943">
        <v>1324.347168</v>
      </c>
      <c r="H943">
        <v>1321.4753418</v>
      </c>
      <c r="I943">
        <v>1339.2003173999999</v>
      </c>
      <c r="J943">
        <v>1336.6748047000001</v>
      </c>
      <c r="K943">
        <v>0</v>
      </c>
      <c r="L943">
        <v>2750</v>
      </c>
      <c r="M943">
        <v>2750</v>
      </c>
      <c r="N943">
        <v>0</v>
      </c>
    </row>
    <row r="944" spans="1:14" x14ac:dyDescent="0.25">
      <c r="A944">
        <v>324.99271700000003</v>
      </c>
      <c r="B944" s="1">
        <f>DATE(2011,3,21) + TIME(23,49,30)</f>
        <v>40623.992708333331</v>
      </c>
      <c r="C944">
        <v>80</v>
      </c>
      <c r="D944">
        <v>63.280014037999997</v>
      </c>
      <c r="E944">
        <v>50</v>
      </c>
      <c r="F944">
        <v>49.965873717999997</v>
      </c>
      <c r="G944">
        <v>1324.3245850000001</v>
      </c>
      <c r="H944">
        <v>1321.4412841999999</v>
      </c>
      <c r="I944">
        <v>1339.1967772999999</v>
      </c>
      <c r="J944">
        <v>1336.6726074000001</v>
      </c>
      <c r="K944">
        <v>0</v>
      </c>
      <c r="L944">
        <v>2750</v>
      </c>
      <c r="M944">
        <v>2750</v>
      </c>
      <c r="N944">
        <v>0</v>
      </c>
    </row>
    <row r="945" spans="1:14" x14ac:dyDescent="0.25">
      <c r="A945">
        <v>326.18171599999999</v>
      </c>
      <c r="B945" s="1">
        <f>DATE(2011,3,23) + TIME(4,21,40)</f>
        <v>40625.181712962964</v>
      </c>
      <c r="C945">
        <v>80</v>
      </c>
      <c r="D945">
        <v>63.117286682</v>
      </c>
      <c r="E945">
        <v>50</v>
      </c>
      <c r="F945">
        <v>49.965908051</v>
      </c>
      <c r="G945">
        <v>1324.3049315999999</v>
      </c>
      <c r="H945">
        <v>1321.4130858999999</v>
      </c>
      <c r="I945">
        <v>1339.1932373</v>
      </c>
      <c r="J945">
        <v>1336.6705322</v>
      </c>
      <c r="K945">
        <v>0</v>
      </c>
      <c r="L945">
        <v>2750</v>
      </c>
      <c r="M945">
        <v>2750</v>
      </c>
      <c r="N945">
        <v>0</v>
      </c>
    </row>
    <row r="946" spans="1:14" x14ac:dyDescent="0.25">
      <c r="A946">
        <v>327.37071600000002</v>
      </c>
      <c r="B946" s="1">
        <f>DATE(2011,3,24) + TIME(8,53,49)</f>
        <v>40626.370706018519</v>
      </c>
      <c r="C946">
        <v>80</v>
      </c>
      <c r="D946">
        <v>62.959850310999997</v>
      </c>
      <c r="E946">
        <v>50</v>
      </c>
      <c r="F946">
        <v>49.965942382999998</v>
      </c>
      <c r="G946">
        <v>1324.2861327999999</v>
      </c>
      <c r="H946">
        <v>1321.3868408000001</v>
      </c>
      <c r="I946">
        <v>1339.1896973</v>
      </c>
      <c r="J946">
        <v>1336.668457</v>
      </c>
      <c r="K946">
        <v>0</v>
      </c>
      <c r="L946">
        <v>2750</v>
      </c>
      <c r="M946">
        <v>2750</v>
      </c>
      <c r="N946">
        <v>0</v>
      </c>
    </row>
    <row r="947" spans="1:14" x14ac:dyDescent="0.25">
      <c r="A947">
        <v>328.55971599999998</v>
      </c>
      <c r="B947" s="1">
        <f>DATE(2011,3,25) + TIME(13,25,59)</f>
        <v>40627.559710648151</v>
      </c>
      <c r="C947">
        <v>80</v>
      </c>
      <c r="D947">
        <v>62.803672790999997</v>
      </c>
      <c r="E947">
        <v>50</v>
      </c>
      <c r="F947">
        <v>49.965976714999996</v>
      </c>
      <c r="G947">
        <v>1324.2678223</v>
      </c>
      <c r="H947">
        <v>1321.3614502</v>
      </c>
      <c r="I947">
        <v>1339.1861572</v>
      </c>
      <c r="J947">
        <v>1336.6662598</v>
      </c>
      <c r="K947">
        <v>0</v>
      </c>
      <c r="L947">
        <v>2750</v>
      </c>
      <c r="M947">
        <v>2750</v>
      </c>
      <c r="N947">
        <v>0</v>
      </c>
    </row>
    <row r="948" spans="1:14" x14ac:dyDescent="0.25">
      <c r="A948">
        <v>329.748716</v>
      </c>
      <c r="B948" s="1">
        <f>DATE(2011,3,26) + TIME(17,58,9)</f>
        <v>40628.748715277776</v>
      </c>
      <c r="C948">
        <v>80</v>
      </c>
      <c r="D948">
        <v>62.647663115999997</v>
      </c>
      <c r="E948">
        <v>50</v>
      </c>
      <c r="F948">
        <v>49.966014862000002</v>
      </c>
      <c r="G948">
        <v>1324.2497559000001</v>
      </c>
      <c r="H948">
        <v>1321.3363036999999</v>
      </c>
      <c r="I948">
        <v>1339.1826172000001</v>
      </c>
      <c r="J948">
        <v>1336.6641846</v>
      </c>
      <c r="K948">
        <v>0</v>
      </c>
      <c r="L948">
        <v>2750</v>
      </c>
      <c r="M948">
        <v>2750</v>
      </c>
      <c r="N948">
        <v>0</v>
      </c>
    </row>
    <row r="949" spans="1:14" x14ac:dyDescent="0.25">
      <c r="A949">
        <v>332.12671499999999</v>
      </c>
      <c r="B949" s="1">
        <f>DATE(2011,3,29) + TIME(3,2,28)</f>
        <v>40631.126712962963</v>
      </c>
      <c r="C949">
        <v>80</v>
      </c>
      <c r="D949">
        <v>62.466712952000002</v>
      </c>
      <c r="E949">
        <v>50</v>
      </c>
      <c r="F949">
        <v>49.966098785</v>
      </c>
      <c r="G949">
        <v>1324.2319336</v>
      </c>
      <c r="H949">
        <v>1321.3105469</v>
      </c>
      <c r="I949">
        <v>1339.1791992000001</v>
      </c>
      <c r="J949">
        <v>1336.6621094</v>
      </c>
      <c r="K949">
        <v>0</v>
      </c>
      <c r="L949">
        <v>2750</v>
      </c>
      <c r="M949">
        <v>2750</v>
      </c>
      <c r="N949">
        <v>0</v>
      </c>
    </row>
    <row r="950" spans="1:14" x14ac:dyDescent="0.25">
      <c r="A950">
        <v>334.51818500000002</v>
      </c>
      <c r="B950" s="1">
        <f>DATE(2011,3,31) + TIME(12,26,11)</f>
        <v>40633.518182870372</v>
      </c>
      <c r="C950">
        <v>80</v>
      </c>
      <c r="D950">
        <v>62.17546463</v>
      </c>
      <c r="E950">
        <v>50</v>
      </c>
      <c r="F950">
        <v>49.966175079000003</v>
      </c>
      <c r="G950">
        <v>1324.2012939000001</v>
      </c>
      <c r="H950">
        <v>1321.2707519999999</v>
      </c>
      <c r="I950">
        <v>1339.1723632999999</v>
      </c>
      <c r="J950">
        <v>1336.6579589999999</v>
      </c>
      <c r="K950">
        <v>0</v>
      </c>
      <c r="L950">
        <v>2750</v>
      </c>
      <c r="M950">
        <v>2750</v>
      </c>
      <c r="N950">
        <v>0</v>
      </c>
    </row>
    <row r="951" spans="1:14" x14ac:dyDescent="0.25">
      <c r="A951">
        <v>335</v>
      </c>
      <c r="B951" s="1">
        <f>DATE(2011,4,1) + TIME(0,0,0)</f>
        <v>40634</v>
      </c>
      <c r="C951">
        <v>80</v>
      </c>
      <c r="D951">
        <v>61.984397887999997</v>
      </c>
      <c r="E951">
        <v>50</v>
      </c>
      <c r="F951">
        <v>49.966175079000003</v>
      </c>
      <c r="G951">
        <v>1324.1673584</v>
      </c>
      <c r="H951">
        <v>1321.2290039</v>
      </c>
      <c r="I951">
        <v>1339.1654053</v>
      </c>
      <c r="J951">
        <v>1336.6536865</v>
      </c>
      <c r="K951">
        <v>0</v>
      </c>
      <c r="L951">
        <v>2750</v>
      </c>
      <c r="M951">
        <v>2750</v>
      </c>
      <c r="N951">
        <v>0</v>
      </c>
    </row>
    <row r="952" spans="1:14" x14ac:dyDescent="0.25">
      <c r="A952">
        <v>337.48957899999999</v>
      </c>
      <c r="B952" s="1">
        <f>DATE(2011,4,3) + TIME(11,44,59)</f>
        <v>40636.489571759259</v>
      </c>
      <c r="C952">
        <v>80</v>
      </c>
      <c r="D952">
        <v>61.779670715000002</v>
      </c>
      <c r="E952">
        <v>50</v>
      </c>
      <c r="F952">
        <v>49.966262817</v>
      </c>
      <c r="G952">
        <v>1324.1569824000001</v>
      </c>
      <c r="H952">
        <v>1321.2066649999999</v>
      </c>
      <c r="I952">
        <v>1339.1641846</v>
      </c>
      <c r="J952">
        <v>1336.652832</v>
      </c>
      <c r="K952">
        <v>0</v>
      </c>
      <c r="L952">
        <v>2750</v>
      </c>
      <c r="M952">
        <v>2750</v>
      </c>
      <c r="N952">
        <v>0</v>
      </c>
    </row>
    <row r="953" spans="1:14" x14ac:dyDescent="0.25">
      <c r="A953">
        <v>338.77187300000003</v>
      </c>
      <c r="B953" s="1">
        <f>DATE(2011,4,4) + TIME(18,31,29)</f>
        <v>40637.771863425929</v>
      </c>
      <c r="C953">
        <v>80</v>
      </c>
      <c r="D953">
        <v>61.508983612000002</v>
      </c>
      <c r="E953">
        <v>50</v>
      </c>
      <c r="F953">
        <v>49.966293335000003</v>
      </c>
      <c r="G953">
        <v>1324.1254882999999</v>
      </c>
      <c r="H953">
        <v>1321.1668701000001</v>
      </c>
      <c r="I953">
        <v>1339.1569824000001</v>
      </c>
      <c r="J953">
        <v>1336.6484375</v>
      </c>
      <c r="K953">
        <v>0</v>
      </c>
      <c r="L953">
        <v>2750</v>
      </c>
      <c r="M953">
        <v>2750</v>
      </c>
      <c r="N953">
        <v>0</v>
      </c>
    </row>
    <row r="954" spans="1:14" x14ac:dyDescent="0.25">
      <c r="A954">
        <v>340.047933</v>
      </c>
      <c r="B954" s="1">
        <f>DATE(2011,4,6) + TIME(1,9,1)</f>
        <v>40639.04792824074</v>
      </c>
      <c r="C954">
        <v>80</v>
      </c>
      <c r="D954">
        <v>61.313148499</v>
      </c>
      <c r="E954">
        <v>50</v>
      </c>
      <c r="F954">
        <v>49.966327667000002</v>
      </c>
      <c r="G954">
        <v>1324.1047363</v>
      </c>
      <c r="H954">
        <v>1321.135376</v>
      </c>
      <c r="I954">
        <v>1339.1534423999999</v>
      </c>
      <c r="J954">
        <v>1336.6462402</v>
      </c>
      <c r="K954">
        <v>0</v>
      </c>
      <c r="L954">
        <v>2750</v>
      </c>
      <c r="M954">
        <v>2750</v>
      </c>
      <c r="N954">
        <v>0</v>
      </c>
    </row>
    <row r="955" spans="1:14" x14ac:dyDescent="0.25">
      <c r="A955">
        <v>341.32399299999997</v>
      </c>
      <c r="B955" s="1">
        <f>DATE(2011,4,7) + TIME(7,46,33)</f>
        <v>40640.323993055557</v>
      </c>
      <c r="C955">
        <v>80</v>
      </c>
      <c r="D955">
        <v>61.136817932</v>
      </c>
      <c r="E955">
        <v>50</v>
      </c>
      <c r="F955">
        <v>49.966365814</v>
      </c>
      <c r="G955">
        <v>1324.0865478999999</v>
      </c>
      <c r="H955">
        <v>1321.1090088000001</v>
      </c>
      <c r="I955">
        <v>1339.1499022999999</v>
      </c>
      <c r="J955">
        <v>1336.644043</v>
      </c>
      <c r="K955">
        <v>0</v>
      </c>
      <c r="L955">
        <v>2750</v>
      </c>
      <c r="M955">
        <v>2750</v>
      </c>
      <c r="N955">
        <v>0</v>
      </c>
    </row>
    <row r="956" spans="1:14" x14ac:dyDescent="0.25">
      <c r="A956">
        <v>342.600053</v>
      </c>
      <c r="B956" s="1">
        <f>DATE(2011,4,8) + TIME(14,24,4)</f>
        <v>40641.600046296298</v>
      </c>
      <c r="C956">
        <v>80</v>
      </c>
      <c r="D956">
        <v>60.965438843000001</v>
      </c>
      <c r="E956">
        <v>50</v>
      </c>
      <c r="F956">
        <v>49.966403960999997</v>
      </c>
      <c r="G956">
        <v>1324.0690918</v>
      </c>
      <c r="H956">
        <v>1321.0843506000001</v>
      </c>
      <c r="I956">
        <v>1339.1463623</v>
      </c>
      <c r="J956">
        <v>1336.6417236</v>
      </c>
      <c r="K956">
        <v>0</v>
      </c>
      <c r="L956">
        <v>2750</v>
      </c>
      <c r="M956">
        <v>2750</v>
      </c>
      <c r="N956">
        <v>0</v>
      </c>
    </row>
    <row r="957" spans="1:14" x14ac:dyDescent="0.25">
      <c r="A957">
        <v>343.87611399999997</v>
      </c>
      <c r="B957" s="1">
        <f>DATE(2011,4,9) + TIME(21,1,36)</f>
        <v>40642.876111111109</v>
      </c>
      <c r="C957">
        <v>80</v>
      </c>
      <c r="D957">
        <v>60.795288085999999</v>
      </c>
      <c r="E957">
        <v>50</v>
      </c>
      <c r="F957">
        <v>49.966442108000003</v>
      </c>
      <c r="G957">
        <v>1324.052124</v>
      </c>
      <c r="H957">
        <v>1321.0604248</v>
      </c>
      <c r="I957">
        <v>1339.1428223</v>
      </c>
      <c r="J957">
        <v>1336.6395264</v>
      </c>
      <c r="K957">
        <v>0</v>
      </c>
      <c r="L957">
        <v>2750</v>
      </c>
      <c r="M957">
        <v>2750</v>
      </c>
      <c r="N957">
        <v>0</v>
      </c>
    </row>
    <row r="958" spans="1:14" x14ac:dyDescent="0.25">
      <c r="A958">
        <v>346.42823399999997</v>
      </c>
      <c r="B958" s="1">
        <f>DATE(2011,4,12) + TIME(10,16,39)</f>
        <v>40645.428229166668</v>
      </c>
      <c r="C958">
        <v>80</v>
      </c>
      <c r="D958">
        <v>60.599918365000001</v>
      </c>
      <c r="E958">
        <v>50</v>
      </c>
      <c r="F958">
        <v>49.966533661</v>
      </c>
      <c r="G958">
        <v>1324.0355225000001</v>
      </c>
      <c r="H958">
        <v>1321.0360106999999</v>
      </c>
      <c r="I958">
        <v>1339.1394043</v>
      </c>
      <c r="J958">
        <v>1336.6373291</v>
      </c>
      <c r="K958">
        <v>0</v>
      </c>
      <c r="L958">
        <v>2750</v>
      </c>
      <c r="M958">
        <v>2750</v>
      </c>
      <c r="N958">
        <v>0</v>
      </c>
    </row>
    <row r="959" spans="1:14" x14ac:dyDescent="0.25">
      <c r="A959">
        <v>348.98216500000001</v>
      </c>
      <c r="B959" s="1">
        <f>DATE(2011,4,14) + TIME(23,34,19)</f>
        <v>40647.982164351852</v>
      </c>
      <c r="C959">
        <v>80</v>
      </c>
      <c r="D959">
        <v>60.282917023000003</v>
      </c>
      <c r="E959">
        <v>50</v>
      </c>
      <c r="F959">
        <v>49.966613770000002</v>
      </c>
      <c r="G959">
        <v>1324.0069579999999</v>
      </c>
      <c r="H959">
        <v>1320.9984131000001</v>
      </c>
      <c r="I959">
        <v>1339.1324463000001</v>
      </c>
      <c r="J959">
        <v>1336.6329346</v>
      </c>
      <c r="K959">
        <v>0</v>
      </c>
      <c r="L959">
        <v>2750</v>
      </c>
      <c r="M959">
        <v>2750</v>
      </c>
      <c r="N959">
        <v>0</v>
      </c>
    </row>
    <row r="960" spans="1:14" x14ac:dyDescent="0.25">
      <c r="A960">
        <v>351.62813999999997</v>
      </c>
      <c r="B960" s="1">
        <f>DATE(2011,4,17) + TIME(15,4,31)</f>
        <v>40650.628136574072</v>
      </c>
      <c r="C960">
        <v>80</v>
      </c>
      <c r="D960">
        <v>59.945796967</v>
      </c>
      <c r="E960">
        <v>50</v>
      </c>
      <c r="F960">
        <v>49.966693878000001</v>
      </c>
      <c r="G960">
        <v>1323.9757079999999</v>
      </c>
      <c r="H960">
        <v>1320.9548339999999</v>
      </c>
      <c r="I960">
        <v>1339.1254882999999</v>
      </c>
      <c r="J960">
        <v>1336.6285399999999</v>
      </c>
      <c r="K960">
        <v>0</v>
      </c>
      <c r="L960">
        <v>2750</v>
      </c>
      <c r="M960">
        <v>2750</v>
      </c>
      <c r="N960">
        <v>0</v>
      </c>
    </row>
    <row r="961" spans="1:14" x14ac:dyDescent="0.25">
      <c r="A961">
        <v>354.33915999999999</v>
      </c>
      <c r="B961" s="1">
        <f>DATE(2011,4,20) + TIME(8,8,23)</f>
        <v>40653.339155092595</v>
      </c>
      <c r="C961">
        <v>80</v>
      </c>
      <c r="D961">
        <v>59.595890044999997</v>
      </c>
      <c r="E961">
        <v>50</v>
      </c>
      <c r="F961">
        <v>49.966777802000003</v>
      </c>
      <c r="G961">
        <v>1323.9440918</v>
      </c>
      <c r="H961">
        <v>1320.9101562000001</v>
      </c>
      <c r="I961">
        <v>1339.1185303</v>
      </c>
      <c r="J961">
        <v>1336.6240233999999</v>
      </c>
      <c r="K961">
        <v>0</v>
      </c>
      <c r="L961">
        <v>2750</v>
      </c>
      <c r="M961">
        <v>2750</v>
      </c>
      <c r="N961">
        <v>0</v>
      </c>
    </row>
    <row r="962" spans="1:14" x14ac:dyDescent="0.25">
      <c r="A962">
        <v>357.05412899999999</v>
      </c>
      <c r="B962" s="1">
        <f>DATE(2011,4,23) + TIME(1,17,56)</f>
        <v>40656.054120370369</v>
      </c>
      <c r="C962">
        <v>80</v>
      </c>
      <c r="D962">
        <v>59.238059997999997</v>
      </c>
      <c r="E962">
        <v>50</v>
      </c>
      <c r="F962">
        <v>49.966861725000001</v>
      </c>
      <c r="G962">
        <v>1323.9124756000001</v>
      </c>
      <c r="H962">
        <v>1320.8653564000001</v>
      </c>
      <c r="I962">
        <v>1339.1113281</v>
      </c>
      <c r="J962">
        <v>1336.6193848</v>
      </c>
      <c r="K962">
        <v>0</v>
      </c>
      <c r="L962">
        <v>2750</v>
      </c>
      <c r="M962">
        <v>2750</v>
      </c>
      <c r="N962">
        <v>0</v>
      </c>
    </row>
    <row r="963" spans="1:14" x14ac:dyDescent="0.25">
      <c r="A963">
        <v>359.80025599999999</v>
      </c>
      <c r="B963" s="1">
        <f>DATE(2011,4,25) + TIME(19,12,22)</f>
        <v>40658.800254629627</v>
      </c>
      <c r="C963">
        <v>80</v>
      </c>
      <c r="D963">
        <v>58.879127502000003</v>
      </c>
      <c r="E963">
        <v>50</v>
      </c>
      <c r="F963">
        <v>49.966941833</v>
      </c>
      <c r="G963">
        <v>1323.8815918</v>
      </c>
      <c r="H963">
        <v>1320.8214111</v>
      </c>
      <c r="I963">
        <v>1339.104126</v>
      </c>
      <c r="J963">
        <v>1336.6147461</v>
      </c>
      <c r="K963">
        <v>0</v>
      </c>
      <c r="L963">
        <v>2750</v>
      </c>
      <c r="M963">
        <v>2750</v>
      </c>
      <c r="N963">
        <v>0</v>
      </c>
    </row>
    <row r="964" spans="1:14" x14ac:dyDescent="0.25">
      <c r="A964">
        <v>362.60032899999999</v>
      </c>
      <c r="B964" s="1">
        <f>DATE(2011,4,28) + TIME(14,24,28)</f>
        <v>40661.600324074076</v>
      </c>
      <c r="C964">
        <v>80</v>
      </c>
      <c r="D964">
        <v>58.517086028999998</v>
      </c>
      <c r="E964">
        <v>50</v>
      </c>
      <c r="F964">
        <v>49.967029572000001</v>
      </c>
      <c r="G964">
        <v>1323.8514404</v>
      </c>
      <c r="H964">
        <v>1320.7783202999999</v>
      </c>
      <c r="I964">
        <v>1339.0970459</v>
      </c>
      <c r="J964">
        <v>1336.6101074000001</v>
      </c>
      <c r="K964">
        <v>0</v>
      </c>
      <c r="L964">
        <v>2750</v>
      </c>
      <c r="M964">
        <v>2750</v>
      </c>
      <c r="N964">
        <v>0</v>
      </c>
    </row>
    <row r="965" spans="1:14" x14ac:dyDescent="0.25">
      <c r="A965">
        <v>365</v>
      </c>
      <c r="B965" s="1">
        <f>DATE(2011,5,1) + TIME(0,0,0)</f>
        <v>40664</v>
      </c>
      <c r="C965">
        <v>80</v>
      </c>
      <c r="D965">
        <v>58.159488678000002</v>
      </c>
      <c r="E965">
        <v>50</v>
      </c>
      <c r="F965">
        <v>49.967098235999998</v>
      </c>
      <c r="G965">
        <v>1323.8218993999999</v>
      </c>
      <c r="H965">
        <v>1320.7364502</v>
      </c>
      <c r="I965">
        <v>1339.0898437999999</v>
      </c>
      <c r="J965">
        <v>1336.6053466999999</v>
      </c>
      <c r="K965">
        <v>0</v>
      </c>
      <c r="L965">
        <v>2750</v>
      </c>
      <c r="M965">
        <v>2750</v>
      </c>
      <c r="N965">
        <v>0</v>
      </c>
    </row>
    <row r="966" spans="1:14" x14ac:dyDescent="0.25">
      <c r="A966">
        <v>365.000001</v>
      </c>
      <c r="B966" s="1">
        <f>DATE(2011,5,1) + TIME(0,0,0)</f>
        <v>40664</v>
      </c>
      <c r="C966">
        <v>80</v>
      </c>
      <c r="D966">
        <v>58.159683227999999</v>
      </c>
      <c r="E966">
        <v>50</v>
      </c>
      <c r="F966">
        <v>49.967002868999998</v>
      </c>
      <c r="G966">
        <v>1327.9094238</v>
      </c>
      <c r="H966">
        <v>1324.9573975000001</v>
      </c>
      <c r="I966">
        <v>1335.8552245999999</v>
      </c>
      <c r="J966">
        <v>1333.9451904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365.00000399999999</v>
      </c>
      <c r="B967" s="1">
        <f>DATE(2011,5,1) + TIME(0,0,0)</f>
        <v>40664</v>
      </c>
      <c r="C967">
        <v>80</v>
      </c>
      <c r="D967">
        <v>58.160026549999998</v>
      </c>
      <c r="E967">
        <v>50</v>
      </c>
      <c r="F967">
        <v>49.966854095000002</v>
      </c>
      <c r="G967">
        <v>1329.3702393000001</v>
      </c>
      <c r="H967">
        <v>1326.5848389</v>
      </c>
      <c r="I967">
        <v>1334.6832274999999</v>
      </c>
      <c r="J967">
        <v>1332.7734375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365.00001300000002</v>
      </c>
      <c r="B968" s="1">
        <f>DATE(2011,5,1) + TIME(0,0,1)</f>
        <v>40664.000011574077</v>
      </c>
      <c r="C968">
        <v>80</v>
      </c>
      <c r="D968">
        <v>58.160655974999997</v>
      </c>
      <c r="E968">
        <v>50</v>
      </c>
      <c r="F968">
        <v>49.966686248999999</v>
      </c>
      <c r="G968">
        <v>1331.190918</v>
      </c>
      <c r="H968">
        <v>1328.3791504000001</v>
      </c>
      <c r="I968">
        <v>1333.3544922000001</v>
      </c>
      <c r="J968">
        <v>1331.4454346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365.00004000000001</v>
      </c>
      <c r="B969" s="1">
        <f>DATE(2011,5,1) + TIME(0,0,3)</f>
        <v>40664.000034722223</v>
      </c>
      <c r="C969">
        <v>80</v>
      </c>
      <c r="D969">
        <v>58.162109375</v>
      </c>
      <c r="E969">
        <v>50</v>
      </c>
      <c r="F969">
        <v>49.966518401999998</v>
      </c>
      <c r="G969">
        <v>1333.0606689000001</v>
      </c>
      <c r="H969">
        <v>1330.1668701000001</v>
      </c>
      <c r="I969">
        <v>1332.0528564000001</v>
      </c>
      <c r="J969">
        <v>1330.1445312000001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365.00012099999998</v>
      </c>
      <c r="B970" s="1">
        <f>DATE(2011,5,1) + TIME(0,0,10)</f>
        <v>40664.000115740739</v>
      </c>
      <c r="C970">
        <v>80</v>
      </c>
      <c r="D970">
        <v>58.166095734000002</v>
      </c>
      <c r="E970">
        <v>50</v>
      </c>
      <c r="F970">
        <v>49.966342926000003</v>
      </c>
      <c r="G970">
        <v>1334.8981934000001</v>
      </c>
      <c r="H970">
        <v>1331.9257812000001</v>
      </c>
      <c r="I970">
        <v>1330.7720947</v>
      </c>
      <c r="J970">
        <v>1328.8586425999999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365.00036399999999</v>
      </c>
      <c r="B971" s="1">
        <f>DATE(2011,5,1) + TIME(0,0,31)</f>
        <v>40664.000358796293</v>
      </c>
      <c r="C971">
        <v>80</v>
      </c>
      <c r="D971">
        <v>58.177886962999999</v>
      </c>
      <c r="E971">
        <v>50</v>
      </c>
      <c r="F971">
        <v>49.966136931999998</v>
      </c>
      <c r="G971">
        <v>1336.7111815999999</v>
      </c>
      <c r="H971">
        <v>1333.6607666</v>
      </c>
      <c r="I971">
        <v>1329.4573975000001</v>
      </c>
      <c r="J971">
        <v>1327.5207519999999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365.00109300000003</v>
      </c>
      <c r="B972" s="1">
        <f>DATE(2011,5,1) + TIME(0,1,34)</f>
        <v>40664.001087962963</v>
      </c>
      <c r="C972">
        <v>80</v>
      </c>
      <c r="D972">
        <v>58.213550568000002</v>
      </c>
      <c r="E972">
        <v>50</v>
      </c>
      <c r="F972">
        <v>49.965843200999998</v>
      </c>
      <c r="G972">
        <v>1338.3919678</v>
      </c>
      <c r="H972">
        <v>1335.270874</v>
      </c>
      <c r="I972">
        <v>1328.1123047000001</v>
      </c>
      <c r="J972">
        <v>1326.140625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365.00328000000002</v>
      </c>
      <c r="B973" s="1">
        <f>DATE(2011,5,1) + TIME(0,4,43)</f>
        <v>40664.003275462965</v>
      </c>
      <c r="C973">
        <v>80</v>
      </c>
      <c r="D973">
        <v>58.321140288999999</v>
      </c>
      <c r="E973">
        <v>50</v>
      </c>
      <c r="F973">
        <v>49.965324402</v>
      </c>
      <c r="G973">
        <v>1339.6613769999999</v>
      </c>
      <c r="H973">
        <v>1336.4986572</v>
      </c>
      <c r="I973">
        <v>1326.9652100000001</v>
      </c>
      <c r="J973">
        <v>1324.9702147999999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365.00984099999999</v>
      </c>
      <c r="B974" s="1">
        <f>DATE(2011,5,1) + TIME(0,14,10)</f>
        <v>40664.009837962964</v>
      </c>
      <c r="C974">
        <v>80</v>
      </c>
      <c r="D974">
        <v>58.640285491999997</v>
      </c>
      <c r="E974">
        <v>50</v>
      </c>
      <c r="F974">
        <v>49.964122772000003</v>
      </c>
      <c r="G974">
        <v>1340.3242187999999</v>
      </c>
      <c r="H974">
        <v>1337.161499</v>
      </c>
      <c r="I974">
        <v>1326.3321533000001</v>
      </c>
      <c r="J974">
        <v>1324.3286132999999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365.02507800000001</v>
      </c>
      <c r="B975" s="1">
        <f>DATE(2011,5,1) + TIME(0,36,6)</f>
        <v>40664.025069444448</v>
      </c>
      <c r="C975">
        <v>80</v>
      </c>
      <c r="D975">
        <v>59.356273651000002</v>
      </c>
      <c r="E975">
        <v>50</v>
      </c>
      <c r="F975">
        <v>49.961532593000001</v>
      </c>
      <c r="G975">
        <v>1340.4769286999999</v>
      </c>
      <c r="H975">
        <v>1337.3487548999999</v>
      </c>
      <c r="I975">
        <v>1326.1779785000001</v>
      </c>
      <c r="J975">
        <v>1324.1727295000001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365.040595</v>
      </c>
      <c r="B976" s="1">
        <f>DATE(2011,5,1) + TIME(0,58,27)</f>
        <v>40664.040590277778</v>
      </c>
      <c r="C976">
        <v>80</v>
      </c>
      <c r="D976">
        <v>60.062835692999997</v>
      </c>
      <c r="E976">
        <v>50</v>
      </c>
      <c r="F976">
        <v>49.958930969000001</v>
      </c>
      <c r="G976">
        <v>1340.4864502</v>
      </c>
      <c r="H976">
        <v>1337.3812256000001</v>
      </c>
      <c r="I976">
        <v>1326.1646728999999</v>
      </c>
      <c r="J976">
        <v>1324.1591797000001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365.05640599999998</v>
      </c>
      <c r="B977" s="1">
        <f>DATE(2011,5,1) + TIME(1,21,13)</f>
        <v>40664.056400462963</v>
      </c>
      <c r="C977">
        <v>80</v>
      </c>
      <c r="D977">
        <v>60.759620667</v>
      </c>
      <c r="E977">
        <v>50</v>
      </c>
      <c r="F977">
        <v>49.956295013000002</v>
      </c>
      <c r="G977">
        <v>1340.4700928</v>
      </c>
      <c r="H977">
        <v>1337.3865966999999</v>
      </c>
      <c r="I977">
        <v>1326.1651611</v>
      </c>
      <c r="J977">
        <v>1324.1595459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365.07252399999999</v>
      </c>
      <c r="B978" s="1">
        <f>DATE(2011,5,1) + TIME(1,44,26)</f>
        <v>40664.072523148148</v>
      </c>
      <c r="C978">
        <v>80</v>
      </c>
      <c r="D978">
        <v>61.447120667</v>
      </c>
      <c r="E978">
        <v>50</v>
      </c>
      <c r="F978">
        <v>49.953624724999997</v>
      </c>
      <c r="G978">
        <v>1340.4512939000001</v>
      </c>
      <c r="H978">
        <v>1337.3880615</v>
      </c>
      <c r="I978">
        <v>1326.1660156</v>
      </c>
      <c r="J978">
        <v>1324.1602783000001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365.08896299999998</v>
      </c>
      <c r="B979" s="1">
        <f>DATE(2011,5,1) + TIME(2,8,6)</f>
        <v>40664.088958333334</v>
      </c>
      <c r="C979">
        <v>80</v>
      </c>
      <c r="D979">
        <v>62.125350951999998</v>
      </c>
      <c r="E979">
        <v>50</v>
      </c>
      <c r="F979">
        <v>49.950923920000001</v>
      </c>
      <c r="G979">
        <v>1340.4345702999999</v>
      </c>
      <c r="H979">
        <v>1337.3898925999999</v>
      </c>
      <c r="I979">
        <v>1326.1663818</v>
      </c>
      <c r="J979">
        <v>1324.1606445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365.10573699999998</v>
      </c>
      <c r="B980" s="1">
        <f>DATE(2011,5,1) + TIME(2,32,15)</f>
        <v>40664.105729166666</v>
      </c>
      <c r="C980">
        <v>80</v>
      </c>
      <c r="D980">
        <v>62.794296265</v>
      </c>
      <c r="E980">
        <v>50</v>
      </c>
      <c r="F980">
        <v>49.948181151999997</v>
      </c>
      <c r="G980">
        <v>1340.4205322</v>
      </c>
      <c r="H980">
        <v>1337.3930664</v>
      </c>
      <c r="I980">
        <v>1326.166626</v>
      </c>
      <c r="J980">
        <v>1324.1608887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365.12286</v>
      </c>
      <c r="B981" s="1">
        <f>DATE(2011,5,1) + TIME(2,56,55)</f>
        <v>40664.122858796298</v>
      </c>
      <c r="C981">
        <v>80</v>
      </c>
      <c r="D981">
        <v>63.453918457</v>
      </c>
      <c r="E981">
        <v>50</v>
      </c>
      <c r="F981">
        <v>49.945400237999998</v>
      </c>
      <c r="G981">
        <v>1340.4094238</v>
      </c>
      <c r="H981">
        <v>1337.3975829999999</v>
      </c>
      <c r="I981">
        <v>1326.1667480000001</v>
      </c>
      <c r="J981">
        <v>1324.1608887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365.14034900000001</v>
      </c>
      <c r="B982" s="1">
        <f>DATE(2011,5,1) + TIME(3,22,6)</f>
        <v>40664.140347222223</v>
      </c>
      <c r="C982">
        <v>80</v>
      </c>
      <c r="D982">
        <v>64.104156493999994</v>
      </c>
      <c r="E982">
        <v>50</v>
      </c>
      <c r="F982">
        <v>49.942581177000001</v>
      </c>
      <c r="G982">
        <v>1340.4011230000001</v>
      </c>
      <c r="H982">
        <v>1337.4036865</v>
      </c>
      <c r="I982">
        <v>1326.1668701000001</v>
      </c>
      <c r="J982">
        <v>1324.1610106999999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365.15821699999998</v>
      </c>
      <c r="B983" s="1">
        <f>DATE(2011,5,1) + TIME(3,47,49)</f>
        <v>40664.158206018517</v>
      </c>
      <c r="C983">
        <v>80</v>
      </c>
      <c r="D983">
        <v>64.744842528999996</v>
      </c>
      <c r="E983">
        <v>50</v>
      </c>
      <c r="F983">
        <v>49.939716339</v>
      </c>
      <c r="G983">
        <v>1340.3955077999999</v>
      </c>
      <c r="H983">
        <v>1337.4111327999999</v>
      </c>
      <c r="I983">
        <v>1326.1669922000001</v>
      </c>
      <c r="J983">
        <v>1324.1610106999999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365.17648400000002</v>
      </c>
      <c r="B984" s="1">
        <f>DATE(2011,5,1) + TIME(4,14,8)</f>
        <v>40664.176481481481</v>
      </c>
      <c r="C984">
        <v>80</v>
      </c>
      <c r="D984">
        <v>65.375984192000004</v>
      </c>
      <c r="E984">
        <v>50</v>
      </c>
      <c r="F984">
        <v>49.936809539999999</v>
      </c>
      <c r="G984">
        <v>1340.3927002</v>
      </c>
      <c r="H984">
        <v>1337.4199219</v>
      </c>
      <c r="I984">
        <v>1326.1671143000001</v>
      </c>
      <c r="J984">
        <v>1324.1611327999999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365.19517000000002</v>
      </c>
      <c r="B985" s="1">
        <f>DATE(2011,5,1) + TIME(4,41,2)</f>
        <v>40664.195162037038</v>
      </c>
      <c r="C985">
        <v>80</v>
      </c>
      <c r="D985">
        <v>65.997497558999996</v>
      </c>
      <c r="E985">
        <v>50</v>
      </c>
      <c r="F985">
        <v>49.933856964</v>
      </c>
      <c r="G985">
        <v>1340.3923339999999</v>
      </c>
      <c r="H985">
        <v>1337.4300536999999</v>
      </c>
      <c r="I985">
        <v>1326.1672363</v>
      </c>
      <c r="J985">
        <v>1324.1611327999999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365.21424100000002</v>
      </c>
      <c r="B986" s="1">
        <f>DATE(2011,5,1) + TIME(5,8,30)</f>
        <v>40664.214236111111</v>
      </c>
      <c r="C986">
        <v>80</v>
      </c>
      <c r="D986">
        <v>66.607498168999996</v>
      </c>
      <c r="E986">
        <v>50</v>
      </c>
      <c r="F986">
        <v>49.930866240999997</v>
      </c>
      <c r="G986">
        <v>1340.3946533000001</v>
      </c>
      <c r="H986">
        <v>1337.4415283000001</v>
      </c>
      <c r="I986">
        <v>1326.1673584</v>
      </c>
      <c r="J986">
        <v>1324.1611327999999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365.23370699999998</v>
      </c>
      <c r="B987" s="1">
        <f>DATE(2011,5,1) + TIME(5,36,32)</f>
        <v>40664.233703703707</v>
      </c>
      <c r="C987">
        <v>80</v>
      </c>
      <c r="D987">
        <v>67.205650329999997</v>
      </c>
      <c r="E987">
        <v>50</v>
      </c>
      <c r="F987">
        <v>49.927829742</v>
      </c>
      <c r="G987">
        <v>1340.3992920000001</v>
      </c>
      <c r="H987">
        <v>1337.4543457</v>
      </c>
      <c r="I987">
        <v>1326.1673584</v>
      </c>
      <c r="J987">
        <v>1324.1611327999999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365.25358499999999</v>
      </c>
      <c r="B988" s="1">
        <f>DATE(2011,5,1) + TIME(6,5,9)</f>
        <v>40664.253576388888</v>
      </c>
      <c r="C988">
        <v>80</v>
      </c>
      <c r="D988">
        <v>67.791847228999998</v>
      </c>
      <c r="E988">
        <v>50</v>
      </c>
      <c r="F988">
        <v>49.924755095999998</v>
      </c>
      <c r="G988">
        <v>1340.40625</v>
      </c>
      <c r="H988">
        <v>1337.4681396000001</v>
      </c>
      <c r="I988">
        <v>1326.1674805</v>
      </c>
      <c r="J988">
        <v>1324.1611327999999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365.27389499999998</v>
      </c>
      <c r="B989" s="1">
        <f>DATE(2011,5,1) + TIME(6,34,24)</f>
        <v>40664.273888888885</v>
      </c>
      <c r="C989">
        <v>80</v>
      </c>
      <c r="D989">
        <v>68.365982056000007</v>
      </c>
      <c r="E989">
        <v>50</v>
      </c>
      <c r="F989">
        <v>49.921630858999997</v>
      </c>
      <c r="G989">
        <v>1340.4154053</v>
      </c>
      <c r="H989">
        <v>1337.4831543</v>
      </c>
      <c r="I989">
        <v>1326.1674805</v>
      </c>
      <c r="J989">
        <v>1324.1610106999999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365.29465800000003</v>
      </c>
      <c r="B990" s="1">
        <f>DATE(2011,5,1) + TIME(7,4,18)</f>
        <v>40664.294652777775</v>
      </c>
      <c r="C990">
        <v>80</v>
      </c>
      <c r="D990">
        <v>68.927902222</v>
      </c>
      <c r="E990">
        <v>50</v>
      </c>
      <c r="F990">
        <v>49.918460846000002</v>
      </c>
      <c r="G990">
        <v>1340.4265137</v>
      </c>
      <c r="H990">
        <v>1337.4991454999999</v>
      </c>
      <c r="I990">
        <v>1326.1674805</v>
      </c>
      <c r="J990">
        <v>1324.1610106999999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365.31589500000001</v>
      </c>
      <c r="B991" s="1">
        <f>DATE(2011,5,1) + TIME(7,34,53)</f>
        <v>40664.315891203703</v>
      </c>
      <c r="C991">
        <v>80</v>
      </c>
      <c r="D991">
        <v>69.477439880000006</v>
      </c>
      <c r="E991">
        <v>50</v>
      </c>
      <c r="F991">
        <v>49.915245056000003</v>
      </c>
      <c r="G991">
        <v>1340.4395752</v>
      </c>
      <c r="H991">
        <v>1337.5162353999999</v>
      </c>
      <c r="I991">
        <v>1326.1676024999999</v>
      </c>
      <c r="J991">
        <v>1324.1608887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365.337626</v>
      </c>
      <c r="B992" s="1">
        <f>DATE(2011,5,1) + TIME(8,6,10)</f>
        <v>40664.33761574074</v>
      </c>
      <c r="C992">
        <v>80</v>
      </c>
      <c r="D992">
        <v>70.014335631999998</v>
      </c>
      <c r="E992">
        <v>50</v>
      </c>
      <c r="F992">
        <v>49.911972046000002</v>
      </c>
      <c r="G992">
        <v>1340.4545897999999</v>
      </c>
      <c r="H992">
        <v>1337.5341797000001</v>
      </c>
      <c r="I992">
        <v>1326.1676024999999</v>
      </c>
      <c r="J992">
        <v>1324.1608887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365.35987899999998</v>
      </c>
      <c r="B993" s="1">
        <f>DATE(2011,5,1) + TIME(8,38,13)</f>
        <v>40664.359872685185</v>
      </c>
      <c r="C993">
        <v>80</v>
      </c>
      <c r="D993">
        <v>70.538162231000001</v>
      </c>
      <c r="E993">
        <v>50</v>
      </c>
      <c r="F993">
        <v>49.908649445000002</v>
      </c>
      <c r="G993">
        <v>1340.4711914</v>
      </c>
      <c r="H993">
        <v>1337.5529785000001</v>
      </c>
      <c r="I993">
        <v>1326.1676024999999</v>
      </c>
      <c r="J993">
        <v>1324.1607666</v>
      </c>
      <c r="K993">
        <v>2750</v>
      </c>
      <c r="L993">
        <v>0</v>
      </c>
      <c r="M993">
        <v>0</v>
      </c>
      <c r="N993">
        <v>2750</v>
      </c>
    </row>
    <row r="994" spans="1:14" x14ac:dyDescent="0.25">
      <c r="A994">
        <v>365.38268099999999</v>
      </c>
      <c r="B994" s="1">
        <f>DATE(2011,5,1) + TIME(9,11,3)</f>
        <v>40664.382673611108</v>
      </c>
      <c r="C994">
        <v>80</v>
      </c>
      <c r="D994">
        <v>71.049079895000006</v>
      </c>
      <c r="E994">
        <v>50</v>
      </c>
      <c r="F994">
        <v>49.905265808000003</v>
      </c>
      <c r="G994">
        <v>1340.4895019999999</v>
      </c>
      <c r="H994">
        <v>1337.5725098</v>
      </c>
      <c r="I994">
        <v>1326.1676024999999</v>
      </c>
      <c r="J994">
        <v>1324.1606445</v>
      </c>
      <c r="K994">
        <v>2750</v>
      </c>
      <c r="L994">
        <v>0</v>
      </c>
      <c r="M994">
        <v>0</v>
      </c>
      <c r="N994">
        <v>2750</v>
      </c>
    </row>
    <row r="995" spans="1:14" x14ac:dyDescent="0.25">
      <c r="A995">
        <v>365.40606300000002</v>
      </c>
      <c r="B995" s="1">
        <f>DATE(2011,5,1) + TIME(9,44,43)</f>
        <v>40664.406053240738</v>
      </c>
      <c r="C995">
        <v>80</v>
      </c>
      <c r="D995">
        <v>71.546913146999998</v>
      </c>
      <c r="E995">
        <v>50</v>
      </c>
      <c r="F995">
        <v>49.901824951000002</v>
      </c>
      <c r="G995">
        <v>1340.5093993999999</v>
      </c>
      <c r="H995">
        <v>1337.5928954999999</v>
      </c>
      <c r="I995">
        <v>1326.1676024999999</v>
      </c>
      <c r="J995">
        <v>1324.1605225000001</v>
      </c>
      <c r="K995">
        <v>2750</v>
      </c>
      <c r="L995">
        <v>0</v>
      </c>
      <c r="M995">
        <v>0</v>
      </c>
      <c r="N995">
        <v>2750</v>
      </c>
    </row>
    <row r="996" spans="1:14" x14ac:dyDescent="0.25">
      <c r="A996">
        <v>365.43005299999999</v>
      </c>
      <c r="B996" s="1">
        <f>DATE(2011,5,1) + TIME(10,19,16)</f>
        <v>40664.430046296293</v>
      </c>
      <c r="C996">
        <v>80</v>
      </c>
      <c r="D996">
        <v>72.031448363999999</v>
      </c>
      <c r="E996">
        <v>50</v>
      </c>
      <c r="F996">
        <v>49.898319244</v>
      </c>
      <c r="G996">
        <v>1340.5307617000001</v>
      </c>
      <c r="H996">
        <v>1337.6140137</v>
      </c>
      <c r="I996">
        <v>1326.1674805</v>
      </c>
      <c r="J996">
        <v>1324.1604004000001</v>
      </c>
      <c r="K996">
        <v>2750</v>
      </c>
      <c r="L996">
        <v>0</v>
      </c>
      <c r="M996">
        <v>0</v>
      </c>
      <c r="N996">
        <v>2750</v>
      </c>
    </row>
    <row r="997" spans="1:14" x14ac:dyDescent="0.25">
      <c r="A997">
        <v>365.45468699999998</v>
      </c>
      <c r="B997" s="1">
        <f>DATE(2011,5,1) + TIME(10,54,44)</f>
        <v>40664.454675925925</v>
      </c>
      <c r="C997">
        <v>80</v>
      </c>
      <c r="D997">
        <v>72.502494811999995</v>
      </c>
      <c r="E997">
        <v>50</v>
      </c>
      <c r="F997">
        <v>49.894744873</v>
      </c>
      <c r="G997">
        <v>1340.5534668</v>
      </c>
      <c r="H997">
        <v>1337.6357422000001</v>
      </c>
      <c r="I997">
        <v>1326.1674805</v>
      </c>
      <c r="J997">
        <v>1324.1602783000001</v>
      </c>
      <c r="K997">
        <v>2750</v>
      </c>
      <c r="L997">
        <v>0</v>
      </c>
      <c r="M997">
        <v>0</v>
      </c>
      <c r="N997">
        <v>2750</v>
      </c>
    </row>
    <row r="998" spans="1:14" x14ac:dyDescent="0.25">
      <c r="A998">
        <v>365.48</v>
      </c>
      <c r="B998" s="1">
        <f>DATE(2011,5,1) + TIME(11,31,11)</f>
        <v>40664.479988425926</v>
      </c>
      <c r="C998">
        <v>80</v>
      </c>
      <c r="D998">
        <v>72.959838867000002</v>
      </c>
      <c r="E998">
        <v>50</v>
      </c>
      <c r="F998">
        <v>49.891101837000001</v>
      </c>
      <c r="G998">
        <v>1340.5775146000001</v>
      </c>
      <c r="H998">
        <v>1337.6580810999999</v>
      </c>
      <c r="I998">
        <v>1326.1674805</v>
      </c>
      <c r="J998">
        <v>1324.1601562000001</v>
      </c>
      <c r="K998">
        <v>2750</v>
      </c>
      <c r="L998">
        <v>0</v>
      </c>
      <c r="M998">
        <v>0</v>
      </c>
      <c r="N998">
        <v>2750</v>
      </c>
    </row>
    <row r="999" spans="1:14" x14ac:dyDescent="0.25">
      <c r="A999">
        <v>365.50603100000001</v>
      </c>
      <c r="B999" s="1">
        <f>DATE(2011,5,1) + TIME(12,8,41)</f>
        <v>40664.506030092591</v>
      </c>
      <c r="C999">
        <v>80</v>
      </c>
      <c r="D999">
        <v>73.403282165999997</v>
      </c>
      <c r="E999">
        <v>50</v>
      </c>
      <c r="F999">
        <v>49.887382506999998</v>
      </c>
      <c r="G999">
        <v>1340.6027832</v>
      </c>
      <c r="H999">
        <v>1337.6810303</v>
      </c>
      <c r="I999">
        <v>1326.1673584</v>
      </c>
      <c r="J999">
        <v>1324.1600341999999</v>
      </c>
      <c r="K999">
        <v>2750</v>
      </c>
      <c r="L999">
        <v>0</v>
      </c>
      <c r="M999">
        <v>0</v>
      </c>
      <c r="N999">
        <v>2750</v>
      </c>
    </row>
    <row r="1000" spans="1:14" x14ac:dyDescent="0.25">
      <c r="A1000">
        <v>365.53282400000001</v>
      </c>
      <c r="B1000" s="1">
        <f>DATE(2011,5,1) + TIME(12,47,15)</f>
        <v>40664.532812500001</v>
      </c>
      <c r="C1000">
        <v>80</v>
      </c>
      <c r="D1000">
        <v>73.832626343000001</v>
      </c>
      <c r="E1000">
        <v>50</v>
      </c>
      <c r="F1000">
        <v>49.883583068999997</v>
      </c>
      <c r="G1000">
        <v>1340.6291504000001</v>
      </c>
      <c r="H1000">
        <v>1337.7043457</v>
      </c>
      <c r="I1000">
        <v>1326.1673584</v>
      </c>
      <c r="J1000">
        <v>1324.1597899999999</v>
      </c>
      <c r="K1000">
        <v>2750</v>
      </c>
      <c r="L1000">
        <v>0</v>
      </c>
      <c r="M1000">
        <v>0</v>
      </c>
      <c r="N1000">
        <v>2750</v>
      </c>
    </row>
    <row r="1001" spans="1:14" x14ac:dyDescent="0.25">
      <c r="A1001">
        <v>365.56042500000001</v>
      </c>
      <c r="B1001" s="1">
        <f>DATE(2011,5,1) + TIME(13,27,0)</f>
        <v>40664.560416666667</v>
      </c>
      <c r="C1001">
        <v>80</v>
      </c>
      <c r="D1001">
        <v>74.247673035000005</v>
      </c>
      <c r="E1001">
        <v>50</v>
      </c>
      <c r="F1001">
        <v>49.879699707</v>
      </c>
      <c r="G1001">
        <v>1340.6564940999999</v>
      </c>
      <c r="H1001">
        <v>1337.7282714999999</v>
      </c>
      <c r="I1001">
        <v>1326.1672363</v>
      </c>
      <c r="J1001">
        <v>1324.159668</v>
      </c>
      <c r="K1001">
        <v>2750</v>
      </c>
      <c r="L1001">
        <v>0</v>
      </c>
      <c r="M1001">
        <v>0</v>
      </c>
      <c r="N1001">
        <v>2750</v>
      </c>
    </row>
    <row r="1002" spans="1:14" x14ac:dyDescent="0.25">
      <c r="A1002">
        <v>365.58889699999997</v>
      </c>
      <c r="B1002" s="1">
        <f>DATE(2011,5,1) + TIME(14,8,0)</f>
        <v>40664.588888888888</v>
      </c>
      <c r="C1002">
        <v>80</v>
      </c>
      <c r="D1002">
        <v>74.648406981999997</v>
      </c>
      <c r="E1002">
        <v>50</v>
      </c>
      <c r="F1002">
        <v>49.875728606999999</v>
      </c>
      <c r="G1002">
        <v>1340.6849365</v>
      </c>
      <c r="H1002">
        <v>1337.7525635</v>
      </c>
      <c r="I1002">
        <v>1326.1671143000001</v>
      </c>
      <c r="J1002">
        <v>1324.1594238</v>
      </c>
      <c r="K1002">
        <v>2750</v>
      </c>
      <c r="L1002">
        <v>0</v>
      </c>
      <c r="M1002">
        <v>0</v>
      </c>
      <c r="N1002">
        <v>2750</v>
      </c>
    </row>
    <row r="1003" spans="1:14" x14ac:dyDescent="0.25">
      <c r="A1003">
        <v>365.61828600000001</v>
      </c>
      <c r="B1003" s="1">
        <f>DATE(2011,5,1) + TIME(14,50,19)</f>
        <v>40664.618275462963</v>
      </c>
      <c r="C1003">
        <v>80</v>
      </c>
      <c r="D1003">
        <v>75.034469603999995</v>
      </c>
      <c r="E1003">
        <v>50</v>
      </c>
      <c r="F1003">
        <v>49.871658324999999</v>
      </c>
      <c r="G1003">
        <v>1340.7141113</v>
      </c>
      <c r="H1003">
        <v>1337.7770995999999</v>
      </c>
      <c r="I1003">
        <v>1326.1671143000001</v>
      </c>
      <c r="J1003">
        <v>1324.1593018000001</v>
      </c>
      <c r="K1003">
        <v>2750</v>
      </c>
      <c r="L1003">
        <v>0</v>
      </c>
      <c r="M1003">
        <v>0</v>
      </c>
      <c r="N1003">
        <v>2750</v>
      </c>
    </row>
    <row r="1004" spans="1:14" x14ac:dyDescent="0.25">
      <c r="A1004">
        <v>365.64865300000002</v>
      </c>
      <c r="B1004" s="1">
        <f>DATE(2011,5,1) + TIME(15,34,3)</f>
        <v>40664.648645833331</v>
      </c>
      <c r="C1004">
        <v>80</v>
      </c>
      <c r="D1004">
        <v>75.405448914000004</v>
      </c>
      <c r="E1004">
        <v>50</v>
      </c>
      <c r="F1004">
        <v>49.867488860999998</v>
      </c>
      <c r="G1004">
        <v>1340.7442627</v>
      </c>
      <c r="H1004">
        <v>1337.802124</v>
      </c>
      <c r="I1004">
        <v>1326.1669922000001</v>
      </c>
      <c r="J1004">
        <v>1324.1590576000001</v>
      </c>
      <c r="K1004">
        <v>2750</v>
      </c>
      <c r="L1004">
        <v>0</v>
      </c>
      <c r="M1004">
        <v>0</v>
      </c>
      <c r="N1004">
        <v>2750</v>
      </c>
    </row>
    <row r="1005" spans="1:14" x14ac:dyDescent="0.25">
      <c r="A1005">
        <v>365.68006600000001</v>
      </c>
      <c r="B1005" s="1">
        <f>DATE(2011,5,1) + TIME(16,19,17)</f>
        <v>40664.68005787037</v>
      </c>
      <c r="C1005">
        <v>80</v>
      </c>
      <c r="D1005">
        <v>75.761444092000005</v>
      </c>
      <c r="E1005">
        <v>50</v>
      </c>
      <c r="F1005">
        <v>49.863208770999996</v>
      </c>
      <c r="G1005">
        <v>1340.7750243999999</v>
      </c>
      <c r="H1005">
        <v>1337.8272704999999</v>
      </c>
      <c r="I1005">
        <v>1326.1668701000001</v>
      </c>
      <c r="J1005">
        <v>1324.1588135</v>
      </c>
      <c r="K1005">
        <v>2750</v>
      </c>
      <c r="L1005">
        <v>0</v>
      </c>
      <c r="M1005">
        <v>0</v>
      </c>
      <c r="N1005">
        <v>2750</v>
      </c>
    </row>
    <row r="1006" spans="1:14" x14ac:dyDescent="0.25">
      <c r="A1006">
        <v>365.71260000000001</v>
      </c>
      <c r="B1006" s="1">
        <f>DATE(2011,5,1) + TIME(17,6,8)</f>
        <v>40664.712592592594</v>
      </c>
      <c r="C1006">
        <v>80</v>
      </c>
      <c r="D1006">
        <v>76.102325438999998</v>
      </c>
      <c r="E1006">
        <v>50</v>
      </c>
      <c r="F1006">
        <v>49.858814240000001</v>
      </c>
      <c r="G1006">
        <v>1340.8063964999999</v>
      </c>
      <c r="H1006">
        <v>1337.8526611</v>
      </c>
      <c r="I1006">
        <v>1326.1667480000001</v>
      </c>
      <c r="J1006">
        <v>1324.1585693</v>
      </c>
      <c r="K1006">
        <v>2750</v>
      </c>
      <c r="L1006">
        <v>0</v>
      </c>
      <c r="M1006">
        <v>0</v>
      </c>
      <c r="N1006">
        <v>2750</v>
      </c>
    </row>
    <row r="1007" spans="1:14" x14ac:dyDescent="0.25">
      <c r="A1007">
        <v>365.74633899999998</v>
      </c>
      <c r="B1007" s="1">
        <f>DATE(2011,5,1) + TIME(17,54,43)</f>
        <v>40664.746331018519</v>
      </c>
      <c r="C1007">
        <v>80</v>
      </c>
      <c r="D1007">
        <v>76.427986145000006</v>
      </c>
      <c r="E1007">
        <v>50</v>
      </c>
      <c r="F1007">
        <v>49.854297637999998</v>
      </c>
      <c r="G1007">
        <v>1340.8383789</v>
      </c>
      <c r="H1007">
        <v>1337.8781738</v>
      </c>
      <c r="I1007">
        <v>1326.166626</v>
      </c>
      <c r="J1007">
        <v>1324.1583252</v>
      </c>
      <c r="K1007">
        <v>2750</v>
      </c>
      <c r="L1007">
        <v>0</v>
      </c>
      <c r="M1007">
        <v>0</v>
      </c>
      <c r="N1007">
        <v>2750</v>
      </c>
    </row>
    <row r="1008" spans="1:14" x14ac:dyDescent="0.25">
      <c r="A1008">
        <v>365.78129000000001</v>
      </c>
      <c r="B1008" s="1">
        <f>DATE(2011,5,1) + TIME(18,45,3)</f>
        <v>40664.781284722223</v>
      </c>
      <c r="C1008">
        <v>80</v>
      </c>
      <c r="D1008">
        <v>76.737648010000001</v>
      </c>
      <c r="E1008">
        <v>50</v>
      </c>
      <c r="F1008">
        <v>49.849655151</v>
      </c>
      <c r="G1008">
        <v>1340.8708495999999</v>
      </c>
      <c r="H1008">
        <v>1337.9038086</v>
      </c>
      <c r="I1008">
        <v>1326.1665039</v>
      </c>
      <c r="J1008">
        <v>1324.1580810999999</v>
      </c>
      <c r="K1008">
        <v>2750</v>
      </c>
      <c r="L1008">
        <v>0</v>
      </c>
      <c r="M1008">
        <v>0</v>
      </c>
      <c r="N1008">
        <v>2750</v>
      </c>
    </row>
    <row r="1009" spans="1:14" x14ac:dyDescent="0.25">
      <c r="A1009">
        <v>365.81751700000001</v>
      </c>
      <c r="B1009" s="1">
        <f>DATE(2011,5,1) + TIME(19,37,13)</f>
        <v>40664.817511574074</v>
      </c>
      <c r="C1009">
        <v>80</v>
      </c>
      <c r="D1009">
        <v>77.031127929999997</v>
      </c>
      <c r="E1009">
        <v>50</v>
      </c>
      <c r="F1009">
        <v>49.844886780000003</v>
      </c>
      <c r="G1009">
        <v>1340.9036865</v>
      </c>
      <c r="H1009">
        <v>1337.9295654</v>
      </c>
      <c r="I1009">
        <v>1326.1663818</v>
      </c>
      <c r="J1009">
        <v>1324.1578368999999</v>
      </c>
      <c r="K1009">
        <v>2750</v>
      </c>
      <c r="L1009">
        <v>0</v>
      </c>
      <c r="M1009">
        <v>0</v>
      </c>
      <c r="N1009">
        <v>2750</v>
      </c>
    </row>
    <row r="1010" spans="1:14" x14ac:dyDescent="0.25">
      <c r="A1010">
        <v>365.85511100000002</v>
      </c>
      <c r="B1010" s="1">
        <f>DATE(2011,5,1) + TIME(20,31,21)</f>
        <v>40664.855104166665</v>
      </c>
      <c r="C1010">
        <v>80</v>
      </c>
      <c r="D1010">
        <v>77.308464049999998</v>
      </c>
      <c r="E1010">
        <v>50</v>
      </c>
      <c r="F1010">
        <v>49.839977263999998</v>
      </c>
      <c r="G1010">
        <v>1340.9367675999999</v>
      </c>
      <c r="H1010">
        <v>1337.9550781</v>
      </c>
      <c r="I1010">
        <v>1326.1662598</v>
      </c>
      <c r="J1010">
        <v>1324.1574707</v>
      </c>
      <c r="K1010">
        <v>2750</v>
      </c>
      <c r="L1010">
        <v>0</v>
      </c>
      <c r="M1010">
        <v>0</v>
      </c>
      <c r="N1010">
        <v>2750</v>
      </c>
    </row>
    <row r="1011" spans="1:14" x14ac:dyDescent="0.25">
      <c r="A1011">
        <v>365.89416899999998</v>
      </c>
      <c r="B1011" s="1">
        <f>DATE(2011,5,1) + TIME(21,27,36)</f>
        <v>40664.894166666665</v>
      </c>
      <c r="C1011">
        <v>80</v>
      </c>
      <c r="D1011">
        <v>77.569702148000005</v>
      </c>
      <c r="E1011">
        <v>50</v>
      </c>
      <c r="F1011">
        <v>49.834922790999997</v>
      </c>
      <c r="G1011">
        <v>1340.9699707</v>
      </c>
      <c r="H1011">
        <v>1337.9805908000001</v>
      </c>
      <c r="I1011">
        <v>1326.1660156</v>
      </c>
      <c r="J1011">
        <v>1324.1572266000001</v>
      </c>
      <c r="K1011">
        <v>2750</v>
      </c>
      <c r="L1011">
        <v>0</v>
      </c>
      <c r="M1011">
        <v>0</v>
      </c>
      <c r="N1011">
        <v>2750</v>
      </c>
    </row>
    <row r="1012" spans="1:14" x14ac:dyDescent="0.25">
      <c r="A1012">
        <v>365.9348</v>
      </c>
      <c r="B1012" s="1">
        <f>DATE(2011,5,1) + TIME(22,26,6)</f>
        <v>40664.934791666667</v>
      </c>
      <c r="C1012">
        <v>80</v>
      </c>
      <c r="D1012">
        <v>77.814949036000002</v>
      </c>
      <c r="E1012">
        <v>50</v>
      </c>
      <c r="F1012">
        <v>49.829715729</v>
      </c>
      <c r="G1012">
        <v>1341.0032959</v>
      </c>
      <c r="H1012">
        <v>1338.0059814000001</v>
      </c>
      <c r="I1012">
        <v>1326.1658935999999</v>
      </c>
      <c r="J1012">
        <v>1324.1568603999999</v>
      </c>
      <c r="K1012">
        <v>2750</v>
      </c>
      <c r="L1012">
        <v>0</v>
      </c>
      <c r="M1012">
        <v>0</v>
      </c>
      <c r="N1012">
        <v>2750</v>
      </c>
    </row>
    <row r="1013" spans="1:14" x14ac:dyDescent="0.25">
      <c r="A1013">
        <v>365.977125</v>
      </c>
      <c r="B1013" s="1">
        <f>DATE(2011,5,1) + TIME(23,27,3)</f>
        <v>40664.977118055554</v>
      </c>
      <c r="C1013">
        <v>80</v>
      </c>
      <c r="D1013">
        <v>78.044349670000003</v>
      </c>
      <c r="E1013">
        <v>50</v>
      </c>
      <c r="F1013">
        <v>49.824333191000001</v>
      </c>
      <c r="G1013">
        <v>1341.036499</v>
      </c>
      <c r="H1013">
        <v>1338.0310059000001</v>
      </c>
      <c r="I1013">
        <v>1326.1656493999999</v>
      </c>
      <c r="J1013">
        <v>1324.1566161999999</v>
      </c>
      <c r="K1013">
        <v>2750</v>
      </c>
      <c r="L1013">
        <v>0</v>
      </c>
      <c r="M1013">
        <v>0</v>
      </c>
      <c r="N1013">
        <v>2750</v>
      </c>
    </row>
    <row r="1014" spans="1:14" x14ac:dyDescent="0.25">
      <c r="A1014">
        <v>366.021278</v>
      </c>
      <c r="B1014" s="1">
        <f>DATE(2011,5,2) + TIME(0,30,38)</f>
        <v>40665.021273148152</v>
      </c>
      <c r="C1014">
        <v>80</v>
      </c>
      <c r="D1014">
        <v>78.258102417000003</v>
      </c>
      <c r="E1014">
        <v>50</v>
      </c>
      <c r="F1014">
        <v>49.818775176999999</v>
      </c>
      <c r="G1014">
        <v>1341.0695800999999</v>
      </c>
      <c r="H1014">
        <v>1338.0557861</v>
      </c>
      <c r="I1014">
        <v>1326.1655272999999</v>
      </c>
      <c r="J1014">
        <v>1324.15625</v>
      </c>
      <c r="K1014">
        <v>2750</v>
      </c>
      <c r="L1014">
        <v>0</v>
      </c>
      <c r="M1014">
        <v>0</v>
      </c>
      <c r="N1014">
        <v>2750</v>
      </c>
    </row>
    <row r="1015" spans="1:14" x14ac:dyDescent="0.25">
      <c r="A1015">
        <v>366.067409</v>
      </c>
      <c r="B1015" s="1">
        <f>DATE(2011,5,2) + TIME(1,37,4)</f>
        <v>40665.067407407405</v>
      </c>
      <c r="C1015">
        <v>80</v>
      </c>
      <c r="D1015">
        <v>78.456443786999998</v>
      </c>
      <c r="E1015">
        <v>50</v>
      </c>
      <c r="F1015">
        <v>49.813018798999998</v>
      </c>
      <c r="G1015">
        <v>1341.1025391000001</v>
      </c>
      <c r="H1015">
        <v>1338.0803223</v>
      </c>
      <c r="I1015">
        <v>1326.1652832</v>
      </c>
      <c r="J1015">
        <v>1324.1558838000001</v>
      </c>
      <c r="K1015">
        <v>2750</v>
      </c>
      <c r="L1015">
        <v>0</v>
      </c>
      <c r="M1015">
        <v>0</v>
      </c>
      <c r="N1015">
        <v>2750</v>
      </c>
    </row>
    <row r="1016" spans="1:14" x14ac:dyDescent="0.25">
      <c r="A1016">
        <v>366.11568999999997</v>
      </c>
      <c r="B1016" s="1">
        <f>DATE(2011,5,2) + TIME(2,46,35)</f>
        <v>40665.115682870368</v>
      </c>
      <c r="C1016">
        <v>80</v>
      </c>
      <c r="D1016">
        <v>78.639671325999998</v>
      </c>
      <c r="E1016">
        <v>50</v>
      </c>
      <c r="F1016">
        <v>49.807052612</v>
      </c>
      <c r="G1016">
        <v>1341.1351318</v>
      </c>
      <c r="H1016">
        <v>1338.1043701000001</v>
      </c>
      <c r="I1016">
        <v>1326.1650391000001</v>
      </c>
      <c r="J1016">
        <v>1324.1555175999999</v>
      </c>
      <c r="K1016">
        <v>2750</v>
      </c>
      <c r="L1016">
        <v>0</v>
      </c>
      <c r="M1016">
        <v>0</v>
      </c>
      <c r="N1016">
        <v>2750</v>
      </c>
    </row>
    <row r="1017" spans="1:14" x14ac:dyDescent="0.25">
      <c r="A1017">
        <v>366.166312</v>
      </c>
      <c r="B1017" s="1">
        <f>DATE(2011,5,2) + TIME(3,59,29)</f>
        <v>40665.166307870371</v>
      </c>
      <c r="C1017">
        <v>80</v>
      </c>
      <c r="D1017">
        <v>78.808113098000007</v>
      </c>
      <c r="E1017">
        <v>50</v>
      </c>
      <c r="F1017">
        <v>49.800857544000003</v>
      </c>
      <c r="G1017">
        <v>1341.1672363</v>
      </c>
      <c r="H1017">
        <v>1338.1280518000001</v>
      </c>
      <c r="I1017">
        <v>1326.1647949000001</v>
      </c>
      <c r="J1017">
        <v>1324.1551514</v>
      </c>
      <c r="K1017">
        <v>2750</v>
      </c>
      <c r="L1017">
        <v>0</v>
      </c>
      <c r="M1017">
        <v>0</v>
      </c>
      <c r="N1017">
        <v>2750</v>
      </c>
    </row>
    <row r="1018" spans="1:14" x14ac:dyDescent="0.25">
      <c r="A1018">
        <v>366.21951999999999</v>
      </c>
      <c r="B1018" s="1">
        <f>DATE(2011,5,2) + TIME(5,16,6)</f>
        <v>40665.219513888886</v>
      </c>
      <c r="C1018">
        <v>80</v>
      </c>
      <c r="D1018">
        <v>78.962242126000007</v>
      </c>
      <c r="E1018">
        <v>50</v>
      </c>
      <c r="F1018">
        <v>49.794406891000001</v>
      </c>
      <c r="G1018">
        <v>1341.1989745999999</v>
      </c>
      <c r="H1018">
        <v>1338.1512451000001</v>
      </c>
      <c r="I1018">
        <v>1326.1645507999999</v>
      </c>
      <c r="J1018">
        <v>1324.1547852000001</v>
      </c>
      <c r="K1018">
        <v>2750</v>
      </c>
      <c r="L1018">
        <v>0</v>
      </c>
      <c r="M1018">
        <v>0</v>
      </c>
      <c r="N1018">
        <v>2750</v>
      </c>
    </row>
    <row r="1019" spans="1:14" x14ac:dyDescent="0.25">
      <c r="A1019">
        <v>366.275554</v>
      </c>
      <c r="B1019" s="1">
        <f>DATE(2011,5,2) + TIME(6,36,47)</f>
        <v>40665.275543981479</v>
      </c>
      <c r="C1019">
        <v>80</v>
      </c>
      <c r="D1019">
        <v>79.102447510000005</v>
      </c>
      <c r="E1019">
        <v>50</v>
      </c>
      <c r="F1019">
        <v>49.787685394</v>
      </c>
      <c r="G1019">
        <v>1341.2301024999999</v>
      </c>
      <c r="H1019">
        <v>1338.1738281</v>
      </c>
      <c r="I1019">
        <v>1326.1643065999999</v>
      </c>
      <c r="J1019">
        <v>1324.1544189000001</v>
      </c>
      <c r="K1019">
        <v>2750</v>
      </c>
      <c r="L1019">
        <v>0</v>
      </c>
      <c r="M1019">
        <v>0</v>
      </c>
      <c r="N1019">
        <v>2750</v>
      </c>
    </row>
    <row r="1020" spans="1:14" x14ac:dyDescent="0.25">
      <c r="A1020">
        <v>366.33469400000001</v>
      </c>
      <c r="B1020" s="1">
        <f>DATE(2011,5,2) + TIME(8,1,57)</f>
        <v>40665.334687499999</v>
      </c>
      <c r="C1020">
        <v>80</v>
      </c>
      <c r="D1020">
        <v>79.229187011999997</v>
      </c>
      <c r="E1020">
        <v>50</v>
      </c>
      <c r="F1020">
        <v>49.780662536999998</v>
      </c>
      <c r="G1020">
        <v>1341.2604980000001</v>
      </c>
      <c r="H1020">
        <v>1338.1959228999999</v>
      </c>
      <c r="I1020">
        <v>1326.1640625</v>
      </c>
      <c r="J1020">
        <v>1324.1539307</v>
      </c>
      <c r="K1020">
        <v>2750</v>
      </c>
      <c r="L1020">
        <v>0</v>
      </c>
      <c r="M1020">
        <v>0</v>
      </c>
      <c r="N1020">
        <v>2750</v>
      </c>
    </row>
    <row r="1021" spans="1:14" x14ac:dyDescent="0.25">
      <c r="A1021">
        <v>366.39431400000001</v>
      </c>
      <c r="B1021" s="1">
        <f>DATE(2011,5,2) + TIME(9,27,48)</f>
        <v>40665.394305555557</v>
      </c>
      <c r="C1021">
        <v>80</v>
      </c>
      <c r="D1021">
        <v>79.338424683</v>
      </c>
      <c r="E1021">
        <v>50</v>
      </c>
      <c r="F1021">
        <v>49.773632050000003</v>
      </c>
      <c r="G1021">
        <v>1341.2908935999999</v>
      </c>
      <c r="H1021">
        <v>1338.2176514</v>
      </c>
      <c r="I1021">
        <v>1326.1638184000001</v>
      </c>
      <c r="J1021">
        <v>1324.1534423999999</v>
      </c>
      <c r="K1021">
        <v>2750</v>
      </c>
      <c r="L1021">
        <v>0</v>
      </c>
      <c r="M1021">
        <v>0</v>
      </c>
      <c r="N1021">
        <v>2750</v>
      </c>
    </row>
    <row r="1022" spans="1:14" x14ac:dyDescent="0.25">
      <c r="A1022">
        <v>366.45435900000001</v>
      </c>
      <c r="B1022" s="1">
        <f>DATE(2011,5,2) + TIME(10,54,16)</f>
        <v>40665.454351851855</v>
      </c>
      <c r="C1022">
        <v>80</v>
      </c>
      <c r="D1022">
        <v>79.432312011999997</v>
      </c>
      <c r="E1022">
        <v>50</v>
      </c>
      <c r="F1022">
        <v>49.766597748000002</v>
      </c>
      <c r="G1022">
        <v>1341.3192139</v>
      </c>
      <c r="H1022">
        <v>1338.2379149999999</v>
      </c>
      <c r="I1022">
        <v>1326.1634521000001</v>
      </c>
      <c r="J1022">
        <v>1324.1530762</v>
      </c>
      <c r="K1022">
        <v>2750</v>
      </c>
      <c r="L1022">
        <v>0</v>
      </c>
      <c r="M1022">
        <v>0</v>
      </c>
      <c r="N1022">
        <v>2750</v>
      </c>
    </row>
    <row r="1023" spans="1:14" x14ac:dyDescent="0.25">
      <c r="A1023">
        <v>366.51498199999997</v>
      </c>
      <c r="B1023" s="1">
        <f>DATE(2011,5,2) + TIME(12,21,34)</f>
        <v>40665.514976851853</v>
      </c>
      <c r="C1023">
        <v>80</v>
      </c>
      <c r="D1023">
        <v>79.513023376000007</v>
      </c>
      <c r="E1023">
        <v>50</v>
      </c>
      <c r="F1023">
        <v>49.759544372999997</v>
      </c>
      <c r="G1023">
        <v>1341.3452147999999</v>
      </c>
      <c r="H1023">
        <v>1338.2564697</v>
      </c>
      <c r="I1023">
        <v>1326.1630858999999</v>
      </c>
      <c r="J1023">
        <v>1324.1525879000001</v>
      </c>
      <c r="K1023">
        <v>2750</v>
      </c>
      <c r="L1023">
        <v>0</v>
      </c>
      <c r="M1023">
        <v>0</v>
      </c>
      <c r="N1023">
        <v>2750</v>
      </c>
    </row>
    <row r="1024" spans="1:14" x14ac:dyDescent="0.25">
      <c r="A1024">
        <v>366.57634899999999</v>
      </c>
      <c r="B1024" s="1">
        <f>DATE(2011,5,2) + TIME(13,49,56)</f>
        <v>40665.576342592591</v>
      </c>
      <c r="C1024">
        <v>80</v>
      </c>
      <c r="D1024">
        <v>79.582412719999994</v>
      </c>
      <c r="E1024">
        <v>50</v>
      </c>
      <c r="F1024">
        <v>49.752452849999997</v>
      </c>
      <c r="G1024">
        <v>1341.3693848</v>
      </c>
      <c r="H1024">
        <v>1338.2736815999999</v>
      </c>
      <c r="I1024">
        <v>1326.1628418</v>
      </c>
      <c r="J1024">
        <v>1324.1520995999999</v>
      </c>
      <c r="K1024">
        <v>2750</v>
      </c>
      <c r="L1024">
        <v>0</v>
      </c>
      <c r="M1024">
        <v>0</v>
      </c>
      <c r="N1024">
        <v>2750</v>
      </c>
    </row>
    <row r="1025" spans="1:14" x14ac:dyDescent="0.25">
      <c r="A1025">
        <v>366.63858099999999</v>
      </c>
      <c r="B1025" s="1">
        <f>DATE(2011,5,2) + TIME(15,19,33)</f>
        <v>40665.63857638889</v>
      </c>
      <c r="C1025">
        <v>80</v>
      </c>
      <c r="D1025">
        <v>79.642028808999996</v>
      </c>
      <c r="E1025">
        <v>50</v>
      </c>
      <c r="F1025">
        <v>49.745307922000002</v>
      </c>
      <c r="G1025">
        <v>1341.3916016000001</v>
      </c>
      <c r="H1025">
        <v>1338.2895507999999</v>
      </c>
      <c r="I1025">
        <v>1326.1624756000001</v>
      </c>
      <c r="J1025">
        <v>1324.1516113</v>
      </c>
      <c r="K1025">
        <v>2750</v>
      </c>
      <c r="L1025">
        <v>0</v>
      </c>
      <c r="M1025">
        <v>0</v>
      </c>
      <c r="N1025">
        <v>2750</v>
      </c>
    </row>
    <row r="1026" spans="1:14" x14ac:dyDescent="0.25">
      <c r="A1026">
        <v>366.70184499999999</v>
      </c>
      <c r="B1026" s="1">
        <f>DATE(2011,5,2) + TIME(16,50,39)</f>
        <v>40665.701840277776</v>
      </c>
      <c r="C1026">
        <v>80</v>
      </c>
      <c r="D1026">
        <v>79.693199157999999</v>
      </c>
      <c r="E1026">
        <v>50</v>
      </c>
      <c r="F1026">
        <v>49.738094330000003</v>
      </c>
      <c r="G1026">
        <v>1341.4122314000001</v>
      </c>
      <c r="H1026">
        <v>1338.3041992000001</v>
      </c>
      <c r="I1026">
        <v>1326.1621094</v>
      </c>
      <c r="J1026">
        <v>1324.1511230000001</v>
      </c>
      <c r="K1026">
        <v>2750</v>
      </c>
      <c r="L1026">
        <v>0</v>
      </c>
      <c r="M1026">
        <v>0</v>
      </c>
      <c r="N1026">
        <v>2750</v>
      </c>
    </row>
    <row r="1027" spans="1:14" x14ac:dyDescent="0.25">
      <c r="A1027">
        <v>366.76633500000003</v>
      </c>
      <c r="B1027" s="1">
        <f>DATE(2011,5,2) + TIME(18,23,31)</f>
        <v>40665.766331018516</v>
      </c>
      <c r="C1027">
        <v>80</v>
      </c>
      <c r="D1027">
        <v>79.737106323000006</v>
      </c>
      <c r="E1027">
        <v>50</v>
      </c>
      <c r="F1027">
        <v>49.730792999000002</v>
      </c>
      <c r="G1027">
        <v>1341.4311522999999</v>
      </c>
      <c r="H1027">
        <v>1338.3178711</v>
      </c>
      <c r="I1027">
        <v>1326.1617432</v>
      </c>
      <c r="J1027">
        <v>1324.1506348</v>
      </c>
      <c r="K1027">
        <v>2750</v>
      </c>
      <c r="L1027">
        <v>0</v>
      </c>
      <c r="M1027">
        <v>0</v>
      </c>
      <c r="N1027">
        <v>2750</v>
      </c>
    </row>
    <row r="1028" spans="1:14" x14ac:dyDescent="0.25">
      <c r="A1028">
        <v>366.832224</v>
      </c>
      <c r="B1028" s="1">
        <f>DATE(2011,5,2) + TIME(19,58,24)</f>
        <v>40665.83222222222</v>
      </c>
      <c r="C1028">
        <v>80</v>
      </c>
      <c r="D1028">
        <v>79.774711608999993</v>
      </c>
      <c r="E1028">
        <v>50</v>
      </c>
      <c r="F1028">
        <v>49.723381042</v>
      </c>
      <c r="G1028">
        <v>1341.4486084</v>
      </c>
      <c r="H1028">
        <v>1338.3303223</v>
      </c>
      <c r="I1028">
        <v>1326.1613769999999</v>
      </c>
      <c r="J1028">
        <v>1324.1501464999999</v>
      </c>
      <c r="K1028">
        <v>2750</v>
      </c>
      <c r="L1028">
        <v>0</v>
      </c>
      <c r="M1028">
        <v>0</v>
      </c>
      <c r="N1028">
        <v>2750</v>
      </c>
    </row>
    <row r="1029" spans="1:14" x14ac:dyDescent="0.25">
      <c r="A1029">
        <v>366.899699</v>
      </c>
      <c r="B1029" s="1">
        <f>DATE(2011,5,2) + TIME(21,35,33)</f>
        <v>40665.899687500001</v>
      </c>
      <c r="C1029">
        <v>80</v>
      </c>
      <c r="D1029">
        <v>79.806869507000002</v>
      </c>
      <c r="E1029">
        <v>50</v>
      </c>
      <c r="F1029">
        <v>49.715843200999998</v>
      </c>
      <c r="G1029">
        <v>1341.4647216999999</v>
      </c>
      <c r="H1029">
        <v>1338.3419189000001</v>
      </c>
      <c r="I1029">
        <v>1326.1610106999999</v>
      </c>
      <c r="J1029">
        <v>1324.1496582</v>
      </c>
      <c r="K1029">
        <v>2750</v>
      </c>
      <c r="L1029">
        <v>0</v>
      </c>
      <c r="M1029">
        <v>0</v>
      </c>
      <c r="N1029">
        <v>2750</v>
      </c>
    </row>
    <row r="1030" spans="1:14" x14ac:dyDescent="0.25">
      <c r="A1030">
        <v>366.967984</v>
      </c>
      <c r="B1030" s="1">
        <f>DATE(2011,5,2) + TIME(23,13,53)</f>
        <v>40665.967974537038</v>
      </c>
      <c r="C1030">
        <v>80</v>
      </c>
      <c r="D1030">
        <v>79.833976746000005</v>
      </c>
      <c r="E1030">
        <v>50</v>
      </c>
      <c r="F1030">
        <v>49.708259583</v>
      </c>
      <c r="G1030">
        <v>1341.4794922000001</v>
      </c>
      <c r="H1030">
        <v>1338.3525391000001</v>
      </c>
      <c r="I1030">
        <v>1326.1606445</v>
      </c>
      <c r="J1030">
        <v>1324.1491699000001</v>
      </c>
      <c r="K1030">
        <v>2750</v>
      </c>
      <c r="L1030">
        <v>0</v>
      </c>
      <c r="M1030">
        <v>0</v>
      </c>
      <c r="N1030">
        <v>2750</v>
      </c>
    </row>
    <row r="1031" spans="1:14" x14ac:dyDescent="0.25">
      <c r="A1031">
        <v>367.03706399999999</v>
      </c>
      <c r="B1031" s="1">
        <f>DATE(2011,5,3) + TIME(0,53,22)</f>
        <v>40666.037060185183</v>
      </c>
      <c r="C1031">
        <v>80</v>
      </c>
      <c r="D1031">
        <v>79.856781006000006</v>
      </c>
      <c r="E1031">
        <v>50</v>
      </c>
      <c r="F1031">
        <v>49.700630187999998</v>
      </c>
      <c r="G1031">
        <v>1341.4929199000001</v>
      </c>
      <c r="H1031">
        <v>1338.3623047000001</v>
      </c>
      <c r="I1031">
        <v>1326.1602783000001</v>
      </c>
      <c r="J1031">
        <v>1324.1485596</v>
      </c>
      <c r="K1031">
        <v>2750</v>
      </c>
      <c r="L1031">
        <v>0</v>
      </c>
      <c r="M1031">
        <v>0</v>
      </c>
      <c r="N1031">
        <v>2750</v>
      </c>
    </row>
    <row r="1032" spans="1:14" x14ac:dyDescent="0.25">
      <c r="A1032">
        <v>367.10706299999998</v>
      </c>
      <c r="B1032" s="1">
        <f>DATE(2011,5,3) + TIME(2,34,10)</f>
        <v>40666.107060185182</v>
      </c>
      <c r="C1032">
        <v>80</v>
      </c>
      <c r="D1032">
        <v>79.875946045000006</v>
      </c>
      <c r="E1032">
        <v>50</v>
      </c>
      <c r="F1032">
        <v>49.692943573000001</v>
      </c>
      <c r="G1032">
        <v>1341.5048827999999</v>
      </c>
      <c r="H1032">
        <v>1338.3710937999999</v>
      </c>
      <c r="I1032">
        <v>1326.1599120999999</v>
      </c>
      <c r="J1032">
        <v>1324.1480713000001</v>
      </c>
      <c r="K1032">
        <v>2750</v>
      </c>
      <c r="L1032">
        <v>0</v>
      </c>
      <c r="M1032">
        <v>0</v>
      </c>
      <c r="N1032">
        <v>2750</v>
      </c>
    </row>
    <row r="1033" spans="1:14" x14ac:dyDescent="0.25">
      <c r="A1033">
        <v>367.17810300000002</v>
      </c>
      <c r="B1033" s="1">
        <f>DATE(2011,5,3) + TIME(4,16,28)</f>
        <v>40666.178101851852</v>
      </c>
      <c r="C1033">
        <v>80</v>
      </c>
      <c r="D1033">
        <v>79.892036438000005</v>
      </c>
      <c r="E1033">
        <v>50</v>
      </c>
      <c r="F1033">
        <v>49.685184479</v>
      </c>
      <c r="G1033">
        <v>1341.515625</v>
      </c>
      <c r="H1033">
        <v>1338.3790283000001</v>
      </c>
      <c r="I1033">
        <v>1326.1594238</v>
      </c>
      <c r="J1033">
        <v>1324.1474608999999</v>
      </c>
      <c r="K1033">
        <v>2750</v>
      </c>
      <c r="L1033">
        <v>0</v>
      </c>
      <c r="M1033">
        <v>0</v>
      </c>
      <c r="N1033">
        <v>2750</v>
      </c>
    </row>
    <row r="1034" spans="1:14" x14ac:dyDescent="0.25">
      <c r="A1034">
        <v>367.25031300000001</v>
      </c>
      <c r="B1034" s="1">
        <f>DATE(2011,5,3) + TIME(6,0,27)</f>
        <v>40666.2503125</v>
      </c>
      <c r="C1034">
        <v>80</v>
      </c>
      <c r="D1034">
        <v>79.905540466000005</v>
      </c>
      <c r="E1034">
        <v>50</v>
      </c>
      <c r="F1034">
        <v>49.677341460999997</v>
      </c>
      <c r="G1034">
        <v>1341.5250243999999</v>
      </c>
      <c r="H1034">
        <v>1338.3861084</v>
      </c>
      <c r="I1034">
        <v>1326.1590576000001</v>
      </c>
      <c r="J1034">
        <v>1324.1469727000001</v>
      </c>
      <c r="K1034">
        <v>2750</v>
      </c>
      <c r="L1034">
        <v>0</v>
      </c>
      <c r="M1034">
        <v>0</v>
      </c>
      <c r="N1034">
        <v>2750</v>
      </c>
    </row>
    <row r="1035" spans="1:14" x14ac:dyDescent="0.25">
      <c r="A1035">
        <v>367.32386400000001</v>
      </c>
      <c r="B1035" s="1">
        <f>DATE(2011,5,3) + TIME(7,46,21)</f>
        <v>40666.323854166665</v>
      </c>
      <c r="C1035">
        <v>80</v>
      </c>
      <c r="D1035">
        <v>79.916847228999998</v>
      </c>
      <c r="E1035">
        <v>50</v>
      </c>
      <c r="F1035">
        <v>49.669399261000002</v>
      </c>
      <c r="G1035">
        <v>1341.5333252</v>
      </c>
      <c r="H1035">
        <v>1338.3924560999999</v>
      </c>
      <c r="I1035">
        <v>1326.1585693</v>
      </c>
      <c r="J1035">
        <v>1324.1463623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367.39887099999999</v>
      </c>
      <c r="B1036" s="1">
        <f>DATE(2011,5,3) + TIME(9,34,22)</f>
        <v>40666.398865740739</v>
      </c>
      <c r="C1036">
        <v>80</v>
      </c>
      <c r="D1036">
        <v>79.926307678000001</v>
      </c>
      <c r="E1036">
        <v>50</v>
      </c>
      <c r="F1036">
        <v>49.661346436000002</v>
      </c>
      <c r="G1036">
        <v>1341.5406493999999</v>
      </c>
      <c r="H1036">
        <v>1338.3980713000001</v>
      </c>
      <c r="I1036">
        <v>1326.1582031</v>
      </c>
      <c r="J1036">
        <v>1324.1457519999999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367.47548999999998</v>
      </c>
      <c r="B1037" s="1">
        <f>DATE(2011,5,3) + TIME(11,24,42)</f>
        <v>40666.475486111114</v>
      </c>
      <c r="C1037">
        <v>80</v>
      </c>
      <c r="D1037">
        <v>79.934204101999995</v>
      </c>
      <c r="E1037">
        <v>50</v>
      </c>
      <c r="F1037">
        <v>49.653163910000004</v>
      </c>
      <c r="G1037">
        <v>1341.546875</v>
      </c>
      <c r="H1037">
        <v>1338.4031981999999</v>
      </c>
      <c r="I1037">
        <v>1326.1577147999999</v>
      </c>
      <c r="J1037">
        <v>1324.1451416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367.55388799999997</v>
      </c>
      <c r="B1038" s="1">
        <f>DATE(2011,5,3) + TIME(13,17,35)</f>
        <v>40666.553877314815</v>
      </c>
      <c r="C1038">
        <v>80</v>
      </c>
      <c r="D1038">
        <v>79.94078064</v>
      </c>
      <c r="E1038">
        <v>50</v>
      </c>
      <c r="F1038">
        <v>49.644844055</v>
      </c>
      <c r="G1038">
        <v>1341.5522461</v>
      </c>
      <c r="H1038">
        <v>1338.4075928</v>
      </c>
      <c r="I1038">
        <v>1326.1572266000001</v>
      </c>
      <c r="J1038">
        <v>1324.1445312000001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367.63424900000001</v>
      </c>
      <c r="B1039" s="1">
        <f>DATE(2011,5,3) + TIME(15,13,19)</f>
        <v>40666.634247685186</v>
      </c>
      <c r="C1039">
        <v>80</v>
      </c>
      <c r="D1039">
        <v>79.946250915999997</v>
      </c>
      <c r="E1039">
        <v>50</v>
      </c>
      <c r="F1039">
        <v>49.636363983000003</v>
      </c>
      <c r="G1039">
        <v>1341.5567627</v>
      </c>
      <c r="H1039">
        <v>1338.411499</v>
      </c>
      <c r="I1039">
        <v>1326.1567382999999</v>
      </c>
      <c r="J1039">
        <v>1324.1439209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367.71677099999999</v>
      </c>
      <c r="B1040" s="1">
        <f>DATE(2011,5,3) + TIME(17,12,9)</f>
        <v>40666.716770833336</v>
      </c>
      <c r="C1040">
        <v>80</v>
      </c>
      <c r="D1040">
        <v>79.950790405000006</v>
      </c>
      <c r="E1040">
        <v>50</v>
      </c>
      <c r="F1040">
        <v>49.627708435000002</v>
      </c>
      <c r="G1040">
        <v>1341.5604248</v>
      </c>
      <c r="H1040">
        <v>1338.4147949000001</v>
      </c>
      <c r="I1040">
        <v>1326.15625</v>
      </c>
      <c r="J1040">
        <v>1324.1433105000001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367.80167799999998</v>
      </c>
      <c r="B1041" s="1">
        <f>DATE(2011,5,3) + TIME(19,14,24)</f>
        <v>40666.801666666666</v>
      </c>
      <c r="C1041">
        <v>80</v>
      </c>
      <c r="D1041">
        <v>79.954544067</v>
      </c>
      <c r="E1041">
        <v>50</v>
      </c>
      <c r="F1041">
        <v>49.618854523000003</v>
      </c>
      <c r="G1041">
        <v>1341.5632324000001</v>
      </c>
      <c r="H1041">
        <v>1338.4176024999999</v>
      </c>
      <c r="I1041">
        <v>1326.1556396000001</v>
      </c>
      <c r="J1041">
        <v>1324.1425781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367.88933300000002</v>
      </c>
      <c r="B1042" s="1">
        <f>DATE(2011,5,3) + TIME(21,20,38)</f>
        <v>40666.889328703706</v>
      </c>
      <c r="C1042">
        <v>80</v>
      </c>
      <c r="D1042">
        <v>79.957641601999995</v>
      </c>
      <c r="E1042">
        <v>50</v>
      </c>
      <c r="F1042">
        <v>49.609771729000002</v>
      </c>
      <c r="G1042">
        <v>1341.5650635</v>
      </c>
      <c r="H1042">
        <v>1338.4197998</v>
      </c>
      <c r="I1042">
        <v>1326.1551514</v>
      </c>
      <c r="J1042">
        <v>1324.1419678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367.98003</v>
      </c>
      <c r="B1043" s="1">
        <f>DATE(2011,5,3) + TIME(23,31,14)</f>
        <v>40666.980023148149</v>
      </c>
      <c r="C1043">
        <v>80</v>
      </c>
      <c r="D1043">
        <v>79.960189818999993</v>
      </c>
      <c r="E1043">
        <v>50</v>
      </c>
      <c r="F1043">
        <v>49.600433350000003</v>
      </c>
      <c r="G1043">
        <v>1341.5662841999999</v>
      </c>
      <c r="H1043">
        <v>1338.4216309000001</v>
      </c>
      <c r="I1043">
        <v>1326.1545410000001</v>
      </c>
      <c r="J1043">
        <v>1324.1412353999999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368.07410299999998</v>
      </c>
      <c r="B1044" s="1">
        <f>DATE(2011,5,4) + TIME(1,46,42)</f>
        <v>40667.074097222219</v>
      </c>
      <c r="C1044">
        <v>80</v>
      </c>
      <c r="D1044">
        <v>79.962280273000005</v>
      </c>
      <c r="E1044">
        <v>50</v>
      </c>
      <c r="F1044">
        <v>49.590808868000003</v>
      </c>
      <c r="G1044">
        <v>1341.5657959</v>
      </c>
      <c r="H1044">
        <v>1338.4223632999999</v>
      </c>
      <c r="I1044">
        <v>1326.1539307</v>
      </c>
      <c r="J1044">
        <v>1324.1405029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368.17103400000002</v>
      </c>
      <c r="B1045" s="1">
        <f>DATE(2011,5,4) + TIME(4,6,17)</f>
        <v>40667.171030092592</v>
      </c>
      <c r="C1045">
        <v>80</v>
      </c>
      <c r="D1045">
        <v>79.963973999000004</v>
      </c>
      <c r="E1045">
        <v>50</v>
      </c>
      <c r="F1045">
        <v>49.580951691000003</v>
      </c>
      <c r="G1045">
        <v>1341.5638428</v>
      </c>
      <c r="H1045">
        <v>1338.4221190999999</v>
      </c>
      <c r="I1045">
        <v>1326.1533202999999</v>
      </c>
      <c r="J1045">
        <v>1324.1397704999999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368.27014700000001</v>
      </c>
      <c r="B1046" s="1">
        <f>DATE(2011,5,4) + TIME(6,29,0)</f>
        <v>40667.270138888889</v>
      </c>
      <c r="C1046">
        <v>80</v>
      </c>
      <c r="D1046">
        <v>79.965332031000003</v>
      </c>
      <c r="E1046">
        <v>50</v>
      </c>
      <c r="F1046">
        <v>49.570919037000003</v>
      </c>
      <c r="G1046">
        <v>1341.5614014</v>
      </c>
      <c r="H1046">
        <v>1338.4215088000001</v>
      </c>
      <c r="I1046">
        <v>1326.1527100000001</v>
      </c>
      <c r="J1046">
        <v>1324.1389160000001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368.37164100000001</v>
      </c>
      <c r="B1047" s="1">
        <f>DATE(2011,5,4) + TIME(8,55,9)</f>
        <v>40667.371631944443</v>
      </c>
      <c r="C1047">
        <v>80</v>
      </c>
      <c r="D1047">
        <v>79.966423035000005</v>
      </c>
      <c r="E1047">
        <v>50</v>
      </c>
      <c r="F1047">
        <v>49.560699462999999</v>
      </c>
      <c r="G1047">
        <v>1341.5582274999999</v>
      </c>
      <c r="H1047">
        <v>1338.4205322</v>
      </c>
      <c r="I1047">
        <v>1326.1520995999999</v>
      </c>
      <c r="J1047">
        <v>1324.1381836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368.47572300000002</v>
      </c>
      <c r="B1048" s="1">
        <f>DATE(2011,5,4) + TIME(11,25,2)</f>
        <v>40667.475717592592</v>
      </c>
      <c r="C1048">
        <v>80</v>
      </c>
      <c r="D1048">
        <v>79.967292786000002</v>
      </c>
      <c r="E1048">
        <v>50</v>
      </c>
      <c r="F1048">
        <v>49.550270081000001</v>
      </c>
      <c r="G1048">
        <v>1341.5546875</v>
      </c>
      <c r="H1048">
        <v>1338.4194336</v>
      </c>
      <c r="I1048">
        <v>1326.1513672000001</v>
      </c>
      <c r="J1048">
        <v>1324.1373291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368.58261900000002</v>
      </c>
      <c r="B1049" s="1">
        <f>DATE(2011,5,4) + TIME(13,58,58)</f>
        <v>40667.582615740743</v>
      </c>
      <c r="C1049">
        <v>80</v>
      </c>
      <c r="D1049">
        <v>79.967987061000002</v>
      </c>
      <c r="E1049">
        <v>50</v>
      </c>
      <c r="F1049">
        <v>49.539619446000003</v>
      </c>
      <c r="G1049">
        <v>1341.5506591999999</v>
      </c>
      <c r="H1049">
        <v>1338.4178466999999</v>
      </c>
      <c r="I1049">
        <v>1326.1506348</v>
      </c>
      <c r="J1049">
        <v>1324.1364745999999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368.69257599999997</v>
      </c>
      <c r="B1050" s="1">
        <f>DATE(2011,5,4) + TIME(16,37,18)</f>
        <v>40667.692569444444</v>
      </c>
      <c r="C1050">
        <v>80</v>
      </c>
      <c r="D1050">
        <v>79.968536377000007</v>
      </c>
      <c r="E1050">
        <v>50</v>
      </c>
      <c r="F1050">
        <v>49.528720856</v>
      </c>
      <c r="G1050">
        <v>1341.5460204999999</v>
      </c>
      <c r="H1050">
        <v>1338.4161377</v>
      </c>
      <c r="I1050">
        <v>1326.1500243999999</v>
      </c>
      <c r="J1050">
        <v>1324.1356201000001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368.80587100000002</v>
      </c>
      <c r="B1051" s="1">
        <f>DATE(2011,5,4) + TIME(19,20,27)</f>
        <v>40667.805868055555</v>
      </c>
      <c r="C1051">
        <v>80</v>
      </c>
      <c r="D1051">
        <v>79.968978882000002</v>
      </c>
      <c r="E1051">
        <v>50</v>
      </c>
      <c r="F1051">
        <v>49.517551421999997</v>
      </c>
      <c r="G1051">
        <v>1341.5410156</v>
      </c>
      <c r="H1051">
        <v>1338.4140625</v>
      </c>
      <c r="I1051">
        <v>1326.1491699000001</v>
      </c>
      <c r="J1051">
        <v>1324.1346435999999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368.92281100000002</v>
      </c>
      <c r="B1052" s="1">
        <f>DATE(2011,5,4) + TIME(22,8,50)</f>
        <v>40667.922800925924</v>
      </c>
      <c r="C1052">
        <v>80</v>
      </c>
      <c r="D1052">
        <v>79.969322204999997</v>
      </c>
      <c r="E1052">
        <v>50</v>
      </c>
      <c r="F1052">
        <v>49.506092072000001</v>
      </c>
      <c r="G1052">
        <v>1341.5355225000001</v>
      </c>
      <c r="H1052">
        <v>1338.4118652</v>
      </c>
      <c r="I1052">
        <v>1326.1484375</v>
      </c>
      <c r="J1052">
        <v>1324.1336670000001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369.04374300000001</v>
      </c>
      <c r="B1053" s="1">
        <f>DATE(2011,5,5) + TIME(1,2,59)</f>
        <v>40668.043738425928</v>
      </c>
      <c r="C1053">
        <v>80</v>
      </c>
      <c r="D1053">
        <v>79.969604492000002</v>
      </c>
      <c r="E1053">
        <v>50</v>
      </c>
      <c r="F1053">
        <v>49.494312286000003</v>
      </c>
      <c r="G1053">
        <v>1341.5296631000001</v>
      </c>
      <c r="H1053">
        <v>1338.4093018000001</v>
      </c>
      <c r="I1053">
        <v>1326.1477050999999</v>
      </c>
      <c r="J1053">
        <v>1324.1326904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369.167846</v>
      </c>
      <c r="B1054" s="1">
        <f>DATE(2011,5,5) + TIME(4,1,41)</f>
        <v>40668.16783564815</v>
      </c>
      <c r="C1054">
        <v>80</v>
      </c>
      <c r="D1054">
        <v>79.969818114999995</v>
      </c>
      <c r="E1054">
        <v>50</v>
      </c>
      <c r="F1054">
        <v>49.482280731000003</v>
      </c>
      <c r="G1054">
        <v>1341.5233154</v>
      </c>
      <c r="H1054">
        <v>1338.4064940999999</v>
      </c>
      <c r="I1054">
        <v>1326.1468506000001</v>
      </c>
      <c r="J1054">
        <v>1324.1317139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369.29397499999999</v>
      </c>
      <c r="B1055" s="1">
        <f>DATE(2011,5,5) + TIME(7,3,19)</f>
        <v>40668.293969907405</v>
      </c>
      <c r="C1055">
        <v>80</v>
      </c>
      <c r="D1055">
        <v>79.969978333</v>
      </c>
      <c r="E1055">
        <v>50</v>
      </c>
      <c r="F1055">
        <v>49.470096587999997</v>
      </c>
      <c r="G1055">
        <v>1341.5164795000001</v>
      </c>
      <c r="H1055">
        <v>1338.4035644999999</v>
      </c>
      <c r="I1055">
        <v>1326.1459961</v>
      </c>
      <c r="J1055">
        <v>1324.1306152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369.42048399999999</v>
      </c>
      <c r="B1056" s="1">
        <f>DATE(2011,5,5) + TIME(10,5,29)</f>
        <v>40668.420474537037</v>
      </c>
      <c r="C1056">
        <v>80</v>
      </c>
      <c r="D1056">
        <v>79.970100403000004</v>
      </c>
      <c r="E1056">
        <v>50</v>
      </c>
      <c r="F1056">
        <v>49.457901001000003</v>
      </c>
      <c r="G1056">
        <v>1341.5093993999999</v>
      </c>
      <c r="H1056">
        <v>1338.4003906</v>
      </c>
      <c r="I1056">
        <v>1326.1450195</v>
      </c>
      <c r="J1056">
        <v>1324.1296387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369.54763500000001</v>
      </c>
      <c r="B1057" s="1">
        <f>DATE(2011,5,5) + TIME(13,8,35)</f>
        <v>40668.547627314816</v>
      </c>
      <c r="C1057">
        <v>80</v>
      </c>
      <c r="D1057">
        <v>79.970191955999994</v>
      </c>
      <c r="E1057">
        <v>50</v>
      </c>
      <c r="F1057">
        <v>49.445674896</v>
      </c>
      <c r="G1057">
        <v>1341.5021973</v>
      </c>
      <c r="H1057">
        <v>1338.3972168</v>
      </c>
      <c r="I1057">
        <v>1326.1441649999999</v>
      </c>
      <c r="J1057">
        <v>1324.1285399999999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369.67568299999999</v>
      </c>
      <c r="B1058" s="1">
        <f>DATE(2011,5,5) + TIME(16,12,58)</f>
        <v>40668.675671296296</v>
      </c>
      <c r="C1058">
        <v>80</v>
      </c>
      <c r="D1058">
        <v>79.970260620000005</v>
      </c>
      <c r="E1058">
        <v>50</v>
      </c>
      <c r="F1058">
        <v>49.433399199999997</v>
      </c>
      <c r="G1058">
        <v>1341.4948730000001</v>
      </c>
      <c r="H1058">
        <v>1338.3937988</v>
      </c>
      <c r="I1058">
        <v>1326.1431885</v>
      </c>
      <c r="J1058">
        <v>1324.1274414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369.80487799999997</v>
      </c>
      <c r="B1059" s="1">
        <f>DATE(2011,5,5) + TIME(19,19,1)</f>
        <v>40668.804872685185</v>
      </c>
      <c r="C1059">
        <v>80</v>
      </c>
      <c r="D1059">
        <v>79.970306395999998</v>
      </c>
      <c r="E1059">
        <v>50</v>
      </c>
      <c r="F1059">
        <v>49.421054839999996</v>
      </c>
      <c r="G1059">
        <v>1341.4873047000001</v>
      </c>
      <c r="H1059">
        <v>1338.3903809000001</v>
      </c>
      <c r="I1059">
        <v>1326.1423339999999</v>
      </c>
      <c r="J1059">
        <v>1324.1262207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369.93547100000001</v>
      </c>
      <c r="B1060" s="1">
        <f>DATE(2011,5,5) + TIME(22,27,4)</f>
        <v>40668.93546296296</v>
      </c>
      <c r="C1060">
        <v>80</v>
      </c>
      <c r="D1060">
        <v>79.970344542999996</v>
      </c>
      <c r="E1060">
        <v>50</v>
      </c>
      <c r="F1060">
        <v>49.408630371000001</v>
      </c>
      <c r="G1060">
        <v>1341.4797363</v>
      </c>
      <c r="H1060">
        <v>1338.3869629000001</v>
      </c>
      <c r="I1060">
        <v>1326.1413574000001</v>
      </c>
      <c r="J1060">
        <v>1324.1251221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370.06774899999999</v>
      </c>
      <c r="B1061" s="1">
        <f>DATE(2011,5,6) + TIME(1,37,33)</f>
        <v>40669.067743055559</v>
      </c>
      <c r="C1061">
        <v>80</v>
      </c>
      <c r="D1061">
        <v>79.970367432000003</v>
      </c>
      <c r="E1061">
        <v>50</v>
      </c>
      <c r="F1061">
        <v>49.396095275999997</v>
      </c>
      <c r="G1061">
        <v>1341.4720459</v>
      </c>
      <c r="H1061">
        <v>1338.3834228999999</v>
      </c>
      <c r="I1061">
        <v>1326.1405029</v>
      </c>
      <c r="J1061">
        <v>1324.1240233999999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370.20197200000001</v>
      </c>
      <c r="B1062" s="1">
        <f>DATE(2011,5,6) + TIME(4,50,50)</f>
        <v>40669.201967592591</v>
      </c>
      <c r="C1062">
        <v>80</v>
      </c>
      <c r="D1062">
        <v>79.970375060999999</v>
      </c>
      <c r="E1062">
        <v>50</v>
      </c>
      <c r="F1062">
        <v>49.383434295999997</v>
      </c>
      <c r="G1062">
        <v>1341.4641113</v>
      </c>
      <c r="H1062">
        <v>1338.3797606999999</v>
      </c>
      <c r="I1062">
        <v>1326.1395264</v>
      </c>
      <c r="J1062">
        <v>1324.1228027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370.338391</v>
      </c>
      <c r="B1063" s="1">
        <f>DATE(2011,5,6) + TIME(8,7,16)</f>
        <v>40669.338379629633</v>
      </c>
      <c r="C1063">
        <v>80</v>
      </c>
      <c r="D1063">
        <v>79.970375060999999</v>
      </c>
      <c r="E1063">
        <v>50</v>
      </c>
      <c r="F1063">
        <v>49.370628357000001</v>
      </c>
      <c r="G1063">
        <v>1341.4561768000001</v>
      </c>
      <c r="H1063">
        <v>1338.3760986</v>
      </c>
      <c r="I1063">
        <v>1326.1385498</v>
      </c>
      <c r="J1063">
        <v>1324.121582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370.47729500000003</v>
      </c>
      <c r="B1064" s="1">
        <f>DATE(2011,5,6) + TIME(11,27,18)</f>
        <v>40669.47729166667</v>
      </c>
      <c r="C1064">
        <v>80</v>
      </c>
      <c r="D1064">
        <v>79.970375060999999</v>
      </c>
      <c r="E1064">
        <v>50</v>
      </c>
      <c r="F1064">
        <v>49.357654572000001</v>
      </c>
      <c r="G1064">
        <v>1341.4481201000001</v>
      </c>
      <c r="H1064">
        <v>1338.3724365</v>
      </c>
      <c r="I1064">
        <v>1326.1374512</v>
      </c>
      <c r="J1064">
        <v>1324.1203613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370.61899299999999</v>
      </c>
      <c r="B1065" s="1">
        <f>DATE(2011,5,6) + TIME(14,51,21)</f>
        <v>40669.618993055556</v>
      </c>
      <c r="C1065">
        <v>80</v>
      </c>
      <c r="D1065">
        <v>79.970367432000003</v>
      </c>
      <c r="E1065">
        <v>50</v>
      </c>
      <c r="F1065">
        <v>49.344490051000001</v>
      </c>
      <c r="G1065">
        <v>1341.4398193</v>
      </c>
      <c r="H1065">
        <v>1338.3686522999999</v>
      </c>
      <c r="I1065">
        <v>1326.1364745999999</v>
      </c>
      <c r="J1065">
        <v>1324.1191406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370.76381700000002</v>
      </c>
      <c r="B1066" s="1">
        <f>DATE(2011,5,6) + TIME(18,19,53)</f>
        <v>40669.763807870368</v>
      </c>
      <c r="C1066">
        <v>80</v>
      </c>
      <c r="D1066">
        <v>79.970352172999995</v>
      </c>
      <c r="E1066">
        <v>50</v>
      </c>
      <c r="F1066">
        <v>49.331111907999997</v>
      </c>
      <c r="G1066">
        <v>1341.4315185999999</v>
      </c>
      <c r="H1066">
        <v>1338.3647461</v>
      </c>
      <c r="I1066">
        <v>1326.135376</v>
      </c>
      <c r="J1066">
        <v>1324.1177978999999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370.912126</v>
      </c>
      <c r="B1067" s="1">
        <f>DATE(2011,5,6) + TIME(21,53,27)</f>
        <v>40669.912118055552</v>
      </c>
      <c r="C1067">
        <v>80</v>
      </c>
      <c r="D1067">
        <v>79.970329285000005</v>
      </c>
      <c r="E1067">
        <v>50</v>
      </c>
      <c r="F1067">
        <v>49.317485808999997</v>
      </c>
      <c r="G1067">
        <v>1341.4229736</v>
      </c>
      <c r="H1067">
        <v>1338.3608397999999</v>
      </c>
      <c r="I1067">
        <v>1326.1342772999999</v>
      </c>
      <c r="J1067">
        <v>1324.1165771000001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371.06474700000001</v>
      </c>
      <c r="B1068" s="1">
        <f>DATE(2011,5,7) + TIME(1,33,14)</f>
        <v>40670.064745370371</v>
      </c>
      <c r="C1068">
        <v>80</v>
      </c>
      <c r="D1068">
        <v>79.970306395999998</v>
      </c>
      <c r="E1068">
        <v>50</v>
      </c>
      <c r="F1068">
        <v>49.303558350000003</v>
      </c>
      <c r="G1068">
        <v>1341.4143065999999</v>
      </c>
      <c r="H1068">
        <v>1338.3568115</v>
      </c>
      <c r="I1068">
        <v>1326.1331786999999</v>
      </c>
      <c r="J1068">
        <v>1324.1151123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371.22201799999999</v>
      </c>
      <c r="B1069" s="1">
        <f>DATE(2011,5,7) + TIME(5,19,42)</f>
        <v>40670.222013888888</v>
      </c>
      <c r="C1069">
        <v>80</v>
      </c>
      <c r="D1069">
        <v>79.970283507999994</v>
      </c>
      <c r="E1069">
        <v>50</v>
      </c>
      <c r="F1069">
        <v>49.289299010999997</v>
      </c>
      <c r="G1069">
        <v>1341.4055175999999</v>
      </c>
      <c r="H1069">
        <v>1338.3527832</v>
      </c>
      <c r="I1069">
        <v>1326.1320800999999</v>
      </c>
      <c r="J1069">
        <v>1324.1137695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371.38258300000001</v>
      </c>
      <c r="B1070" s="1">
        <f>DATE(2011,5,7) + TIME(9,10,55)</f>
        <v>40670.382581018515</v>
      </c>
      <c r="C1070">
        <v>80</v>
      </c>
      <c r="D1070">
        <v>79.970252990999995</v>
      </c>
      <c r="E1070">
        <v>50</v>
      </c>
      <c r="F1070">
        <v>49.274806976000001</v>
      </c>
      <c r="G1070">
        <v>1341.3964844</v>
      </c>
      <c r="H1070">
        <v>1338.3486327999999</v>
      </c>
      <c r="I1070">
        <v>1326.1308594</v>
      </c>
      <c r="J1070">
        <v>1324.1123047000001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371.546851</v>
      </c>
      <c r="B1071" s="1">
        <f>DATE(2011,5,7) + TIME(13,7,27)</f>
        <v>40670.546840277777</v>
      </c>
      <c r="C1071">
        <v>80</v>
      </c>
      <c r="D1071">
        <v>79.970222473000007</v>
      </c>
      <c r="E1071">
        <v>50</v>
      </c>
      <c r="F1071">
        <v>49.260059357000003</v>
      </c>
      <c r="G1071">
        <v>1341.3873291</v>
      </c>
      <c r="H1071">
        <v>1338.3444824000001</v>
      </c>
      <c r="I1071">
        <v>1326.1296387</v>
      </c>
      <c r="J1071">
        <v>1324.1107178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371.71379899999999</v>
      </c>
      <c r="B1072" s="1">
        <f>DATE(2011,5,7) + TIME(17,7,52)</f>
        <v>40670.713796296295</v>
      </c>
      <c r="C1072">
        <v>80</v>
      </c>
      <c r="D1072">
        <v>79.970184325999995</v>
      </c>
      <c r="E1072">
        <v>50</v>
      </c>
      <c r="F1072">
        <v>49.245132446</v>
      </c>
      <c r="G1072">
        <v>1341.3780518000001</v>
      </c>
      <c r="H1072">
        <v>1338.3402100000001</v>
      </c>
      <c r="I1072">
        <v>1326.1282959</v>
      </c>
      <c r="J1072">
        <v>1324.1092529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371.88279399999999</v>
      </c>
      <c r="B1073" s="1">
        <f>DATE(2011,5,7) + TIME(21,11,13)</f>
        <v>40670.882789351854</v>
      </c>
      <c r="C1073">
        <v>80</v>
      </c>
      <c r="D1073">
        <v>79.970146178999997</v>
      </c>
      <c r="E1073">
        <v>50</v>
      </c>
      <c r="F1073">
        <v>49.230079650999997</v>
      </c>
      <c r="G1073">
        <v>1341.3687743999999</v>
      </c>
      <c r="H1073">
        <v>1338.3360596</v>
      </c>
      <c r="I1073">
        <v>1326.1270752</v>
      </c>
      <c r="J1073">
        <v>1324.1076660000001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372.05413099999998</v>
      </c>
      <c r="B1074" s="1">
        <f>DATE(2011,5,8) + TIME(1,17,56)</f>
        <v>40671.054120370369</v>
      </c>
      <c r="C1074">
        <v>80</v>
      </c>
      <c r="D1074">
        <v>79.970108031999999</v>
      </c>
      <c r="E1074">
        <v>50</v>
      </c>
      <c r="F1074">
        <v>49.214874268000003</v>
      </c>
      <c r="G1074">
        <v>1341.3594971</v>
      </c>
      <c r="H1074">
        <v>1338.3317870999999</v>
      </c>
      <c r="I1074">
        <v>1326.1257324000001</v>
      </c>
      <c r="J1074">
        <v>1324.105957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372.22820000000002</v>
      </c>
      <c r="B1075" s="1">
        <f>DATE(2011,5,8) + TIME(5,28,36)</f>
        <v>40671.228194444448</v>
      </c>
      <c r="C1075">
        <v>80</v>
      </c>
      <c r="D1075">
        <v>79.970069885000001</v>
      </c>
      <c r="E1075">
        <v>50</v>
      </c>
      <c r="F1075">
        <v>49.199501038000001</v>
      </c>
      <c r="G1075">
        <v>1341.3502197</v>
      </c>
      <c r="H1075">
        <v>1338.3276367000001</v>
      </c>
      <c r="I1075">
        <v>1326.1243896000001</v>
      </c>
      <c r="J1075">
        <v>1324.1043701000001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372.40525700000001</v>
      </c>
      <c r="B1076" s="1">
        <f>DATE(2011,5,8) + TIME(9,43,34)</f>
        <v>40671.40525462963</v>
      </c>
      <c r="C1076">
        <v>80</v>
      </c>
      <c r="D1076">
        <v>79.970031738000003</v>
      </c>
      <c r="E1076">
        <v>50</v>
      </c>
      <c r="F1076">
        <v>49.183937073000003</v>
      </c>
      <c r="G1076">
        <v>1341.3409423999999</v>
      </c>
      <c r="H1076">
        <v>1338.3233643000001</v>
      </c>
      <c r="I1076">
        <v>1326.1229248</v>
      </c>
      <c r="J1076">
        <v>1324.1025391000001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372.585646</v>
      </c>
      <c r="B1077" s="1">
        <f>DATE(2011,5,8) + TIME(14,3,19)</f>
        <v>40671.585636574076</v>
      </c>
      <c r="C1077">
        <v>80</v>
      </c>
      <c r="D1077">
        <v>79.969985961999996</v>
      </c>
      <c r="E1077">
        <v>50</v>
      </c>
      <c r="F1077">
        <v>49.168167113999999</v>
      </c>
      <c r="G1077">
        <v>1341.3316649999999</v>
      </c>
      <c r="H1077">
        <v>1338.3192139</v>
      </c>
      <c r="I1077">
        <v>1326.121582</v>
      </c>
      <c r="J1077">
        <v>1324.1008300999999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372.76974200000001</v>
      </c>
      <c r="B1078" s="1">
        <f>DATE(2011,5,8) + TIME(18,28,25)</f>
        <v>40671.769733796296</v>
      </c>
      <c r="C1078">
        <v>80</v>
      </c>
      <c r="D1078">
        <v>79.969947814999998</v>
      </c>
      <c r="E1078">
        <v>50</v>
      </c>
      <c r="F1078">
        <v>49.152156830000003</v>
      </c>
      <c r="G1078">
        <v>1341.3222656</v>
      </c>
      <c r="H1078">
        <v>1338.3149414</v>
      </c>
      <c r="I1078">
        <v>1326.1201172000001</v>
      </c>
      <c r="J1078">
        <v>1324.098999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372.95795099999998</v>
      </c>
      <c r="B1079" s="1">
        <f>DATE(2011,5,8) + TIME(22,59,26)</f>
        <v>40671.957939814813</v>
      </c>
      <c r="C1079">
        <v>80</v>
      </c>
      <c r="D1079">
        <v>79.969902039000004</v>
      </c>
      <c r="E1079">
        <v>50</v>
      </c>
      <c r="F1079">
        <v>49.135890961000001</v>
      </c>
      <c r="G1079">
        <v>1341.3127440999999</v>
      </c>
      <c r="H1079">
        <v>1338.3107910000001</v>
      </c>
      <c r="I1079">
        <v>1326.1186522999999</v>
      </c>
      <c r="J1079">
        <v>1324.097168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373.15071499999999</v>
      </c>
      <c r="B1080" s="1">
        <f>DATE(2011,5,9) + TIME(3,37,1)</f>
        <v>40672.150706018518</v>
      </c>
      <c r="C1080">
        <v>80</v>
      </c>
      <c r="D1080">
        <v>79.969856261999993</v>
      </c>
      <c r="E1080">
        <v>50</v>
      </c>
      <c r="F1080">
        <v>49.119327544999997</v>
      </c>
      <c r="G1080">
        <v>1341.3033447</v>
      </c>
      <c r="H1080">
        <v>1338.3065185999999</v>
      </c>
      <c r="I1080">
        <v>1326.1170654</v>
      </c>
      <c r="J1080">
        <v>1324.0952147999999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373.348522</v>
      </c>
      <c r="B1081" s="1">
        <f>DATE(2011,5,9) + TIME(8,21,52)</f>
        <v>40672.34851851852</v>
      </c>
      <c r="C1081">
        <v>80</v>
      </c>
      <c r="D1081">
        <v>79.969810486</v>
      </c>
      <c r="E1081">
        <v>50</v>
      </c>
      <c r="F1081">
        <v>49.102443694999998</v>
      </c>
      <c r="G1081">
        <v>1341.2937012</v>
      </c>
      <c r="H1081">
        <v>1338.3022461</v>
      </c>
      <c r="I1081">
        <v>1326.1154785000001</v>
      </c>
      <c r="J1081">
        <v>1324.0932617000001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373.54922499999998</v>
      </c>
      <c r="B1082" s="1">
        <f>DATE(2011,5,9) + TIME(13,10,53)</f>
        <v>40672.549224537041</v>
      </c>
      <c r="C1082">
        <v>80</v>
      </c>
      <c r="D1082">
        <v>79.969757079999994</v>
      </c>
      <c r="E1082">
        <v>50</v>
      </c>
      <c r="F1082">
        <v>49.085380553999997</v>
      </c>
      <c r="G1082">
        <v>1341.2840576000001</v>
      </c>
      <c r="H1082">
        <v>1338.2978516000001</v>
      </c>
      <c r="I1082">
        <v>1326.1137695</v>
      </c>
      <c r="J1082">
        <v>1324.0911865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373.75182699999999</v>
      </c>
      <c r="B1083" s="1">
        <f>DATE(2011,5,9) + TIME(18,2,37)</f>
        <v>40672.751817129632</v>
      </c>
      <c r="C1083">
        <v>80</v>
      </c>
      <c r="D1083">
        <v>79.969711304</v>
      </c>
      <c r="E1083">
        <v>50</v>
      </c>
      <c r="F1083">
        <v>49.068210602000001</v>
      </c>
      <c r="G1083">
        <v>1341.2744141000001</v>
      </c>
      <c r="H1083">
        <v>1338.2935791</v>
      </c>
      <c r="I1083">
        <v>1326.1120605000001</v>
      </c>
      <c r="J1083">
        <v>1324.0891113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373.95683200000002</v>
      </c>
      <c r="B1084" s="1">
        <f>DATE(2011,5,9) + TIME(22,57,50)</f>
        <v>40672.956828703704</v>
      </c>
      <c r="C1084">
        <v>80</v>
      </c>
      <c r="D1084">
        <v>79.969665527000004</v>
      </c>
      <c r="E1084">
        <v>50</v>
      </c>
      <c r="F1084">
        <v>49.050907135000003</v>
      </c>
      <c r="G1084">
        <v>1341.2647704999999</v>
      </c>
      <c r="H1084">
        <v>1338.2893065999999</v>
      </c>
      <c r="I1084">
        <v>1326.1103516000001</v>
      </c>
      <c r="J1084">
        <v>1324.0869141000001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374.16461600000002</v>
      </c>
      <c r="B1085" s="1">
        <f>DATE(2011,5,10) + TIME(3,57,2)</f>
        <v>40673.164606481485</v>
      </c>
      <c r="C1085">
        <v>80</v>
      </c>
      <c r="D1085">
        <v>79.969619750999996</v>
      </c>
      <c r="E1085">
        <v>50</v>
      </c>
      <c r="F1085">
        <v>49.033454894999998</v>
      </c>
      <c r="G1085">
        <v>1341.255249</v>
      </c>
      <c r="H1085">
        <v>1338.2850341999999</v>
      </c>
      <c r="I1085">
        <v>1326.1086425999999</v>
      </c>
      <c r="J1085">
        <v>1324.0847168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374.37564200000003</v>
      </c>
      <c r="B1086" s="1">
        <f>DATE(2011,5,10) + TIME(9,0,55)</f>
        <v>40673.375636574077</v>
      </c>
      <c r="C1086">
        <v>80</v>
      </c>
      <c r="D1086">
        <v>79.969566345000004</v>
      </c>
      <c r="E1086">
        <v>50</v>
      </c>
      <c r="F1086">
        <v>49.015823363999999</v>
      </c>
      <c r="G1086">
        <v>1341.2457274999999</v>
      </c>
      <c r="H1086">
        <v>1338.2808838000001</v>
      </c>
      <c r="I1086">
        <v>1326.1068115</v>
      </c>
      <c r="J1086">
        <v>1324.0825195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374.590396</v>
      </c>
      <c r="B1087" s="1">
        <f>DATE(2011,5,10) + TIME(14,10,10)</f>
        <v>40673.59039351852</v>
      </c>
      <c r="C1087">
        <v>80</v>
      </c>
      <c r="D1087">
        <v>79.969520568999997</v>
      </c>
      <c r="E1087">
        <v>50</v>
      </c>
      <c r="F1087">
        <v>48.997982024999999</v>
      </c>
      <c r="G1087">
        <v>1341.2363281</v>
      </c>
      <c r="H1087">
        <v>1338.2767334</v>
      </c>
      <c r="I1087">
        <v>1326.1049805</v>
      </c>
      <c r="J1087">
        <v>1324.0802002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374.80987699999997</v>
      </c>
      <c r="B1088" s="1">
        <f>DATE(2011,5,10) + TIME(19,26,13)</f>
        <v>40673.809872685182</v>
      </c>
      <c r="C1088">
        <v>80</v>
      </c>
      <c r="D1088">
        <v>79.969467163000004</v>
      </c>
      <c r="E1088">
        <v>50</v>
      </c>
      <c r="F1088">
        <v>48.979869843000003</v>
      </c>
      <c r="G1088">
        <v>1341.2268065999999</v>
      </c>
      <c r="H1088">
        <v>1338.2725829999999</v>
      </c>
      <c r="I1088">
        <v>1326.1031493999999</v>
      </c>
      <c r="J1088">
        <v>1324.0777588000001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375.03521799999999</v>
      </c>
      <c r="B1089" s="1">
        <f>DATE(2011,5,11) + TIME(0,50,42)</f>
        <v>40674.035208333335</v>
      </c>
      <c r="C1089">
        <v>80</v>
      </c>
      <c r="D1089">
        <v>79.969421386999997</v>
      </c>
      <c r="E1089">
        <v>50</v>
      </c>
      <c r="F1089">
        <v>48.961410522000001</v>
      </c>
      <c r="G1089">
        <v>1341.2172852000001</v>
      </c>
      <c r="H1089">
        <v>1338.2684326000001</v>
      </c>
      <c r="I1089">
        <v>1326.1011963000001</v>
      </c>
      <c r="J1089">
        <v>1324.0753173999999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375.26675</v>
      </c>
      <c r="B1090" s="1">
        <f>DATE(2011,5,11) + TIME(6,24,7)</f>
        <v>40674.266747685186</v>
      </c>
      <c r="C1090">
        <v>80</v>
      </c>
      <c r="D1090">
        <v>79.969367981000005</v>
      </c>
      <c r="E1090">
        <v>50</v>
      </c>
      <c r="F1090">
        <v>48.942584990999997</v>
      </c>
      <c r="G1090">
        <v>1341.2076416</v>
      </c>
      <c r="H1090">
        <v>1338.2642822</v>
      </c>
      <c r="I1090">
        <v>1326.0991211</v>
      </c>
      <c r="J1090">
        <v>1324.0727539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375.50508100000002</v>
      </c>
      <c r="B1091" s="1">
        <f>DATE(2011,5,11) + TIME(12,7,19)</f>
        <v>40674.50508101852</v>
      </c>
      <c r="C1091">
        <v>80</v>
      </c>
      <c r="D1091">
        <v>79.969314574999999</v>
      </c>
      <c r="E1091">
        <v>50</v>
      </c>
      <c r="F1091">
        <v>48.923347473</v>
      </c>
      <c r="G1091">
        <v>1341.1979980000001</v>
      </c>
      <c r="H1091">
        <v>1338.2600098</v>
      </c>
      <c r="I1091">
        <v>1326.0970459</v>
      </c>
      <c r="J1091">
        <v>1324.0701904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375.74834099999998</v>
      </c>
      <c r="B1092" s="1">
        <f>DATE(2011,5,11) + TIME(17,57,36)</f>
        <v>40674.748333333337</v>
      </c>
      <c r="C1092">
        <v>80</v>
      </c>
      <c r="D1092">
        <v>79.969268799000005</v>
      </c>
      <c r="E1092">
        <v>50</v>
      </c>
      <c r="F1092">
        <v>48.903820037999999</v>
      </c>
      <c r="G1092">
        <v>1341.1881103999999</v>
      </c>
      <c r="H1092">
        <v>1338.2557373</v>
      </c>
      <c r="I1092">
        <v>1326.0948486</v>
      </c>
      <c r="J1092">
        <v>1324.0673827999999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375.995023</v>
      </c>
      <c r="B1093" s="1">
        <f>DATE(2011,5,11) + TIME(23,52,49)</f>
        <v>40674.995011574072</v>
      </c>
      <c r="C1093">
        <v>80</v>
      </c>
      <c r="D1093">
        <v>79.969215392999999</v>
      </c>
      <c r="E1093">
        <v>50</v>
      </c>
      <c r="F1093">
        <v>48.884090424</v>
      </c>
      <c r="G1093">
        <v>1341.1783447</v>
      </c>
      <c r="H1093">
        <v>1338.2515868999999</v>
      </c>
      <c r="I1093">
        <v>1326.0926514</v>
      </c>
      <c r="J1093">
        <v>1324.0645752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376.24555700000002</v>
      </c>
      <c r="B1094" s="1">
        <f>DATE(2011,5,12) + TIME(5,53,36)</f>
        <v>40675.245555555557</v>
      </c>
      <c r="C1094">
        <v>80</v>
      </c>
      <c r="D1094">
        <v>79.969161987000007</v>
      </c>
      <c r="E1094">
        <v>50</v>
      </c>
      <c r="F1094">
        <v>48.864147185999997</v>
      </c>
      <c r="G1094">
        <v>1341.1685791</v>
      </c>
      <c r="H1094">
        <v>1338.2474365</v>
      </c>
      <c r="I1094">
        <v>1326.090332</v>
      </c>
      <c r="J1094">
        <v>1324.0616454999999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376.497568</v>
      </c>
      <c r="B1095" s="1">
        <f>DATE(2011,5,12) + TIME(11,56,29)</f>
        <v>40675.497557870367</v>
      </c>
      <c r="C1095">
        <v>80</v>
      </c>
      <c r="D1095">
        <v>79.969108582000004</v>
      </c>
      <c r="E1095">
        <v>50</v>
      </c>
      <c r="F1095">
        <v>48.844142914000003</v>
      </c>
      <c r="G1095">
        <v>1341.1588135</v>
      </c>
      <c r="H1095">
        <v>1338.2431641000001</v>
      </c>
      <c r="I1095">
        <v>1326.0880127</v>
      </c>
      <c r="J1095">
        <v>1324.0585937999999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376.75155599999999</v>
      </c>
      <c r="B1096" s="1">
        <f>DATE(2011,5,12) + TIME(18,2,14)</f>
        <v>40675.751550925925</v>
      </c>
      <c r="C1096">
        <v>80</v>
      </c>
      <c r="D1096">
        <v>79.969055175999998</v>
      </c>
      <c r="E1096">
        <v>50</v>
      </c>
      <c r="F1096">
        <v>48.824058532999999</v>
      </c>
      <c r="G1096">
        <v>1341.1491699000001</v>
      </c>
      <c r="H1096">
        <v>1338.2391356999999</v>
      </c>
      <c r="I1096">
        <v>1326.0855713000001</v>
      </c>
      <c r="J1096">
        <v>1324.0555420000001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377.00800500000003</v>
      </c>
      <c r="B1097" s="1">
        <f>DATE(2011,5,13) + TIME(0,11,31)</f>
        <v>40676.007997685185</v>
      </c>
      <c r="C1097">
        <v>80</v>
      </c>
      <c r="D1097">
        <v>79.969009399000001</v>
      </c>
      <c r="E1097">
        <v>50</v>
      </c>
      <c r="F1097">
        <v>48.803874968999999</v>
      </c>
      <c r="G1097">
        <v>1341.1397704999999</v>
      </c>
      <c r="H1097">
        <v>1338.2351074000001</v>
      </c>
      <c r="I1097">
        <v>1326.0831298999999</v>
      </c>
      <c r="J1097">
        <v>1324.0523682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377.26740799999999</v>
      </c>
      <c r="B1098" s="1">
        <f>DATE(2011,5,13) + TIME(6,25,4)</f>
        <v>40676.267407407409</v>
      </c>
      <c r="C1098">
        <v>80</v>
      </c>
      <c r="D1098">
        <v>79.968955993999998</v>
      </c>
      <c r="E1098">
        <v>50</v>
      </c>
      <c r="F1098">
        <v>48.783573150999999</v>
      </c>
      <c r="G1098">
        <v>1341.1303711</v>
      </c>
      <c r="H1098">
        <v>1338.2310791</v>
      </c>
      <c r="I1098">
        <v>1326.0805664</v>
      </c>
      <c r="J1098">
        <v>1324.0491943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377.53034700000001</v>
      </c>
      <c r="B1099" s="1">
        <f>DATE(2011,5,13) + TIME(12,43,41)</f>
        <v>40676.530335648145</v>
      </c>
      <c r="C1099">
        <v>80</v>
      </c>
      <c r="D1099">
        <v>79.968902588000006</v>
      </c>
      <c r="E1099">
        <v>50</v>
      </c>
      <c r="F1099">
        <v>48.763122559000003</v>
      </c>
      <c r="G1099">
        <v>1341.1209716999999</v>
      </c>
      <c r="H1099">
        <v>1338.2271728999999</v>
      </c>
      <c r="I1099">
        <v>1326.078125</v>
      </c>
      <c r="J1099">
        <v>1324.0458983999999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377.79734000000002</v>
      </c>
      <c r="B1100" s="1">
        <f>DATE(2011,5,13) + TIME(19,8,10)</f>
        <v>40676.797337962962</v>
      </c>
      <c r="C1100">
        <v>80</v>
      </c>
      <c r="D1100">
        <v>79.968856811999999</v>
      </c>
      <c r="E1100">
        <v>50</v>
      </c>
      <c r="F1100">
        <v>48.742492675999998</v>
      </c>
      <c r="G1100">
        <v>1341.1116943</v>
      </c>
      <c r="H1100">
        <v>1338.2232666</v>
      </c>
      <c r="I1100">
        <v>1326.0754394999999</v>
      </c>
      <c r="J1100">
        <v>1324.0426024999999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378.06891100000001</v>
      </c>
      <c r="B1101" s="1">
        <f>DATE(2011,5,14) + TIME(1,39,13)</f>
        <v>40677.06890046296</v>
      </c>
      <c r="C1101">
        <v>80</v>
      </c>
      <c r="D1101">
        <v>79.968803406000006</v>
      </c>
      <c r="E1101">
        <v>50</v>
      </c>
      <c r="F1101">
        <v>48.721649169999999</v>
      </c>
      <c r="G1101">
        <v>1341.1025391000001</v>
      </c>
      <c r="H1101">
        <v>1338.2193603999999</v>
      </c>
      <c r="I1101">
        <v>1326.0727539</v>
      </c>
      <c r="J1101">
        <v>1324.0390625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378.34566999999998</v>
      </c>
      <c r="B1102" s="1">
        <f>DATE(2011,5,14) + TIME(8,17,45)</f>
        <v>40677.345659722225</v>
      </c>
      <c r="C1102">
        <v>80</v>
      </c>
      <c r="D1102">
        <v>79.968757628999995</v>
      </c>
      <c r="E1102">
        <v>50</v>
      </c>
      <c r="F1102">
        <v>48.700561522999998</v>
      </c>
      <c r="G1102">
        <v>1341.0932617000001</v>
      </c>
      <c r="H1102">
        <v>1338.2154541</v>
      </c>
      <c r="I1102">
        <v>1326.0700684000001</v>
      </c>
      <c r="J1102">
        <v>1324.0355225000001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378.62778300000002</v>
      </c>
      <c r="B1103" s="1">
        <f>DATE(2011,5,14) + TIME(15,4,0)</f>
        <v>40677.62777777778</v>
      </c>
      <c r="C1103">
        <v>80</v>
      </c>
      <c r="D1103">
        <v>79.968704224000007</v>
      </c>
      <c r="E1103">
        <v>50</v>
      </c>
      <c r="F1103">
        <v>48.679218292000002</v>
      </c>
      <c r="G1103">
        <v>1341.0841064000001</v>
      </c>
      <c r="H1103">
        <v>1338.2115478999999</v>
      </c>
      <c r="I1103">
        <v>1326.0672606999999</v>
      </c>
      <c r="J1103">
        <v>1324.0318603999999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378.91293100000001</v>
      </c>
      <c r="B1104" s="1">
        <f>DATE(2011,5,14) + TIME(21,54,37)</f>
        <v>40677.912928240738</v>
      </c>
      <c r="C1104">
        <v>80</v>
      </c>
      <c r="D1104">
        <v>79.968650818</v>
      </c>
      <c r="E1104">
        <v>50</v>
      </c>
      <c r="F1104">
        <v>48.657745361000003</v>
      </c>
      <c r="G1104">
        <v>1341.0749512</v>
      </c>
      <c r="H1104">
        <v>1338.2077637</v>
      </c>
      <c r="I1104">
        <v>1326.0643310999999</v>
      </c>
      <c r="J1104">
        <v>1324.0280762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379.20171699999997</v>
      </c>
      <c r="B1105" s="1">
        <f>DATE(2011,5,15) + TIME(4,50,28)</f>
        <v>40678.20171296296</v>
      </c>
      <c r="C1105">
        <v>80</v>
      </c>
      <c r="D1105">
        <v>79.968605041999993</v>
      </c>
      <c r="E1105">
        <v>50</v>
      </c>
      <c r="F1105">
        <v>48.636119843000003</v>
      </c>
      <c r="G1105">
        <v>1341.0657959</v>
      </c>
      <c r="H1105">
        <v>1338.2039795000001</v>
      </c>
      <c r="I1105">
        <v>1326.0614014</v>
      </c>
      <c r="J1105">
        <v>1324.0242920000001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379.49483700000002</v>
      </c>
      <c r="B1106" s="1">
        <f>DATE(2011,5,15) + TIME(11,52,33)</f>
        <v>40678.494826388887</v>
      </c>
      <c r="C1106">
        <v>80</v>
      </c>
      <c r="D1106">
        <v>79.968551636000001</v>
      </c>
      <c r="E1106">
        <v>50</v>
      </c>
      <c r="F1106">
        <v>48.614307404000002</v>
      </c>
      <c r="G1106">
        <v>1341.0566406</v>
      </c>
      <c r="H1106">
        <v>1338.2001952999999</v>
      </c>
      <c r="I1106">
        <v>1326.0583495999999</v>
      </c>
      <c r="J1106">
        <v>1324.0202637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379.79344400000002</v>
      </c>
      <c r="B1107" s="1">
        <f>DATE(2011,5,15) + TIME(19,2,33)</f>
        <v>40678.793437499997</v>
      </c>
      <c r="C1107">
        <v>80</v>
      </c>
      <c r="D1107">
        <v>79.968505859000004</v>
      </c>
      <c r="E1107">
        <v>50</v>
      </c>
      <c r="F1107">
        <v>48.592250823999997</v>
      </c>
      <c r="G1107">
        <v>1341.0477295000001</v>
      </c>
      <c r="H1107">
        <v>1338.1964111</v>
      </c>
      <c r="I1107">
        <v>1326.0551757999999</v>
      </c>
      <c r="J1107">
        <v>1324.0162353999999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380.09980200000001</v>
      </c>
      <c r="B1108" s="1">
        <f>DATE(2011,5,16) + TIME(2,23,42)</f>
        <v>40679.099791666667</v>
      </c>
      <c r="C1108">
        <v>80</v>
      </c>
      <c r="D1108">
        <v>79.968452454000001</v>
      </c>
      <c r="E1108">
        <v>50</v>
      </c>
      <c r="F1108">
        <v>48.569824218999997</v>
      </c>
      <c r="G1108">
        <v>1341.0386963000001</v>
      </c>
      <c r="H1108">
        <v>1338.192749</v>
      </c>
      <c r="I1108">
        <v>1326.0520019999999</v>
      </c>
      <c r="J1108">
        <v>1324.0119629000001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380.41504400000002</v>
      </c>
      <c r="B1109" s="1">
        <f>DATE(2011,5,16) + TIME(9,57,39)</f>
        <v>40679.415034722224</v>
      </c>
      <c r="C1109">
        <v>80</v>
      </c>
      <c r="D1109">
        <v>79.968406677000004</v>
      </c>
      <c r="E1109">
        <v>50</v>
      </c>
      <c r="F1109">
        <v>48.546962737999998</v>
      </c>
      <c r="G1109">
        <v>1341.0295410000001</v>
      </c>
      <c r="H1109">
        <v>1338.1889647999999</v>
      </c>
      <c r="I1109">
        <v>1326.0487060999999</v>
      </c>
      <c r="J1109">
        <v>1324.0076904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380.74048599999998</v>
      </c>
      <c r="B1110" s="1">
        <f>DATE(2011,5,16) + TIME(17,46,18)</f>
        <v>40679.740486111114</v>
      </c>
      <c r="C1110">
        <v>80</v>
      </c>
      <c r="D1110">
        <v>79.968353270999998</v>
      </c>
      <c r="E1110">
        <v>50</v>
      </c>
      <c r="F1110">
        <v>48.523586272999999</v>
      </c>
      <c r="G1110">
        <v>1341.0203856999999</v>
      </c>
      <c r="H1110">
        <v>1338.1851807</v>
      </c>
      <c r="I1110">
        <v>1326.0452881000001</v>
      </c>
      <c r="J1110">
        <v>1324.0031738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381.07759099999998</v>
      </c>
      <c r="B1111" s="1">
        <f>DATE(2011,5,17) + TIME(1,51,43)</f>
        <v>40680.077581018515</v>
      </c>
      <c r="C1111">
        <v>80</v>
      </c>
      <c r="D1111">
        <v>79.968299865999995</v>
      </c>
      <c r="E1111">
        <v>50</v>
      </c>
      <c r="F1111">
        <v>48.499610900999997</v>
      </c>
      <c r="G1111">
        <v>1341.0111084</v>
      </c>
      <c r="H1111">
        <v>1338.1813964999999</v>
      </c>
      <c r="I1111">
        <v>1326.041626</v>
      </c>
      <c r="J1111">
        <v>1323.9984131000001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381.41962699999999</v>
      </c>
      <c r="B1112" s="1">
        <f>DATE(2011,5,17) + TIME(10,4,15)</f>
        <v>40680.419618055559</v>
      </c>
      <c r="C1112">
        <v>80</v>
      </c>
      <c r="D1112">
        <v>79.968246460000003</v>
      </c>
      <c r="E1112">
        <v>50</v>
      </c>
      <c r="F1112">
        <v>48.475357056</v>
      </c>
      <c r="G1112">
        <v>1341.0017089999999</v>
      </c>
      <c r="H1112">
        <v>1338.1774902</v>
      </c>
      <c r="I1112">
        <v>1326.0378418</v>
      </c>
      <c r="J1112">
        <v>1323.9934082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381.76487800000001</v>
      </c>
      <c r="B1113" s="1">
        <f>DATE(2011,5,17) + TIME(18,21,25)</f>
        <v>40680.764872685184</v>
      </c>
      <c r="C1113">
        <v>80</v>
      </c>
      <c r="D1113">
        <v>79.968200683999996</v>
      </c>
      <c r="E1113">
        <v>50</v>
      </c>
      <c r="F1113">
        <v>48.450939177999999</v>
      </c>
      <c r="G1113">
        <v>1340.9924315999999</v>
      </c>
      <c r="H1113">
        <v>1338.1737060999999</v>
      </c>
      <c r="I1113">
        <v>1326.0340576000001</v>
      </c>
      <c r="J1113">
        <v>1323.9882812000001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382.11430200000001</v>
      </c>
      <c r="B1114" s="1">
        <f>DATE(2011,5,18) + TIME(2,44,35)</f>
        <v>40681.114293981482</v>
      </c>
      <c r="C1114">
        <v>80</v>
      </c>
      <c r="D1114">
        <v>79.968147278000004</v>
      </c>
      <c r="E1114">
        <v>50</v>
      </c>
      <c r="F1114">
        <v>48.426345824999999</v>
      </c>
      <c r="G1114">
        <v>1340.9831543</v>
      </c>
      <c r="H1114">
        <v>1338.1699219</v>
      </c>
      <c r="I1114">
        <v>1326.0300293</v>
      </c>
      <c r="J1114">
        <v>1323.9831543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382.468593</v>
      </c>
      <c r="B1115" s="1">
        <f>DATE(2011,5,18) + TIME(11,14,46)</f>
        <v>40681.468587962961</v>
      </c>
      <c r="C1115">
        <v>80</v>
      </c>
      <c r="D1115">
        <v>79.968093871999997</v>
      </c>
      <c r="E1115">
        <v>50</v>
      </c>
      <c r="F1115">
        <v>48.401554107999999</v>
      </c>
      <c r="G1115">
        <v>1340.9738769999999</v>
      </c>
      <c r="H1115">
        <v>1338.1661377</v>
      </c>
      <c r="I1115">
        <v>1326.026001</v>
      </c>
      <c r="J1115">
        <v>1323.9777832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382.82638800000001</v>
      </c>
      <c r="B1116" s="1">
        <f>DATE(2011,5,18) + TIME(19,49,59)</f>
        <v>40681.826377314814</v>
      </c>
      <c r="C1116">
        <v>80</v>
      </c>
      <c r="D1116">
        <v>79.968048096000004</v>
      </c>
      <c r="E1116">
        <v>50</v>
      </c>
      <c r="F1116">
        <v>48.376647949000002</v>
      </c>
      <c r="G1116">
        <v>1340.9647216999999</v>
      </c>
      <c r="H1116">
        <v>1338.1624756000001</v>
      </c>
      <c r="I1116">
        <v>1326.0219727000001</v>
      </c>
      <c r="J1116">
        <v>1323.9722899999999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383.18560500000001</v>
      </c>
      <c r="B1117" s="1">
        <f>DATE(2011,5,19) + TIME(4,27,16)</f>
        <v>40682.185601851852</v>
      </c>
      <c r="C1117">
        <v>80</v>
      </c>
      <c r="D1117">
        <v>79.967994689999998</v>
      </c>
      <c r="E1117">
        <v>50</v>
      </c>
      <c r="F1117">
        <v>48.351737976000003</v>
      </c>
      <c r="G1117">
        <v>1340.9556885</v>
      </c>
      <c r="H1117">
        <v>1338.1588135</v>
      </c>
      <c r="I1117">
        <v>1326.0177002</v>
      </c>
      <c r="J1117">
        <v>1323.9666748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383.54706800000002</v>
      </c>
      <c r="B1118" s="1">
        <f>DATE(2011,5,19) + TIME(13,7,46)</f>
        <v>40682.547060185185</v>
      </c>
      <c r="C1118">
        <v>80</v>
      </c>
      <c r="D1118">
        <v>79.967948914000004</v>
      </c>
      <c r="E1118">
        <v>50</v>
      </c>
      <c r="F1118">
        <v>48.326812744000001</v>
      </c>
      <c r="G1118">
        <v>1340.9467772999999</v>
      </c>
      <c r="H1118">
        <v>1338.1551514</v>
      </c>
      <c r="I1118">
        <v>1326.0134277</v>
      </c>
      <c r="J1118">
        <v>1323.9609375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383.91157900000002</v>
      </c>
      <c r="B1119" s="1">
        <f>DATE(2011,5,19) + TIME(21,52,40)</f>
        <v>40682.911574074074</v>
      </c>
      <c r="C1119">
        <v>80</v>
      </c>
      <c r="D1119">
        <v>79.967895507999998</v>
      </c>
      <c r="E1119">
        <v>50</v>
      </c>
      <c r="F1119">
        <v>48.301841736</v>
      </c>
      <c r="G1119">
        <v>1340.9379882999999</v>
      </c>
      <c r="H1119">
        <v>1338.1516113</v>
      </c>
      <c r="I1119">
        <v>1326.0090332</v>
      </c>
      <c r="J1119">
        <v>1323.9552002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384.27995299999998</v>
      </c>
      <c r="B1120" s="1">
        <f>DATE(2011,5,20) + TIME(6,43,7)</f>
        <v>40683.279942129629</v>
      </c>
      <c r="C1120">
        <v>80</v>
      </c>
      <c r="D1120">
        <v>79.967849731000001</v>
      </c>
      <c r="E1120">
        <v>50</v>
      </c>
      <c r="F1120">
        <v>48.276794434000003</v>
      </c>
      <c r="G1120">
        <v>1340.9293213000001</v>
      </c>
      <c r="H1120">
        <v>1338.1480713000001</v>
      </c>
      <c r="I1120">
        <v>1326.0046387</v>
      </c>
      <c r="J1120">
        <v>1323.9492187999999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384.65306900000002</v>
      </c>
      <c r="B1121" s="1">
        <f>DATE(2011,5,20) + TIME(15,40,25)</f>
        <v>40683.653067129628</v>
      </c>
      <c r="C1121">
        <v>80</v>
      </c>
      <c r="D1121">
        <v>79.967803954999994</v>
      </c>
      <c r="E1121">
        <v>50</v>
      </c>
      <c r="F1121">
        <v>48.251628875999998</v>
      </c>
      <c r="G1121">
        <v>1340.9206543</v>
      </c>
      <c r="H1121">
        <v>1338.1445312000001</v>
      </c>
      <c r="I1121">
        <v>1326.0001221</v>
      </c>
      <c r="J1121">
        <v>1323.9432373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385.03192799999999</v>
      </c>
      <c r="B1122" s="1">
        <f>DATE(2011,5,21) + TIME(0,45,58)</f>
        <v>40684.031921296293</v>
      </c>
      <c r="C1122">
        <v>80</v>
      </c>
      <c r="D1122">
        <v>79.967758179</v>
      </c>
      <c r="E1122">
        <v>50</v>
      </c>
      <c r="F1122">
        <v>48.226295471</v>
      </c>
      <c r="G1122">
        <v>1340.9121094</v>
      </c>
      <c r="H1122">
        <v>1338.1411132999999</v>
      </c>
      <c r="I1122">
        <v>1325.9954834</v>
      </c>
      <c r="J1122">
        <v>1323.9370117000001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385.41733499999998</v>
      </c>
      <c r="B1123" s="1">
        <f>DATE(2011,5,21) + TIME(10,0,57)</f>
        <v>40684.417326388888</v>
      </c>
      <c r="C1123">
        <v>80</v>
      </c>
      <c r="D1123">
        <v>79.967704772999994</v>
      </c>
      <c r="E1123">
        <v>50</v>
      </c>
      <c r="F1123">
        <v>48.200748443999998</v>
      </c>
      <c r="G1123">
        <v>1340.9035644999999</v>
      </c>
      <c r="H1123">
        <v>1338.1375731999999</v>
      </c>
      <c r="I1123">
        <v>1325.9908447</v>
      </c>
      <c r="J1123">
        <v>1323.9306641000001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385.80994700000002</v>
      </c>
      <c r="B1124" s="1">
        <f>DATE(2011,5,21) + TIME(19,26,19)</f>
        <v>40684.809942129628</v>
      </c>
      <c r="C1124">
        <v>80</v>
      </c>
      <c r="D1124">
        <v>79.967658997000001</v>
      </c>
      <c r="E1124">
        <v>50</v>
      </c>
      <c r="F1124">
        <v>48.174953461000001</v>
      </c>
      <c r="G1124">
        <v>1340.8950195</v>
      </c>
      <c r="H1124">
        <v>1338.1341553</v>
      </c>
      <c r="I1124">
        <v>1325.9859618999999</v>
      </c>
      <c r="J1124">
        <v>1323.9240723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386.21208000000001</v>
      </c>
      <c r="B1125" s="1">
        <f>DATE(2011,5,22) + TIME(5,5,23)</f>
        <v>40685.212071759262</v>
      </c>
      <c r="C1125">
        <v>80</v>
      </c>
      <c r="D1125">
        <v>79.967613220000004</v>
      </c>
      <c r="E1125">
        <v>50</v>
      </c>
      <c r="F1125">
        <v>48.148799896</v>
      </c>
      <c r="G1125">
        <v>1340.8864745999999</v>
      </c>
      <c r="H1125">
        <v>1338.1306152</v>
      </c>
      <c r="I1125">
        <v>1325.980957</v>
      </c>
      <c r="J1125">
        <v>1323.9173584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386.62418500000001</v>
      </c>
      <c r="B1126" s="1">
        <f>DATE(2011,5,22) + TIME(14,58,49)</f>
        <v>40685.624178240738</v>
      </c>
      <c r="C1126">
        <v>80</v>
      </c>
      <c r="D1126">
        <v>79.967567443999997</v>
      </c>
      <c r="E1126">
        <v>50</v>
      </c>
      <c r="F1126">
        <v>48.122253418</v>
      </c>
      <c r="G1126">
        <v>1340.8779297000001</v>
      </c>
      <c r="H1126">
        <v>1338.1271973</v>
      </c>
      <c r="I1126">
        <v>1325.9758300999999</v>
      </c>
      <c r="J1126">
        <v>1323.9102783000001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387.04675099999997</v>
      </c>
      <c r="B1127" s="1">
        <f>DATE(2011,5,23) + TIME(1,7,19)</f>
        <v>40686.046747685185</v>
      </c>
      <c r="C1127">
        <v>80</v>
      </c>
      <c r="D1127">
        <v>79.967521667</v>
      </c>
      <c r="E1127">
        <v>50</v>
      </c>
      <c r="F1127">
        <v>48.095283508000001</v>
      </c>
      <c r="G1127">
        <v>1340.8692627</v>
      </c>
      <c r="H1127">
        <v>1338.1236572</v>
      </c>
      <c r="I1127">
        <v>1325.9704589999999</v>
      </c>
      <c r="J1127">
        <v>1323.9030762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387.48243400000001</v>
      </c>
      <c r="B1128" s="1">
        <f>DATE(2011,5,23) + TIME(11,34,42)</f>
        <v>40686.482430555552</v>
      </c>
      <c r="C1128">
        <v>80</v>
      </c>
      <c r="D1128">
        <v>79.967475891000007</v>
      </c>
      <c r="E1128">
        <v>50</v>
      </c>
      <c r="F1128">
        <v>48.067768096999998</v>
      </c>
      <c r="G1128">
        <v>1340.8605957</v>
      </c>
      <c r="H1128">
        <v>1338.1201172000001</v>
      </c>
      <c r="I1128">
        <v>1325.9649658000001</v>
      </c>
      <c r="J1128">
        <v>1323.8956298999999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387.93320799999998</v>
      </c>
      <c r="B1129" s="1">
        <f>DATE(2011,5,23) + TIME(22,23,49)</f>
        <v>40686.933206018519</v>
      </c>
      <c r="C1129">
        <v>80</v>
      </c>
      <c r="D1129">
        <v>79.967430114999999</v>
      </c>
      <c r="E1129">
        <v>50</v>
      </c>
      <c r="F1129">
        <v>48.039615630999997</v>
      </c>
      <c r="G1129">
        <v>1340.8518065999999</v>
      </c>
      <c r="H1129">
        <v>1338.1165771000001</v>
      </c>
      <c r="I1129">
        <v>1325.9592285000001</v>
      </c>
      <c r="J1129">
        <v>1323.8878173999999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388.40135700000002</v>
      </c>
      <c r="B1130" s="1">
        <f>DATE(2011,5,24) + TIME(9,37,57)</f>
        <v>40687.401354166665</v>
      </c>
      <c r="C1130">
        <v>80</v>
      </c>
      <c r="D1130">
        <v>79.967376709000007</v>
      </c>
      <c r="E1130">
        <v>50</v>
      </c>
      <c r="F1130">
        <v>48.010715484999999</v>
      </c>
      <c r="G1130">
        <v>1340.8428954999999</v>
      </c>
      <c r="H1130">
        <v>1338.1129149999999</v>
      </c>
      <c r="I1130">
        <v>1325.953125</v>
      </c>
      <c r="J1130">
        <v>1323.8796387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388.88132400000001</v>
      </c>
      <c r="B1131" s="1">
        <f>DATE(2011,5,24) + TIME(21,9,6)</f>
        <v>40687.881319444445</v>
      </c>
      <c r="C1131">
        <v>80</v>
      </c>
      <c r="D1131">
        <v>79.967330933</v>
      </c>
      <c r="E1131">
        <v>50</v>
      </c>
      <c r="F1131">
        <v>47.981254577999998</v>
      </c>
      <c r="G1131">
        <v>1340.8337402</v>
      </c>
      <c r="H1131">
        <v>1338.1091309000001</v>
      </c>
      <c r="I1131">
        <v>1325.9468993999999</v>
      </c>
      <c r="J1131">
        <v>1323.8712158000001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389.36256900000001</v>
      </c>
      <c r="B1132" s="1">
        <f>DATE(2011,5,25) + TIME(8,42,5)</f>
        <v>40688.362557870372</v>
      </c>
      <c r="C1132">
        <v>80</v>
      </c>
      <c r="D1132">
        <v>79.967285156000003</v>
      </c>
      <c r="E1132">
        <v>50</v>
      </c>
      <c r="F1132">
        <v>47.951663971000002</v>
      </c>
      <c r="G1132">
        <v>1340.8245850000001</v>
      </c>
      <c r="H1132">
        <v>1338.1054687999999</v>
      </c>
      <c r="I1132">
        <v>1325.9404297000001</v>
      </c>
      <c r="J1132">
        <v>1323.8623047000001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389.60371400000002</v>
      </c>
      <c r="B1133" s="1">
        <f>DATE(2011,5,25) + TIME(14,29,20)</f>
        <v>40688.603703703702</v>
      </c>
      <c r="C1133">
        <v>80</v>
      </c>
      <c r="D1133">
        <v>79.967247009000005</v>
      </c>
      <c r="E1133">
        <v>50</v>
      </c>
      <c r="F1133">
        <v>47.933437347000002</v>
      </c>
      <c r="G1133">
        <v>1340.8155518000001</v>
      </c>
      <c r="H1133">
        <v>1338.1016846</v>
      </c>
      <c r="I1133">
        <v>1325.9342041</v>
      </c>
      <c r="J1133">
        <v>1323.854126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389.84464700000001</v>
      </c>
      <c r="B1134" s="1">
        <f>DATE(2011,5,25) + TIME(20,16,17)</f>
        <v>40688.844641203701</v>
      </c>
      <c r="C1134">
        <v>80</v>
      </c>
      <c r="D1134">
        <v>79.967216492000006</v>
      </c>
      <c r="E1134">
        <v>50</v>
      </c>
      <c r="F1134">
        <v>47.916046143000003</v>
      </c>
      <c r="G1134">
        <v>1340.8111572</v>
      </c>
      <c r="H1134">
        <v>1338.0998535000001</v>
      </c>
      <c r="I1134">
        <v>1325.9305420000001</v>
      </c>
      <c r="J1134">
        <v>1323.8491211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390.08558099999999</v>
      </c>
      <c r="B1135" s="1">
        <f>DATE(2011,5,26) + TIME(2,3,14)</f>
        <v>40689.085578703707</v>
      </c>
      <c r="C1135">
        <v>80</v>
      </c>
      <c r="D1135">
        <v>79.967185974000003</v>
      </c>
      <c r="E1135">
        <v>50</v>
      </c>
      <c r="F1135">
        <v>47.899299622000001</v>
      </c>
      <c r="G1135">
        <v>1340.8067627</v>
      </c>
      <c r="H1135">
        <v>1338.0981445</v>
      </c>
      <c r="I1135">
        <v>1325.927124</v>
      </c>
      <c r="J1135">
        <v>1323.8442382999999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390.32651399999997</v>
      </c>
      <c r="B1136" s="1">
        <f>DATE(2011,5,26) + TIME(7,50,10)</f>
        <v>40689.326504629629</v>
      </c>
      <c r="C1136">
        <v>80</v>
      </c>
      <c r="D1136">
        <v>79.967163085999999</v>
      </c>
      <c r="E1136">
        <v>50</v>
      </c>
      <c r="F1136">
        <v>47.883068084999998</v>
      </c>
      <c r="G1136">
        <v>1340.8024902</v>
      </c>
      <c r="H1136">
        <v>1338.0963135</v>
      </c>
      <c r="I1136">
        <v>1325.9235839999999</v>
      </c>
      <c r="J1136">
        <v>1323.8393555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390.56744700000002</v>
      </c>
      <c r="B1137" s="1">
        <f>DATE(2011,5,26) + TIME(13,37,7)</f>
        <v>40689.567442129628</v>
      </c>
      <c r="C1137">
        <v>80</v>
      </c>
      <c r="D1137">
        <v>79.967140197999996</v>
      </c>
      <c r="E1137">
        <v>50</v>
      </c>
      <c r="F1137">
        <v>47.867237091</v>
      </c>
      <c r="G1137">
        <v>1340.7982178</v>
      </c>
      <c r="H1137">
        <v>1338.0946045000001</v>
      </c>
      <c r="I1137">
        <v>1325.9201660000001</v>
      </c>
      <c r="J1137">
        <v>1323.8345947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391.04931399999998</v>
      </c>
      <c r="B1138" s="1">
        <f>DATE(2011,5,27) + TIME(1,11,0)</f>
        <v>40690.049305555556</v>
      </c>
      <c r="C1138">
        <v>80</v>
      </c>
      <c r="D1138">
        <v>79.967109679999993</v>
      </c>
      <c r="E1138">
        <v>50</v>
      </c>
      <c r="F1138">
        <v>47.842067718999999</v>
      </c>
      <c r="G1138">
        <v>1340.7939452999999</v>
      </c>
      <c r="H1138">
        <v>1338.0928954999999</v>
      </c>
      <c r="I1138">
        <v>1325.9163818</v>
      </c>
      <c r="J1138">
        <v>1323.8291016000001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391.53178000000003</v>
      </c>
      <c r="B1139" s="1">
        <f>DATE(2011,5,27) + TIME(12,45,45)</f>
        <v>40690.531770833331</v>
      </c>
      <c r="C1139">
        <v>80</v>
      </c>
      <c r="D1139">
        <v>79.967071532999995</v>
      </c>
      <c r="E1139">
        <v>50</v>
      </c>
      <c r="F1139">
        <v>47.815544127999999</v>
      </c>
      <c r="G1139">
        <v>1340.7855225000001</v>
      </c>
      <c r="H1139">
        <v>1338.0893555</v>
      </c>
      <c r="I1139">
        <v>1325.9097899999999</v>
      </c>
      <c r="J1139">
        <v>1323.8201904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392.01813399999998</v>
      </c>
      <c r="B1140" s="1">
        <f>DATE(2011,5,28) + TIME(0,26,6)</f>
        <v>40691.018125000002</v>
      </c>
      <c r="C1140">
        <v>80</v>
      </c>
      <c r="D1140">
        <v>79.967033385999997</v>
      </c>
      <c r="E1140">
        <v>50</v>
      </c>
      <c r="F1140">
        <v>47.788135529000002</v>
      </c>
      <c r="G1140">
        <v>1340.7773437999999</v>
      </c>
      <c r="H1140">
        <v>1338.0859375</v>
      </c>
      <c r="I1140">
        <v>1325.9030762</v>
      </c>
      <c r="J1140">
        <v>1323.8111572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392.51013</v>
      </c>
      <c r="B1141" s="1">
        <f>DATE(2011,5,28) + TIME(12,14,35)</f>
        <v>40691.510127314818</v>
      </c>
      <c r="C1141">
        <v>80</v>
      </c>
      <c r="D1141">
        <v>79.966995238999999</v>
      </c>
      <c r="E1141">
        <v>50</v>
      </c>
      <c r="F1141">
        <v>47.760116576999998</v>
      </c>
      <c r="G1141">
        <v>1340.769043</v>
      </c>
      <c r="H1141">
        <v>1338.0826416</v>
      </c>
      <c r="I1141">
        <v>1325.8962402</v>
      </c>
      <c r="J1141">
        <v>1323.8016356999999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393.009186</v>
      </c>
      <c r="B1142" s="1">
        <f>DATE(2011,5,29) + TIME(0,13,13)</f>
        <v>40692.00917824074</v>
      </c>
      <c r="C1142">
        <v>80</v>
      </c>
      <c r="D1142">
        <v>79.966949463000006</v>
      </c>
      <c r="E1142">
        <v>50</v>
      </c>
      <c r="F1142">
        <v>47.731624603</v>
      </c>
      <c r="G1142">
        <v>1340.7609863</v>
      </c>
      <c r="H1142">
        <v>1338.0792236</v>
      </c>
      <c r="I1142">
        <v>1325.8891602000001</v>
      </c>
      <c r="J1142">
        <v>1323.7919922000001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393.51696099999998</v>
      </c>
      <c r="B1143" s="1">
        <f>DATE(2011,5,29) + TIME(12,24,25)</f>
        <v>40692.516956018517</v>
      </c>
      <c r="C1143">
        <v>80</v>
      </c>
      <c r="D1143">
        <v>79.966911315999994</v>
      </c>
      <c r="E1143">
        <v>50</v>
      </c>
      <c r="F1143">
        <v>47.702716827000003</v>
      </c>
      <c r="G1143">
        <v>1340.7528076000001</v>
      </c>
      <c r="H1143">
        <v>1338.0759277</v>
      </c>
      <c r="I1143">
        <v>1325.8819579999999</v>
      </c>
      <c r="J1143">
        <v>1323.7819824000001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394.03533499999998</v>
      </c>
      <c r="B1144" s="1">
        <f>DATE(2011,5,30) + TIME(0,50,52)</f>
        <v>40693.035324074073</v>
      </c>
      <c r="C1144">
        <v>80</v>
      </c>
      <c r="D1144">
        <v>79.966873168999996</v>
      </c>
      <c r="E1144">
        <v>50</v>
      </c>
      <c r="F1144">
        <v>47.673393249999997</v>
      </c>
      <c r="G1144">
        <v>1340.7446289</v>
      </c>
      <c r="H1144">
        <v>1338.0725098</v>
      </c>
      <c r="I1144">
        <v>1325.8745117000001</v>
      </c>
      <c r="J1144">
        <v>1323.7717285000001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394.565763</v>
      </c>
      <c r="B1145" s="1">
        <f>DATE(2011,5,30) + TIME(13,34,41)</f>
        <v>40693.565752314818</v>
      </c>
      <c r="C1145">
        <v>80</v>
      </c>
      <c r="D1145">
        <v>79.966827393000003</v>
      </c>
      <c r="E1145">
        <v>50</v>
      </c>
      <c r="F1145">
        <v>47.643630981000001</v>
      </c>
      <c r="G1145">
        <v>1340.7365723</v>
      </c>
      <c r="H1145">
        <v>1338.0690918</v>
      </c>
      <c r="I1145">
        <v>1325.8668213000001</v>
      </c>
      <c r="J1145">
        <v>1323.7611084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395.11432400000001</v>
      </c>
      <c r="B1146" s="1">
        <f>DATE(2011,5,31) + TIME(2,44,37)</f>
        <v>40694.114317129628</v>
      </c>
      <c r="C1146">
        <v>80</v>
      </c>
      <c r="D1146">
        <v>79.966789246000005</v>
      </c>
      <c r="E1146">
        <v>50</v>
      </c>
      <c r="F1146">
        <v>47.613239288000003</v>
      </c>
      <c r="G1146">
        <v>1340.7283935999999</v>
      </c>
      <c r="H1146">
        <v>1338.0656738</v>
      </c>
      <c r="I1146">
        <v>1325.8590088000001</v>
      </c>
      <c r="J1146">
        <v>1323.7502440999999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395.68060200000002</v>
      </c>
      <c r="B1147" s="1">
        <f>DATE(2011,5,31) + TIME(16,20,4)</f>
        <v>40694.680601851855</v>
      </c>
      <c r="C1147">
        <v>80</v>
      </c>
      <c r="D1147">
        <v>79.966751099000007</v>
      </c>
      <c r="E1147">
        <v>50</v>
      </c>
      <c r="F1147">
        <v>47.582191467000001</v>
      </c>
      <c r="G1147">
        <v>1340.7199707</v>
      </c>
      <c r="H1147">
        <v>1338.0621338000001</v>
      </c>
      <c r="I1147">
        <v>1325.8507079999999</v>
      </c>
      <c r="J1147">
        <v>1323.7388916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396</v>
      </c>
      <c r="B1148" s="1">
        <f>DATE(2011,6,1) + TIME(0,0,0)</f>
        <v>40695</v>
      </c>
      <c r="C1148">
        <v>80</v>
      </c>
      <c r="D1148">
        <v>79.966712951999995</v>
      </c>
      <c r="E1148">
        <v>50</v>
      </c>
      <c r="F1148">
        <v>47.560714722</v>
      </c>
      <c r="G1148">
        <v>1340.7115478999999</v>
      </c>
      <c r="H1148">
        <v>1338.0585937999999</v>
      </c>
      <c r="I1148">
        <v>1325.8426514</v>
      </c>
      <c r="J1148">
        <v>1323.7279053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396.57804499999997</v>
      </c>
      <c r="B1149" s="1">
        <f>DATE(2011,6,1) + TIME(13,52,23)</f>
        <v>40695.578043981484</v>
      </c>
      <c r="C1149">
        <v>80</v>
      </c>
      <c r="D1149">
        <v>79.966682434000006</v>
      </c>
      <c r="E1149">
        <v>50</v>
      </c>
      <c r="F1149">
        <v>47.530857085999997</v>
      </c>
      <c r="G1149">
        <v>1340.7069091999999</v>
      </c>
      <c r="H1149">
        <v>1338.0566406</v>
      </c>
      <c r="I1149">
        <v>1325.8370361</v>
      </c>
      <c r="J1149">
        <v>1323.7197266000001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396.880314</v>
      </c>
      <c r="B1150" s="1">
        <f>DATE(2011,6,1) + TIME(21,7,39)</f>
        <v>40695.880312499998</v>
      </c>
      <c r="C1150">
        <v>80</v>
      </c>
      <c r="D1150">
        <v>79.966651916999993</v>
      </c>
      <c r="E1150">
        <v>50</v>
      </c>
      <c r="F1150">
        <v>47.510848998999997</v>
      </c>
      <c r="G1150">
        <v>1340.6984863</v>
      </c>
      <c r="H1150">
        <v>1338.0529785000001</v>
      </c>
      <c r="I1150">
        <v>1325.8288574000001</v>
      </c>
      <c r="J1150">
        <v>1323.7087402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397.18258300000002</v>
      </c>
      <c r="B1151" s="1">
        <f>DATE(2011,6,2) + TIME(4,22,55)</f>
        <v>40696.182581018518</v>
      </c>
      <c r="C1151">
        <v>80</v>
      </c>
      <c r="D1151">
        <v>79.966621399000005</v>
      </c>
      <c r="E1151">
        <v>50</v>
      </c>
      <c r="F1151">
        <v>47.491851807000003</v>
      </c>
      <c r="G1151">
        <v>1340.6942139</v>
      </c>
      <c r="H1151">
        <v>1338.0511475000001</v>
      </c>
      <c r="I1151">
        <v>1325.8238524999999</v>
      </c>
      <c r="J1151">
        <v>1323.7016602000001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397.48485299999999</v>
      </c>
      <c r="B1152" s="1">
        <f>DATE(2011,6,2) + TIME(11,38,11)</f>
        <v>40696.484849537039</v>
      </c>
      <c r="C1152">
        <v>80</v>
      </c>
      <c r="D1152">
        <v>79.966598511000001</v>
      </c>
      <c r="E1152">
        <v>50</v>
      </c>
      <c r="F1152">
        <v>47.473606109999999</v>
      </c>
      <c r="G1152">
        <v>1340.6899414</v>
      </c>
      <c r="H1152">
        <v>1338.0493164</v>
      </c>
      <c r="I1152">
        <v>1325.8189697</v>
      </c>
      <c r="J1152">
        <v>1323.6947021000001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397.78712200000001</v>
      </c>
      <c r="B1153" s="1">
        <f>DATE(2011,6,2) + TIME(18,53,27)</f>
        <v>40696.787118055552</v>
      </c>
      <c r="C1153">
        <v>80</v>
      </c>
      <c r="D1153">
        <v>79.966583252000007</v>
      </c>
      <c r="E1153">
        <v>50</v>
      </c>
      <c r="F1153">
        <v>47.455928802000003</v>
      </c>
      <c r="G1153">
        <v>1340.6856689000001</v>
      </c>
      <c r="H1153">
        <v>1338.0474853999999</v>
      </c>
      <c r="I1153">
        <v>1325.8140868999999</v>
      </c>
      <c r="J1153">
        <v>1323.6878661999999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398.08939199999998</v>
      </c>
      <c r="B1154" s="1">
        <f>DATE(2011,6,3) + TIME(2,8,43)</f>
        <v>40697.089386574073</v>
      </c>
      <c r="C1154">
        <v>80</v>
      </c>
      <c r="D1154">
        <v>79.966560364000003</v>
      </c>
      <c r="E1154">
        <v>50</v>
      </c>
      <c r="F1154">
        <v>47.438678740999997</v>
      </c>
      <c r="G1154">
        <v>1340.6815185999999</v>
      </c>
      <c r="H1154">
        <v>1338.0456543</v>
      </c>
      <c r="I1154">
        <v>1325.8093262</v>
      </c>
      <c r="J1154">
        <v>1323.6811522999999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398.391661</v>
      </c>
      <c r="B1155" s="1">
        <f>DATE(2011,6,3) + TIME(9,23,59)</f>
        <v>40697.391655092593</v>
      </c>
      <c r="C1155">
        <v>80</v>
      </c>
      <c r="D1155">
        <v>79.966537475999999</v>
      </c>
      <c r="E1155">
        <v>50</v>
      </c>
      <c r="F1155">
        <v>47.421756744</v>
      </c>
      <c r="G1155">
        <v>1340.6773682</v>
      </c>
      <c r="H1155">
        <v>1338.0439452999999</v>
      </c>
      <c r="I1155">
        <v>1325.8044434000001</v>
      </c>
      <c r="J1155">
        <v>1323.6744385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398.69393100000002</v>
      </c>
      <c r="B1156" s="1">
        <f>DATE(2011,6,3) + TIME(16,39,15)</f>
        <v>40697.693923611114</v>
      </c>
      <c r="C1156">
        <v>80</v>
      </c>
      <c r="D1156">
        <v>79.966522217000005</v>
      </c>
      <c r="E1156">
        <v>50</v>
      </c>
      <c r="F1156">
        <v>47.405097961000003</v>
      </c>
      <c r="G1156">
        <v>1340.6732178</v>
      </c>
      <c r="H1156">
        <v>1338.0421143000001</v>
      </c>
      <c r="I1156">
        <v>1325.7996826000001</v>
      </c>
      <c r="J1156">
        <v>1323.6676024999999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398.99619999999999</v>
      </c>
      <c r="B1157" s="1">
        <f>DATE(2011,6,3) + TIME(23,54,31)</f>
        <v>40697.996192129627</v>
      </c>
      <c r="C1157">
        <v>80</v>
      </c>
      <c r="D1157">
        <v>79.966499329000001</v>
      </c>
      <c r="E1157">
        <v>50</v>
      </c>
      <c r="F1157">
        <v>47.388641356999997</v>
      </c>
      <c r="G1157">
        <v>1340.6691894999999</v>
      </c>
      <c r="H1157">
        <v>1338.0404053</v>
      </c>
      <c r="I1157">
        <v>1325.7947998</v>
      </c>
      <c r="J1157">
        <v>1323.6608887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399.60073899999998</v>
      </c>
      <c r="B1158" s="1">
        <f>DATE(2011,6,4) + TIME(14,25,3)</f>
        <v>40698.600729166668</v>
      </c>
      <c r="C1158">
        <v>80</v>
      </c>
      <c r="D1158">
        <v>79.966484070000007</v>
      </c>
      <c r="E1158">
        <v>50</v>
      </c>
      <c r="F1158">
        <v>47.363147736000002</v>
      </c>
      <c r="G1158">
        <v>1340.6651611</v>
      </c>
      <c r="H1158">
        <v>1338.0385742000001</v>
      </c>
      <c r="I1158">
        <v>1325.7896728999999</v>
      </c>
      <c r="J1158">
        <v>1323.6531981999999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400.20756299999999</v>
      </c>
      <c r="B1159" s="1">
        <f>DATE(2011,6,5) + TIME(4,58,53)</f>
        <v>40699.207557870373</v>
      </c>
      <c r="C1159">
        <v>80</v>
      </c>
      <c r="D1159">
        <v>79.966453552000004</v>
      </c>
      <c r="E1159">
        <v>50</v>
      </c>
      <c r="F1159">
        <v>47.334980010999999</v>
      </c>
      <c r="G1159">
        <v>1340.6571045000001</v>
      </c>
      <c r="H1159">
        <v>1338.0351562000001</v>
      </c>
      <c r="I1159">
        <v>1325.7806396000001</v>
      </c>
      <c r="J1159">
        <v>1323.6409911999999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400.822836</v>
      </c>
      <c r="B1160" s="1">
        <f>DATE(2011,6,5) + TIME(19,44,53)</f>
        <v>40699.822835648149</v>
      </c>
      <c r="C1160">
        <v>80</v>
      </c>
      <c r="D1160">
        <v>79.966423035000005</v>
      </c>
      <c r="E1160">
        <v>50</v>
      </c>
      <c r="F1160">
        <v>47.305198668999999</v>
      </c>
      <c r="G1160">
        <v>1340.6491699000001</v>
      </c>
      <c r="H1160">
        <v>1338.0317382999999</v>
      </c>
      <c r="I1160">
        <v>1325.7713623</v>
      </c>
      <c r="J1160">
        <v>1323.6280518000001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401.44870800000001</v>
      </c>
      <c r="B1161" s="1">
        <f>DATE(2011,6,6) + TIME(10,46,8)</f>
        <v>40700.448703703703</v>
      </c>
      <c r="C1161">
        <v>80</v>
      </c>
      <c r="D1161">
        <v>79.966384887999993</v>
      </c>
      <c r="E1161">
        <v>50</v>
      </c>
      <c r="F1161">
        <v>47.274375915999997</v>
      </c>
      <c r="G1161">
        <v>1340.6412353999999</v>
      </c>
      <c r="H1161">
        <v>1338.0281981999999</v>
      </c>
      <c r="I1161">
        <v>1325.7617187999999</v>
      </c>
      <c r="J1161">
        <v>1323.6145019999999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402.08753100000001</v>
      </c>
      <c r="B1162" s="1">
        <f>DATE(2011,6,7) + TIME(2,6,2)</f>
        <v>40701.087523148148</v>
      </c>
      <c r="C1162">
        <v>80</v>
      </c>
      <c r="D1162">
        <v>79.966354370000005</v>
      </c>
      <c r="E1162">
        <v>50</v>
      </c>
      <c r="F1162">
        <v>47.242786406999997</v>
      </c>
      <c r="G1162">
        <v>1340.6333007999999</v>
      </c>
      <c r="H1162">
        <v>1338.0247803</v>
      </c>
      <c r="I1162">
        <v>1325.7517089999999</v>
      </c>
      <c r="J1162">
        <v>1323.6005858999999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402.74186099999997</v>
      </c>
      <c r="B1163" s="1">
        <f>DATE(2011,6,7) + TIME(17,48,16)</f>
        <v>40701.741851851853</v>
      </c>
      <c r="C1163">
        <v>80</v>
      </c>
      <c r="D1163">
        <v>79.966323853000006</v>
      </c>
      <c r="E1163">
        <v>50</v>
      </c>
      <c r="F1163">
        <v>47.210536957000002</v>
      </c>
      <c r="G1163">
        <v>1340.6253661999999</v>
      </c>
      <c r="H1163">
        <v>1338.0212402</v>
      </c>
      <c r="I1163">
        <v>1325.7414550999999</v>
      </c>
      <c r="J1163">
        <v>1323.5861815999999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403.41585400000002</v>
      </c>
      <c r="B1164" s="1">
        <f>DATE(2011,6,8) + TIME(9,58,49)</f>
        <v>40702.415844907409</v>
      </c>
      <c r="C1164">
        <v>80</v>
      </c>
      <c r="D1164">
        <v>79.966285705999994</v>
      </c>
      <c r="E1164">
        <v>50</v>
      </c>
      <c r="F1164">
        <v>47.177604674999998</v>
      </c>
      <c r="G1164">
        <v>1340.6174315999999</v>
      </c>
      <c r="H1164">
        <v>1338.0177002</v>
      </c>
      <c r="I1164">
        <v>1325.7308350000001</v>
      </c>
      <c r="J1164">
        <v>1323.5712891000001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404.10199899999998</v>
      </c>
      <c r="B1165" s="1">
        <f>DATE(2011,6,9) + TIME(2,26,52)</f>
        <v>40703.101990740739</v>
      </c>
      <c r="C1165">
        <v>80</v>
      </c>
      <c r="D1165">
        <v>79.966255188000005</v>
      </c>
      <c r="E1165">
        <v>50</v>
      </c>
      <c r="F1165">
        <v>47.144199370999999</v>
      </c>
      <c r="G1165">
        <v>1340.6092529</v>
      </c>
      <c r="H1165">
        <v>1338.0141602000001</v>
      </c>
      <c r="I1165">
        <v>1325.7198486</v>
      </c>
      <c r="J1165">
        <v>1323.5559082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404.79752200000001</v>
      </c>
      <c r="B1166" s="1">
        <f>DATE(2011,6,9) + TIME(19,8,25)</f>
        <v>40703.797511574077</v>
      </c>
      <c r="C1166">
        <v>80</v>
      </c>
      <c r="D1166">
        <v>79.966224670000003</v>
      </c>
      <c r="E1166">
        <v>50</v>
      </c>
      <c r="F1166">
        <v>47.110477447999997</v>
      </c>
      <c r="G1166">
        <v>1340.6011963000001</v>
      </c>
      <c r="H1166">
        <v>1338.0104980000001</v>
      </c>
      <c r="I1166">
        <v>1325.7086182</v>
      </c>
      <c r="J1166">
        <v>1323.5401611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405.50527299999999</v>
      </c>
      <c r="B1167" s="1">
        <f>DATE(2011,6,10) + TIME(12,7,35)</f>
        <v>40704.505266203705</v>
      </c>
      <c r="C1167">
        <v>80</v>
      </c>
      <c r="D1167">
        <v>79.966186523000005</v>
      </c>
      <c r="E1167">
        <v>50</v>
      </c>
      <c r="F1167">
        <v>47.076454163000001</v>
      </c>
      <c r="G1167">
        <v>1340.5931396000001</v>
      </c>
      <c r="H1167">
        <v>1338.0069579999999</v>
      </c>
      <c r="I1167">
        <v>1325.6972656</v>
      </c>
      <c r="J1167">
        <v>1323.5239257999999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406.228025</v>
      </c>
      <c r="B1168" s="1">
        <f>DATE(2011,6,11) + TIME(5,28,21)</f>
        <v>40705.228020833332</v>
      </c>
      <c r="C1168">
        <v>80</v>
      </c>
      <c r="D1168">
        <v>79.966156006000006</v>
      </c>
      <c r="E1168">
        <v>50</v>
      </c>
      <c r="F1168">
        <v>47.042079926</v>
      </c>
      <c r="G1168">
        <v>1340.5850829999999</v>
      </c>
      <c r="H1168">
        <v>1338.0032959</v>
      </c>
      <c r="I1168">
        <v>1325.6855469</v>
      </c>
      <c r="J1168">
        <v>1323.5074463000001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406.96932600000002</v>
      </c>
      <c r="B1169" s="1">
        <f>DATE(2011,6,11) + TIME(23,15,49)</f>
        <v>40705.969317129631</v>
      </c>
      <c r="C1169">
        <v>80</v>
      </c>
      <c r="D1169">
        <v>79.966125488000003</v>
      </c>
      <c r="E1169">
        <v>50</v>
      </c>
      <c r="F1169">
        <v>47.007255553999997</v>
      </c>
      <c r="G1169">
        <v>1340.5769043</v>
      </c>
      <c r="H1169">
        <v>1337.9996338000001</v>
      </c>
      <c r="I1169">
        <v>1325.6734618999999</v>
      </c>
      <c r="J1169">
        <v>1323.4904785000001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407.720192</v>
      </c>
      <c r="B1170" s="1">
        <f>DATE(2011,6,12) + TIME(17,17,4)</f>
        <v>40706.720185185186</v>
      </c>
      <c r="C1170">
        <v>80</v>
      </c>
      <c r="D1170">
        <v>79.966094971000004</v>
      </c>
      <c r="E1170">
        <v>50</v>
      </c>
      <c r="F1170">
        <v>46.972156525000003</v>
      </c>
      <c r="G1170">
        <v>1340.5688477000001</v>
      </c>
      <c r="H1170">
        <v>1337.9958495999999</v>
      </c>
      <c r="I1170">
        <v>1325.6611327999999</v>
      </c>
      <c r="J1170">
        <v>1323.4730225000001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408.473544</v>
      </c>
      <c r="B1171" s="1">
        <f>DATE(2011,6,13) + TIME(11,21,54)</f>
        <v>40707.473541666666</v>
      </c>
      <c r="C1171">
        <v>80</v>
      </c>
      <c r="D1171">
        <v>79.966064453000001</v>
      </c>
      <c r="E1171">
        <v>50</v>
      </c>
      <c r="F1171">
        <v>46.937026977999999</v>
      </c>
      <c r="G1171">
        <v>1340.5606689000001</v>
      </c>
      <c r="H1171">
        <v>1337.9921875</v>
      </c>
      <c r="I1171">
        <v>1325.6485596</v>
      </c>
      <c r="J1171">
        <v>1323.4552002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409.233068</v>
      </c>
      <c r="B1172" s="1">
        <f>DATE(2011,6,14) + TIME(5,35,37)</f>
        <v>40708.233067129629</v>
      </c>
      <c r="C1172">
        <v>80</v>
      </c>
      <c r="D1172">
        <v>79.966033936000002</v>
      </c>
      <c r="E1172">
        <v>50</v>
      </c>
      <c r="F1172">
        <v>46.901901244999998</v>
      </c>
      <c r="G1172">
        <v>1340.5526123</v>
      </c>
      <c r="H1172">
        <v>1337.9884033000001</v>
      </c>
      <c r="I1172">
        <v>1325.6358643000001</v>
      </c>
      <c r="J1172">
        <v>1323.4371338000001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410.00182699999999</v>
      </c>
      <c r="B1173" s="1">
        <f>DATE(2011,6,15) + TIME(0,2,37)</f>
        <v>40709.001817129632</v>
      </c>
      <c r="C1173">
        <v>80</v>
      </c>
      <c r="D1173">
        <v>79.966011046999995</v>
      </c>
      <c r="E1173">
        <v>50</v>
      </c>
      <c r="F1173">
        <v>46.866729736000003</v>
      </c>
      <c r="G1173">
        <v>1340.5446777</v>
      </c>
      <c r="H1173">
        <v>1337.9847411999999</v>
      </c>
      <c r="I1173">
        <v>1325.6229248</v>
      </c>
      <c r="J1173">
        <v>1323.4188231999999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410.77731899999998</v>
      </c>
      <c r="B1174" s="1">
        <f>DATE(2011,6,15) + TIME(18,39,20)</f>
        <v>40709.777314814812</v>
      </c>
      <c r="C1174">
        <v>80</v>
      </c>
      <c r="D1174">
        <v>79.965980529999996</v>
      </c>
      <c r="E1174">
        <v>50</v>
      </c>
      <c r="F1174">
        <v>46.831550598</v>
      </c>
      <c r="G1174">
        <v>1340.5368652</v>
      </c>
      <c r="H1174">
        <v>1337.9810791</v>
      </c>
      <c r="I1174">
        <v>1325.6098632999999</v>
      </c>
      <c r="J1174">
        <v>1323.4002685999999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411.56332700000002</v>
      </c>
      <c r="B1175" s="1">
        <f>DATE(2011,6,16) + TIME(13,31,11)</f>
        <v>40710.563321759262</v>
      </c>
      <c r="C1175">
        <v>80</v>
      </c>
      <c r="D1175">
        <v>79.965957642000006</v>
      </c>
      <c r="E1175">
        <v>50</v>
      </c>
      <c r="F1175">
        <v>46.796287536999998</v>
      </c>
      <c r="G1175">
        <v>1340.5289307</v>
      </c>
      <c r="H1175">
        <v>1337.9774170000001</v>
      </c>
      <c r="I1175">
        <v>1325.5965576000001</v>
      </c>
      <c r="J1175">
        <v>1323.3814697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412.36349799999999</v>
      </c>
      <c r="B1176" s="1">
        <f>DATE(2011,6,17) + TIME(8,43,26)</f>
        <v>40711.363495370373</v>
      </c>
      <c r="C1176">
        <v>80</v>
      </c>
      <c r="D1176">
        <v>79.965927124000004</v>
      </c>
      <c r="E1176">
        <v>50</v>
      </c>
      <c r="F1176">
        <v>46.760837555000002</v>
      </c>
      <c r="G1176">
        <v>1340.5212402</v>
      </c>
      <c r="H1176">
        <v>1337.9737548999999</v>
      </c>
      <c r="I1176">
        <v>1325.5831298999999</v>
      </c>
      <c r="J1176">
        <v>1323.3623047000001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413.18124899999998</v>
      </c>
      <c r="B1177" s="1">
        <f>DATE(2011,6,18) + TIME(4,20,59)</f>
        <v>40712.181238425925</v>
      </c>
      <c r="C1177">
        <v>80</v>
      </c>
      <c r="D1177">
        <v>79.965904236</v>
      </c>
      <c r="E1177">
        <v>50</v>
      </c>
      <c r="F1177">
        <v>46.725063323999997</v>
      </c>
      <c r="G1177">
        <v>1340.5134277</v>
      </c>
      <c r="H1177">
        <v>1337.9700928</v>
      </c>
      <c r="I1177">
        <v>1325.5694579999999</v>
      </c>
      <c r="J1177">
        <v>1323.3426514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414.02055999999999</v>
      </c>
      <c r="B1178" s="1">
        <f>DATE(2011,6,19) + TIME(0,29,36)</f>
        <v>40713.020555555559</v>
      </c>
      <c r="C1178">
        <v>80</v>
      </c>
      <c r="D1178">
        <v>79.965881347999996</v>
      </c>
      <c r="E1178">
        <v>50</v>
      </c>
      <c r="F1178">
        <v>46.688831329000003</v>
      </c>
      <c r="G1178">
        <v>1340.5054932</v>
      </c>
      <c r="H1178">
        <v>1337.9663086</v>
      </c>
      <c r="I1178">
        <v>1325.5552978999999</v>
      </c>
      <c r="J1178">
        <v>1323.3225098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414.88581399999998</v>
      </c>
      <c r="B1179" s="1">
        <f>DATE(2011,6,19) + TIME(21,15,34)</f>
        <v>40713.885810185187</v>
      </c>
      <c r="C1179">
        <v>80</v>
      </c>
      <c r="D1179">
        <v>79.965858459000003</v>
      </c>
      <c r="E1179">
        <v>50</v>
      </c>
      <c r="F1179">
        <v>46.651977539000001</v>
      </c>
      <c r="G1179">
        <v>1340.4975586</v>
      </c>
      <c r="H1179">
        <v>1337.9625243999999</v>
      </c>
      <c r="I1179">
        <v>1325.5408935999999</v>
      </c>
      <c r="J1179">
        <v>1323.3018798999999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415.76123699999999</v>
      </c>
      <c r="B1180" s="1">
        <f>DATE(2011,6,20) + TIME(18,16,10)</f>
        <v>40714.76122685185</v>
      </c>
      <c r="C1180">
        <v>80</v>
      </c>
      <c r="D1180">
        <v>79.965827942000004</v>
      </c>
      <c r="E1180">
        <v>50</v>
      </c>
      <c r="F1180">
        <v>46.614734650000003</v>
      </c>
      <c r="G1180">
        <v>1340.489624</v>
      </c>
      <c r="H1180">
        <v>1337.9587402</v>
      </c>
      <c r="I1180">
        <v>1325.5258789</v>
      </c>
      <c r="J1180">
        <v>1323.2805175999999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416.64867400000003</v>
      </c>
      <c r="B1181" s="1">
        <f>DATE(2011,6,21) + TIME(15,34,5)</f>
        <v>40715.648668981485</v>
      </c>
      <c r="C1181">
        <v>80</v>
      </c>
      <c r="D1181">
        <v>79.965805054</v>
      </c>
      <c r="E1181">
        <v>50</v>
      </c>
      <c r="F1181">
        <v>46.577220916999998</v>
      </c>
      <c r="G1181">
        <v>1340.4815673999999</v>
      </c>
      <c r="H1181">
        <v>1337.9548339999999</v>
      </c>
      <c r="I1181">
        <v>1325.5107422000001</v>
      </c>
      <c r="J1181">
        <v>1323.2587891000001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417.55171899999999</v>
      </c>
      <c r="B1182" s="1">
        <f>DATE(2011,6,22) + TIME(13,14,28)</f>
        <v>40716.551712962966</v>
      </c>
      <c r="C1182">
        <v>80</v>
      </c>
      <c r="D1182">
        <v>79.965789795000006</v>
      </c>
      <c r="E1182">
        <v>50</v>
      </c>
      <c r="F1182">
        <v>46.539417266999997</v>
      </c>
      <c r="G1182">
        <v>1340.4736327999999</v>
      </c>
      <c r="H1182">
        <v>1337.9509277</v>
      </c>
      <c r="I1182">
        <v>1325.4953613</v>
      </c>
      <c r="J1182">
        <v>1323.2366943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418.012586</v>
      </c>
      <c r="B1183" s="1">
        <f>DATE(2011,6,23) + TIME(0,18,7)</f>
        <v>40717.01258101852</v>
      </c>
      <c r="C1183">
        <v>80</v>
      </c>
      <c r="D1183">
        <v>79.965759277000004</v>
      </c>
      <c r="E1183">
        <v>50</v>
      </c>
      <c r="F1183">
        <v>46.513099670000003</v>
      </c>
      <c r="G1183">
        <v>1340.4656981999999</v>
      </c>
      <c r="H1183">
        <v>1337.9470214999999</v>
      </c>
      <c r="I1183">
        <v>1325.4804687999999</v>
      </c>
      <c r="J1183">
        <v>1323.2160644999999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418.93432100000001</v>
      </c>
      <c r="B1184" s="1">
        <f>DATE(2011,6,23) + TIME(22,25,25)</f>
        <v>40717.934317129628</v>
      </c>
      <c r="C1184">
        <v>80</v>
      </c>
      <c r="D1184">
        <v>79.965751647999994</v>
      </c>
      <c r="E1184">
        <v>50</v>
      </c>
      <c r="F1184">
        <v>46.478862761999999</v>
      </c>
      <c r="G1184">
        <v>1340.4616699000001</v>
      </c>
      <c r="H1184">
        <v>1337.9451904</v>
      </c>
      <c r="I1184">
        <v>1325.4705810999999</v>
      </c>
      <c r="J1184">
        <v>1323.2008057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419.85697199999998</v>
      </c>
      <c r="B1185" s="1">
        <f>DATE(2011,6,24) + TIME(20,34,2)</f>
        <v>40718.85696759259</v>
      </c>
      <c r="C1185">
        <v>80</v>
      </c>
      <c r="D1185">
        <v>79.965736389</v>
      </c>
      <c r="E1185">
        <v>50</v>
      </c>
      <c r="F1185">
        <v>46.442462921000001</v>
      </c>
      <c r="G1185">
        <v>1340.4538574000001</v>
      </c>
      <c r="H1185">
        <v>1337.9412841999999</v>
      </c>
      <c r="I1185">
        <v>1325.4549560999999</v>
      </c>
      <c r="J1185">
        <v>1323.1787108999999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420.78737599999999</v>
      </c>
      <c r="B1186" s="1">
        <f>DATE(2011,6,25) + TIME(18,53,49)</f>
        <v>40719.787372685183</v>
      </c>
      <c r="C1186">
        <v>80</v>
      </c>
      <c r="D1186">
        <v>79.965713500999996</v>
      </c>
      <c r="E1186">
        <v>50</v>
      </c>
      <c r="F1186">
        <v>46.405113219999997</v>
      </c>
      <c r="G1186">
        <v>1340.4460449000001</v>
      </c>
      <c r="H1186">
        <v>1337.9373779</v>
      </c>
      <c r="I1186">
        <v>1325.4390868999999</v>
      </c>
      <c r="J1186">
        <v>1323.1557617000001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421.73031099999997</v>
      </c>
      <c r="B1187" s="1">
        <f>DATE(2011,6,26) + TIME(17,31,38)</f>
        <v>40720.730300925927</v>
      </c>
      <c r="C1187">
        <v>80</v>
      </c>
      <c r="D1187">
        <v>79.965698242000002</v>
      </c>
      <c r="E1187">
        <v>50</v>
      </c>
      <c r="F1187">
        <v>46.367237091</v>
      </c>
      <c r="G1187">
        <v>1340.4383545000001</v>
      </c>
      <c r="H1187">
        <v>1337.9335937999999</v>
      </c>
      <c r="I1187">
        <v>1325.4228516000001</v>
      </c>
      <c r="J1187">
        <v>1323.1324463000001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422.69096400000001</v>
      </c>
      <c r="B1188" s="1">
        <f>DATE(2011,6,27) + TIME(16,34,59)</f>
        <v>40721.690960648149</v>
      </c>
      <c r="C1188">
        <v>80</v>
      </c>
      <c r="D1188">
        <v>79.965682982999994</v>
      </c>
      <c r="E1188">
        <v>50</v>
      </c>
      <c r="F1188">
        <v>46.328907012999998</v>
      </c>
      <c r="G1188">
        <v>1340.4306641000001</v>
      </c>
      <c r="H1188">
        <v>1337.9296875</v>
      </c>
      <c r="I1188">
        <v>1325.4063721</v>
      </c>
      <c r="J1188">
        <v>1323.1086425999999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423.67425500000002</v>
      </c>
      <c r="B1189" s="1">
        <f>DATE(2011,6,28) + TIME(16,10,55)</f>
        <v>40722.674247685187</v>
      </c>
      <c r="C1189">
        <v>80</v>
      </c>
      <c r="D1189">
        <v>79.965667725000003</v>
      </c>
      <c r="E1189">
        <v>50</v>
      </c>
      <c r="F1189">
        <v>46.290054321</v>
      </c>
      <c r="G1189">
        <v>1340.4229736</v>
      </c>
      <c r="H1189">
        <v>1337.9259033000001</v>
      </c>
      <c r="I1189">
        <v>1325.3895264</v>
      </c>
      <c r="J1189">
        <v>1323.0842285000001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424.68563399999999</v>
      </c>
      <c r="B1190" s="1">
        <f>DATE(2011,6,29) + TIME(16,27,18)</f>
        <v>40723.685624999998</v>
      </c>
      <c r="C1190">
        <v>80</v>
      </c>
      <c r="D1190">
        <v>79.965652465999995</v>
      </c>
      <c r="E1190">
        <v>50</v>
      </c>
      <c r="F1190">
        <v>46.250522613999998</v>
      </c>
      <c r="G1190">
        <v>1340.4151611</v>
      </c>
      <c r="H1190">
        <v>1337.921875</v>
      </c>
      <c r="I1190">
        <v>1325.3723144999999</v>
      </c>
      <c r="J1190">
        <v>1323.0593262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425.715192</v>
      </c>
      <c r="B1191" s="1">
        <f>DATE(2011,6,30) + TIME(17,9,52)</f>
        <v>40724.715185185189</v>
      </c>
      <c r="C1191">
        <v>80</v>
      </c>
      <c r="D1191">
        <v>79.965637207</v>
      </c>
      <c r="E1191">
        <v>50</v>
      </c>
      <c r="F1191">
        <v>46.210380553999997</v>
      </c>
      <c r="G1191">
        <v>1340.4073486</v>
      </c>
      <c r="H1191">
        <v>1337.9179687999999</v>
      </c>
      <c r="I1191">
        <v>1325.3546143000001</v>
      </c>
      <c r="J1191">
        <v>1323.0336914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426</v>
      </c>
      <c r="B1192" s="1">
        <f>DATE(2011,7,1) + TIME(0,0,0)</f>
        <v>40725</v>
      </c>
      <c r="C1192">
        <v>80</v>
      </c>
      <c r="D1192">
        <v>79.965614318999997</v>
      </c>
      <c r="E1192">
        <v>50</v>
      </c>
      <c r="F1192">
        <v>46.19108963</v>
      </c>
      <c r="G1192">
        <v>1340.3995361</v>
      </c>
      <c r="H1192">
        <v>1337.9139404</v>
      </c>
      <c r="I1192">
        <v>1325.3383789</v>
      </c>
      <c r="J1192">
        <v>1323.0112305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427.04949399999998</v>
      </c>
      <c r="B1193" s="1">
        <f>DATE(2011,7,2) + TIME(1,11,16)</f>
        <v>40726.049490740741</v>
      </c>
      <c r="C1193">
        <v>80</v>
      </c>
      <c r="D1193">
        <v>79.965614318999997</v>
      </c>
      <c r="E1193">
        <v>50</v>
      </c>
      <c r="F1193">
        <v>46.155166626000003</v>
      </c>
      <c r="G1193">
        <v>1340.3974608999999</v>
      </c>
      <c r="H1193">
        <v>1337.9128418</v>
      </c>
      <c r="I1193">
        <v>1325.3302002</v>
      </c>
      <c r="J1193">
        <v>1322.9979248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428.133083</v>
      </c>
      <c r="B1194" s="1">
        <f>DATE(2011,7,3) + TIME(3,11,38)</f>
        <v>40727.1330787037</v>
      </c>
      <c r="C1194">
        <v>80</v>
      </c>
      <c r="D1194">
        <v>79.965599060000002</v>
      </c>
      <c r="E1194">
        <v>50</v>
      </c>
      <c r="F1194">
        <v>46.115730286000002</v>
      </c>
      <c r="G1194">
        <v>1340.3896483999999</v>
      </c>
      <c r="H1194">
        <v>1337.9088135</v>
      </c>
      <c r="I1194">
        <v>1325.3126221</v>
      </c>
      <c r="J1194">
        <v>1322.9724120999999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429.24983900000001</v>
      </c>
      <c r="B1195" s="1">
        <f>DATE(2011,7,4) + TIME(5,59,46)</f>
        <v>40728.249837962961</v>
      </c>
      <c r="C1195">
        <v>80</v>
      </c>
      <c r="D1195">
        <v>79.965591431000007</v>
      </c>
      <c r="E1195">
        <v>50</v>
      </c>
      <c r="F1195">
        <v>46.074192046999997</v>
      </c>
      <c r="G1195">
        <v>1340.3817139</v>
      </c>
      <c r="H1195">
        <v>1337.9046631000001</v>
      </c>
      <c r="I1195">
        <v>1325.2939452999999</v>
      </c>
      <c r="J1195">
        <v>1322.9454346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430.37044300000002</v>
      </c>
      <c r="B1196" s="1">
        <f>DATE(2011,7,5) + TIME(8,53,26)</f>
        <v>40729.370439814818</v>
      </c>
      <c r="C1196">
        <v>80</v>
      </c>
      <c r="D1196">
        <v>79.965576171999999</v>
      </c>
      <c r="E1196">
        <v>50</v>
      </c>
      <c r="F1196">
        <v>46.031581879000001</v>
      </c>
      <c r="G1196">
        <v>1340.3736572</v>
      </c>
      <c r="H1196">
        <v>1337.9005127</v>
      </c>
      <c r="I1196">
        <v>1325.2746582</v>
      </c>
      <c r="J1196">
        <v>1322.9172363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431.49439799999999</v>
      </c>
      <c r="B1197" s="1">
        <f>DATE(2011,7,6) + TIME(11,51,55)</f>
        <v>40730.494386574072</v>
      </c>
      <c r="C1197">
        <v>80</v>
      </c>
      <c r="D1197">
        <v>79.965568542</v>
      </c>
      <c r="E1197">
        <v>50</v>
      </c>
      <c r="F1197">
        <v>45.988578795999999</v>
      </c>
      <c r="G1197">
        <v>1340.3657227000001</v>
      </c>
      <c r="H1197">
        <v>1337.8963623</v>
      </c>
      <c r="I1197">
        <v>1325.2551269999999</v>
      </c>
      <c r="J1197">
        <v>1322.8886719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432.62892099999999</v>
      </c>
      <c r="B1198" s="1">
        <f>DATE(2011,7,7) + TIME(15,5,38)</f>
        <v>40731.628912037035</v>
      </c>
      <c r="C1198">
        <v>80</v>
      </c>
      <c r="D1198">
        <v>79.965560913000004</v>
      </c>
      <c r="E1198">
        <v>50</v>
      </c>
      <c r="F1198">
        <v>45.945327759000001</v>
      </c>
      <c r="G1198">
        <v>1340.3579102000001</v>
      </c>
      <c r="H1198">
        <v>1337.8923339999999</v>
      </c>
      <c r="I1198">
        <v>1325.2354736</v>
      </c>
      <c r="J1198">
        <v>1322.8599853999999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433.78100000000001</v>
      </c>
      <c r="B1199" s="1">
        <f>DATE(2011,7,8) + TIME(18,44,38)</f>
        <v>40732.780995370369</v>
      </c>
      <c r="C1199">
        <v>80</v>
      </c>
      <c r="D1199">
        <v>79.965553283999995</v>
      </c>
      <c r="E1199">
        <v>50</v>
      </c>
      <c r="F1199">
        <v>45.90171814</v>
      </c>
      <c r="G1199">
        <v>1340.3502197</v>
      </c>
      <c r="H1199">
        <v>1337.8881836</v>
      </c>
      <c r="I1199">
        <v>1325.2156981999999</v>
      </c>
      <c r="J1199">
        <v>1322.8308105000001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434.95673099999999</v>
      </c>
      <c r="B1200" s="1">
        <f>DATE(2011,7,9) + TIME(22,57,41)</f>
        <v>40733.956724537034</v>
      </c>
      <c r="C1200">
        <v>80</v>
      </c>
      <c r="D1200">
        <v>79.965545653999996</v>
      </c>
      <c r="E1200">
        <v>50</v>
      </c>
      <c r="F1200">
        <v>45.857540131</v>
      </c>
      <c r="G1200">
        <v>1340.3425293</v>
      </c>
      <c r="H1200">
        <v>1337.8840332</v>
      </c>
      <c r="I1200">
        <v>1325.1956786999999</v>
      </c>
      <c r="J1200">
        <v>1322.8013916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436.14398199999999</v>
      </c>
      <c r="B1201" s="1">
        <f>DATE(2011,7,11) + TIME(3,27,20)</f>
        <v>40735.14398148148</v>
      </c>
      <c r="C1201">
        <v>80</v>
      </c>
      <c r="D1201">
        <v>79.965538025000001</v>
      </c>
      <c r="E1201">
        <v>50</v>
      </c>
      <c r="F1201">
        <v>45.812820434999999</v>
      </c>
      <c r="G1201">
        <v>1340.3347168</v>
      </c>
      <c r="H1201">
        <v>1337.8798827999999</v>
      </c>
      <c r="I1201">
        <v>1325.1754149999999</v>
      </c>
      <c r="J1201">
        <v>1322.7713623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437.34993400000002</v>
      </c>
      <c r="B1202" s="1">
        <f>DATE(2011,7,12) + TIME(8,23,54)</f>
        <v>40736.349930555552</v>
      </c>
      <c r="C1202">
        <v>80</v>
      </c>
      <c r="D1202">
        <v>79.965530396000005</v>
      </c>
      <c r="E1202">
        <v>50</v>
      </c>
      <c r="F1202">
        <v>45.767562865999999</v>
      </c>
      <c r="G1202">
        <v>1340.3270264</v>
      </c>
      <c r="H1202">
        <v>1337.8758545000001</v>
      </c>
      <c r="I1202">
        <v>1325.1549072</v>
      </c>
      <c r="J1202">
        <v>1322.7410889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438.58215200000001</v>
      </c>
      <c r="B1203" s="1">
        <f>DATE(2011,7,13) + TIME(13,58,17)</f>
        <v>40737.582141203704</v>
      </c>
      <c r="C1203">
        <v>80</v>
      </c>
      <c r="D1203">
        <v>79.965522766000007</v>
      </c>
      <c r="E1203">
        <v>50</v>
      </c>
      <c r="F1203">
        <v>45.721591949</v>
      </c>
      <c r="G1203">
        <v>1340.3193358999999</v>
      </c>
      <c r="H1203">
        <v>1337.871582</v>
      </c>
      <c r="I1203">
        <v>1325.1341553</v>
      </c>
      <c r="J1203">
        <v>1322.7103271000001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439.84893</v>
      </c>
      <c r="B1204" s="1">
        <f>DATE(2011,7,14) + TIME(20,22,27)</f>
        <v>40738.848923611113</v>
      </c>
      <c r="C1204">
        <v>80</v>
      </c>
      <c r="D1204">
        <v>79.965522766000007</v>
      </c>
      <c r="E1204">
        <v>50</v>
      </c>
      <c r="F1204">
        <v>45.674644469999997</v>
      </c>
      <c r="G1204">
        <v>1340.3116454999999</v>
      </c>
      <c r="H1204">
        <v>1337.8674315999999</v>
      </c>
      <c r="I1204">
        <v>1325.1131591999999</v>
      </c>
      <c r="J1204">
        <v>1322.6790771000001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441.129886</v>
      </c>
      <c r="B1205" s="1">
        <f>DATE(2011,7,16) + TIME(3,7,2)</f>
        <v>40740.129884259259</v>
      </c>
      <c r="C1205">
        <v>80</v>
      </c>
      <c r="D1205">
        <v>79.965515136999997</v>
      </c>
      <c r="E1205">
        <v>50</v>
      </c>
      <c r="F1205">
        <v>45.626800537000001</v>
      </c>
      <c r="G1205">
        <v>1340.3038329999999</v>
      </c>
      <c r="H1205">
        <v>1337.8631591999999</v>
      </c>
      <c r="I1205">
        <v>1325.0916748</v>
      </c>
      <c r="J1205">
        <v>1322.6470947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442.430048</v>
      </c>
      <c r="B1206" s="1">
        <f>DATE(2011,7,17) + TIME(10,19,16)</f>
        <v>40741.430046296293</v>
      </c>
      <c r="C1206">
        <v>80</v>
      </c>
      <c r="D1206">
        <v>79.965515136999997</v>
      </c>
      <c r="E1206">
        <v>50</v>
      </c>
      <c r="F1206">
        <v>45.578247070000003</v>
      </c>
      <c r="G1206">
        <v>1340.2960204999999</v>
      </c>
      <c r="H1206">
        <v>1337.8588867000001</v>
      </c>
      <c r="I1206">
        <v>1325.0700684000001</v>
      </c>
      <c r="J1206">
        <v>1322.614624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443.73299300000002</v>
      </c>
      <c r="B1207" s="1">
        <f>DATE(2011,7,18) + TIME(17,35,30)</f>
        <v>40742.732986111114</v>
      </c>
      <c r="C1207">
        <v>80</v>
      </c>
      <c r="D1207">
        <v>79.965515136999997</v>
      </c>
      <c r="E1207">
        <v>50</v>
      </c>
      <c r="F1207">
        <v>45.529224395999996</v>
      </c>
      <c r="G1207">
        <v>1340.2883300999999</v>
      </c>
      <c r="H1207">
        <v>1337.8546143000001</v>
      </c>
      <c r="I1207">
        <v>1325.0482178</v>
      </c>
      <c r="J1207">
        <v>1322.5819091999999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445.05104299999999</v>
      </c>
      <c r="B1208" s="1">
        <f>DATE(2011,7,20) + TIME(1,13,30)</f>
        <v>40744.051041666666</v>
      </c>
      <c r="C1208">
        <v>80</v>
      </c>
      <c r="D1208">
        <v>79.965515136999997</v>
      </c>
      <c r="E1208">
        <v>50</v>
      </c>
      <c r="F1208">
        <v>45.479862212999997</v>
      </c>
      <c r="G1208">
        <v>1340.2806396000001</v>
      </c>
      <c r="H1208">
        <v>1337.8503418</v>
      </c>
      <c r="I1208">
        <v>1325.0263672000001</v>
      </c>
      <c r="J1208">
        <v>1322.5490723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446.38367099999999</v>
      </c>
      <c r="B1209" s="1">
        <f>DATE(2011,7,21) + TIME(9,12,29)</f>
        <v>40745.383668981478</v>
      </c>
      <c r="C1209">
        <v>80</v>
      </c>
      <c r="D1209">
        <v>79.965515136999997</v>
      </c>
      <c r="E1209">
        <v>50</v>
      </c>
      <c r="F1209">
        <v>45.430126190000003</v>
      </c>
      <c r="G1209">
        <v>1340.2730713000001</v>
      </c>
      <c r="H1209">
        <v>1337.8461914</v>
      </c>
      <c r="I1209">
        <v>1325.0046387</v>
      </c>
      <c r="J1209">
        <v>1322.5159911999999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447.72023999999999</v>
      </c>
      <c r="B1210" s="1">
        <f>DATE(2011,7,22) + TIME(17,17,8)</f>
        <v>40746.720231481479</v>
      </c>
      <c r="C1210">
        <v>80</v>
      </c>
      <c r="D1210">
        <v>79.965515136999997</v>
      </c>
      <c r="E1210">
        <v>50</v>
      </c>
      <c r="F1210">
        <v>45.380218505999999</v>
      </c>
      <c r="G1210">
        <v>1340.2655029</v>
      </c>
      <c r="H1210">
        <v>1337.8419189000001</v>
      </c>
      <c r="I1210">
        <v>1324.9826660000001</v>
      </c>
      <c r="J1210">
        <v>1322.4826660000001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449.07516500000003</v>
      </c>
      <c r="B1211" s="1">
        <f>DATE(2011,7,24) + TIME(1,48,14)</f>
        <v>40748.075162037036</v>
      </c>
      <c r="C1211">
        <v>80</v>
      </c>
      <c r="D1211">
        <v>79.965522766000007</v>
      </c>
      <c r="E1211">
        <v>50</v>
      </c>
      <c r="F1211">
        <v>45.330253601000003</v>
      </c>
      <c r="G1211">
        <v>1340.2580565999999</v>
      </c>
      <c r="H1211">
        <v>1337.8377685999999</v>
      </c>
      <c r="I1211">
        <v>1324.9609375</v>
      </c>
      <c r="J1211">
        <v>1322.4494629000001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450.43536499999999</v>
      </c>
      <c r="B1212" s="1">
        <f>DATE(2011,7,25) + TIME(10,26,55)</f>
        <v>40749.435358796298</v>
      </c>
      <c r="C1212">
        <v>80</v>
      </c>
      <c r="D1212">
        <v>79.965522766000007</v>
      </c>
      <c r="E1212">
        <v>50</v>
      </c>
      <c r="F1212">
        <v>45.280410766999999</v>
      </c>
      <c r="G1212">
        <v>1340.2507324000001</v>
      </c>
      <c r="H1212">
        <v>1337.8334961</v>
      </c>
      <c r="I1212">
        <v>1324.9392089999999</v>
      </c>
      <c r="J1212">
        <v>1322.4160156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451.80889999999999</v>
      </c>
      <c r="B1213" s="1">
        <f>DATE(2011,7,26) + TIME(19,24,48)</f>
        <v>40750.808888888889</v>
      </c>
      <c r="C1213">
        <v>80</v>
      </c>
      <c r="D1213">
        <v>79.965530396000005</v>
      </c>
      <c r="E1213">
        <v>50</v>
      </c>
      <c r="F1213">
        <v>45.231010437000002</v>
      </c>
      <c r="G1213">
        <v>1340.2432861</v>
      </c>
      <c r="H1213">
        <v>1337.8293457</v>
      </c>
      <c r="I1213">
        <v>1324.9174805</v>
      </c>
      <c r="J1213">
        <v>1322.3824463000001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453.19844999999998</v>
      </c>
      <c r="B1214" s="1">
        <f>DATE(2011,7,28) + TIME(4,45,46)</f>
        <v>40752.198449074072</v>
      </c>
      <c r="C1214">
        <v>80</v>
      </c>
      <c r="D1214">
        <v>79.965530396000005</v>
      </c>
      <c r="E1214">
        <v>50</v>
      </c>
      <c r="F1214">
        <v>45.182312011999997</v>
      </c>
      <c r="G1214">
        <v>1340.2360839999999</v>
      </c>
      <c r="H1214">
        <v>1337.8250731999999</v>
      </c>
      <c r="I1214">
        <v>1324.895874</v>
      </c>
      <c r="J1214">
        <v>1322.348999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454.592063</v>
      </c>
      <c r="B1215" s="1">
        <f>DATE(2011,7,29) + TIME(14,12,34)</f>
        <v>40753.592060185183</v>
      </c>
      <c r="C1215">
        <v>80</v>
      </c>
      <c r="D1215">
        <v>79.965538025000001</v>
      </c>
      <c r="E1215">
        <v>50</v>
      </c>
      <c r="F1215">
        <v>45.134857177999997</v>
      </c>
      <c r="G1215">
        <v>1340.2287598</v>
      </c>
      <c r="H1215">
        <v>1337.8209228999999</v>
      </c>
      <c r="I1215">
        <v>1324.8743896000001</v>
      </c>
      <c r="J1215">
        <v>1322.3153076000001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456.00062300000002</v>
      </c>
      <c r="B1216" s="1">
        <f>DATE(2011,7,31) + TIME(0,0,53)</f>
        <v>40755.000613425924</v>
      </c>
      <c r="C1216">
        <v>80</v>
      </c>
      <c r="D1216">
        <v>79.965545653999996</v>
      </c>
      <c r="E1216">
        <v>50</v>
      </c>
      <c r="F1216">
        <v>45.089263916</v>
      </c>
      <c r="G1216">
        <v>1340.2215576000001</v>
      </c>
      <c r="H1216">
        <v>1337.8167725000001</v>
      </c>
      <c r="I1216">
        <v>1324.8531493999999</v>
      </c>
      <c r="J1216">
        <v>1322.2818603999999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457</v>
      </c>
      <c r="B1217" s="1">
        <f>DATE(2011,8,1) + TIME(0,0,0)</f>
        <v>40756</v>
      </c>
      <c r="C1217">
        <v>80</v>
      </c>
      <c r="D1217">
        <v>79.965545653999996</v>
      </c>
      <c r="E1217">
        <v>50</v>
      </c>
      <c r="F1217">
        <v>45.051441193000002</v>
      </c>
      <c r="G1217">
        <v>1340.2144774999999</v>
      </c>
      <c r="H1217">
        <v>1337.8126221</v>
      </c>
      <c r="I1217">
        <v>1324.8326416</v>
      </c>
      <c r="J1217">
        <v>1322.2495117000001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458.42008199999998</v>
      </c>
      <c r="B1218" s="1">
        <f>DATE(2011,8,2) + TIME(10,4,55)</f>
        <v>40757.420081018521</v>
      </c>
      <c r="C1218">
        <v>80</v>
      </c>
      <c r="D1218">
        <v>79.965560913000004</v>
      </c>
      <c r="E1218">
        <v>50</v>
      </c>
      <c r="F1218">
        <v>45.016166687000002</v>
      </c>
      <c r="G1218">
        <v>1340.2094727000001</v>
      </c>
      <c r="H1218">
        <v>1337.8096923999999</v>
      </c>
      <c r="I1218">
        <v>1324.8160399999999</v>
      </c>
      <c r="J1218">
        <v>1322.2222899999999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459.86336499999999</v>
      </c>
      <c r="B1219" s="1">
        <f>DATE(2011,8,3) + TIME(20,43,14)</f>
        <v>40758.863356481481</v>
      </c>
      <c r="C1219">
        <v>80</v>
      </c>
      <c r="D1219">
        <v>79.965568542</v>
      </c>
      <c r="E1219">
        <v>50</v>
      </c>
      <c r="F1219">
        <v>44.981807709000002</v>
      </c>
      <c r="G1219">
        <v>1340.2023925999999</v>
      </c>
      <c r="H1219">
        <v>1337.8055420000001</v>
      </c>
      <c r="I1219">
        <v>1324.7963867000001</v>
      </c>
      <c r="J1219">
        <v>1322.1907959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461.30986999999999</v>
      </c>
      <c r="B1220" s="1">
        <f>DATE(2011,8,5) + TIME(7,26,12)</f>
        <v>40760.309861111113</v>
      </c>
      <c r="C1220">
        <v>80</v>
      </c>
      <c r="D1220">
        <v>79.965576171999999</v>
      </c>
      <c r="E1220">
        <v>50</v>
      </c>
      <c r="F1220">
        <v>44.951992035000004</v>
      </c>
      <c r="G1220">
        <v>1340.1953125</v>
      </c>
      <c r="H1220">
        <v>1337.8013916</v>
      </c>
      <c r="I1220">
        <v>1324.7763672000001</v>
      </c>
      <c r="J1220">
        <v>1322.1583252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462.76520199999999</v>
      </c>
      <c r="B1221" s="1">
        <f>DATE(2011,8,6) + TIME(18,21,53)</f>
        <v>40761.765196759261</v>
      </c>
      <c r="C1221">
        <v>80</v>
      </c>
      <c r="D1221">
        <v>79.965591431000007</v>
      </c>
      <c r="E1221">
        <v>50</v>
      </c>
      <c r="F1221">
        <v>44.929191588999998</v>
      </c>
      <c r="G1221">
        <v>1340.1883545000001</v>
      </c>
      <c r="H1221">
        <v>1337.7972411999999</v>
      </c>
      <c r="I1221">
        <v>1324.7564697</v>
      </c>
      <c r="J1221">
        <v>1322.1257324000001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464.23796499999997</v>
      </c>
      <c r="B1222" s="1">
        <f>DATE(2011,8,8) + TIME(5,42,40)</f>
        <v>40763.237962962965</v>
      </c>
      <c r="C1222">
        <v>80</v>
      </c>
      <c r="D1222">
        <v>79.965599060000002</v>
      </c>
      <c r="E1222">
        <v>50</v>
      </c>
      <c r="F1222">
        <v>44.915412903000004</v>
      </c>
      <c r="G1222">
        <v>1340.1813964999999</v>
      </c>
      <c r="H1222">
        <v>1337.7930908000001</v>
      </c>
      <c r="I1222">
        <v>1324.7370605000001</v>
      </c>
      <c r="J1222">
        <v>1322.0933838000001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465.71426500000001</v>
      </c>
      <c r="B1223" s="1">
        <f>DATE(2011,8,9) + TIME(17,8,32)</f>
        <v>40764.714259259257</v>
      </c>
      <c r="C1223">
        <v>80</v>
      </c>
      <c r="D1223">
        <v>79.965614318999997</v>
      </c>
      <c r="E1223">
        <v>50</v>
      </c>
      <c r="F1223">
        <v>44.912834167</v>
      </c>
      <c r="G1223">
        <v>1340.1744385</v>
      </c>
      <c r="H1223">
        <v>1337.7889404</v>
      </c>
      <c r="I1223">
        <v>1324.7180175999999</v>
      </c>
      <c r="J1223">
        <v>1322.0612793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467.19115799999997</v>
      </c>
      <c r="B1224" s="1">
        <f>DATE(2011,8,11) + TIME(4,35,16)</f>
        <v>40766.191157407404</v>
      </c>
      <c r="C1224">
        <v>80</v>
      </c>
      <c r="D1224">
        <v>79.965621948000006</v>
      </c>
      <c r="E1224">
        <v>50</v>
      </c>
      <c r="F1224">
        <v>44.923946381</v>
      </c>
      <c r="G1224">
        <v>1340.1676024999999</v>
      </c>
      <c r="H1224">
        <v>1337.7847899999999</v>
      </c>
      <c r="I1224">
        <v>1324.6994629000001</v>
      </c>
      <c r="J1224">
        <v>1322.0299072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468.68463500000001</v>
      </c>
      <c r="B1225" s="1">
        <f>DATE(2011,8,12) + TIME(16,25,52)</f>
        <v>40767.684629629628</v>
      </c>
      <c r="C1225">
        <v>80</v>
      </c>
      <c r="D1225">
        <v>79.965637207</v>
      </c>
      <c r="E1225">
        <v>50</v>
      </c>
      <c r="F1225">
        <v>44.951282501000001</v>
      </c>
      <c r="G1225">
        <v>1340.1607666</v>
      </c>
      <c r="H1225">
        <v>1337.7806396000001</v>
      </c>
      <c r="I1225">
        <v>1324.6816406</v>
      </c>
      <c r="J1225">
        <v>1321.9991454999999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469.43940300000003</v>
      </c>
      <c r="B1226" s="1">
        <f>DATE(2011,8,13) + TIME(10,32,44)</f>
        <v>40768.439398148148</v>
      </c>
      <c r="C1226">
        <v>80</v>
      </c>
      <c r="D1226">
        <v>79.965637207</v>
      </c>
      <c r="E1226">
        <v>50</v>
      </c>
      <c r="F1226">
        <v>44.987258910999998</v>
      </c>
      <c r="G1226">
        <v>1340.1540527</v>
      </c>
      <c r="H1226">
        <v>1337.7764893000001</v>
      </c>
      <c r="I1226">
        <v>1324.6660156</v>
      </c>
      <c r="J1226">
        <v>1321.9714355000001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470.88728600000002</v>
      </c>
      <c r="B1227" s="1">
        <f>DATE(2011,8,14) + TIME(21,17,41)</f>
        <v>40769.887280092589</v>
      </c>
      <c r="C1227">
        <v>80</v>
      </c>
      <c r="D1227">
        <v>79.965660095000004</v>
      </c>
      <c r="E1227">
        <v>50</v>
      </c>
      <c r="F1227">
        <v>45.035869597999998</v>
      </c>
      <c r="G1227">
        <v>1340.1506348</v>
      </c>
      <c r="H1227">
        <v>1337.7744141000001</v>
      </c>
      <c r="I1227">
        <v>1324.6541748</v>
      </c>
      <c r="J1227">
        <v>1321.9512939000001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472.35714300000001</v>
      </c>
      <c r="B1228" s="1">
        <f>DATE(2011,8,16) + TIME(8,34,17)</f>
        <v>40771.357141203705</v>
      </c>
      <c r="C1228">
        <v>80</v>
      </c>
      <c r="D1228">
        <v>79.965675353999998</v>
      </c>
      <c r="E1228">
        <v>50</v>
      </c>
      <c r="F1228">
        <v>45.112312316999997</v>
      </c>
      <c r="G1228">
        <v>1340.1441649999999</v>
      </c>
      <c r="H1228">
        <v>1337.7703856999999</v>
      </c>
      <c r="I1228">
        <v>1324.6397704999999</v>
      </c>
      <c r="J1228">
        <v>1321.9256591999999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473.84974199999999</v>
      </c>
      <c r="B1229" s="1">
        <f>DATE(2011,8,17) + TIME(20,23,37)</f>
        <v>40772.849733796298</v>
      </c>
      <c r="C1229">
        <v>80</v>
      </c>
      <c r="D1229">
        <v>79.965690613000007</v>
      </c>
      <c r="E1229">
        <v>50</v>
      </c>
      <c r="F1229">
        <v>45.216537475999999</v>
      </c>
      <c r="G1229">
        <v>1340.1376952999999</v>
      </c>
      <c r="H1229">
        <v>1337.7663574000001</v>
      </c>
      <c r="I1229">
        <v>1324.6251221</v>
      </c>
      <c r="J1229">
        <v>1321.8995361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474.61519199999998</v>
      </c>
      <c r="B1230" s="1">
        <f>DATE(2011,8,18) + TIME(14,45,52)</f>
        <v>40773.615185185183</v>
      </c>
      <c r="C1230">
        <v>80</v>
      </c>
      <c r="D1230">
        <v>79.965682982999994</v>
      </c>
      <c r="E1230">
        <v>50</v>
      </c>
      <c r="F1230">
        <v>45.321800232000001</v>
      </c>
      <c r="G1230">
        <v>1340.1311035000001</v>
      </c>
      <c r="H1230">
        <v>1337.7623291</v>
      </c>
      <c r="I1230">
        <v>1324.612793</v>
      </c>
      <c r="J1230">
        <v>1321.8758545000001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476.053134</v>
      </c>
      <c r="B1231" s="1">
        <f>DATE(2011,8,20) + TIME(1,16,30)</f>
        <v>40775.053124999999</v>
      </c>
      <c r="C1231">
        <v>80</v>
      </c>
      <c r="D1231">
        <v>79.965713500999996</v>
      </c>
      <c r="E1231">
        <v>50</v>
      </c>
      <c r="F1231">
        <v>45.446128844999997</v>
      </c>
      <c r="G1231">
        <v>1340.1278076000001</v>
      </c>
      <c r="H1231">
        <v>1337.7602539</v>
      </c>
      <c r="I1231">
        <v>1324.6020507999999</v>
      </c>
      <c r="J1231">
        <v>1321.8587646000001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477.53772199999997</v>
      </c>
      <c r="B1232" s="1">
        <f>DATE(2011,8,21) + TIME(12,54,19)</f>
        <v>40776.537719907406</v>
      </c>
      <c r="C1232">
        <v>80</v>
      </c>
      <c r="D1232">
        <v>79.965728760000005</v>
      </c>
      <c r="E1232">
        <v>50</v>
      </c>
      <c r="F1232">
        <v>45.616596221999998</v>
      </c>
      <c r="G1232">
        <v>1340.1217041</v>
      </c>
      <c r="H1232">
        <v>1337.7564697</v>
      </c>
      <c r="I1232">
        <v>1324.590332</v>
      </c>
      <c r="J1232">
        <v>1321.8371582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479.04724399999998</v>
      </c>
      <c r="B1233" s="1">
        <f>DATE(2011,8,23) + TIME(1,8,1)</f>
        <v>40778.047233796293</v>
      </c>
      <c r="C1233">
        <v>80</v>
      </c>
      <c r="D1233">
        <v>79.965744018999999</v>
      </c>
      <c r="E1233">
        <v>50</v>
      </c>
      <c r="F1233">
        <v>45.831085205000001</v>
      </c>
      <c r="G1233">
        <v>1340.1153564000001</v>
      </c>
      <c r="H1233">
        <v>1337.7524414</v>
      </c>
      <c r="I1233">
        <v>1324.5783690999999</v>
      </c>
      <c r="J1233">
        <v>1321.8155518000001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480.59869200000003</v>
      </c>
      <c r="B1234" s="1">
        <f>DATE(2011,8,24) + TIME(14,22,7)</f>
        <v>40779.598692129628</v>
      </c>
      <c r="C1234">
        <v>80</v>
      </c>
      <c r="D1234">
        <v>79.965766907000003</v>
      </c>
      <c r="E1234">
        <v>50</v>
      </c>
      <c r="F1234">
        <v>46.080360413000001</v>
      </c>
      <c r="G1234">
        <v>1340.1090088000001</v>
      </c>
      <c r="H1234">
        <v>1337.7485352000001</v>
      </c>
      <c r="I1234">
        <v>1324.5666504000001</v>
      </c>
      <c r="J1234">
        <v>1321.7945557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482.15489300000002</v>
      </c>
      <c r="B1235" s="1">
        <f>DATE(2011,8,26) + TIME(3,43,2)</f>
        <v>40781.15488425926</v>
      </c>
      <c r="C1235">
        <v>80</v>
      </c>
      <c r="D1235">
        <v>79.965782165999997</v>
      </c>
      <c r="E1235">
        <v>50</v>
      </c>
      <c r="F1235">
        <v>46.365917205999999</v>
      </c>
      <c r="G1235">
        <v>1340.1026611</v>
      </c>
      <c r="H1235">
        <v>1337.7443848</v>
      </c>
      <c r="I1235">
        <v>1324.5555420000001</v>
      </c>
      <c r="J1235">
        <v>1321.7745361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483.71954399999998</v>
      </c>
      <c r="B1236" s="1">
        <f>DATE(2011,8,27) + TIME(17,16,8)</f>
        <v>40782.719537037039</v>
      </c>
      <c r="C1236">
        <v>80</v>
      </c>
      <c r="D1236">
        <v>79.965805054</v>
      </c>
      <c r="E1236">
        <v>50</v>
      </c>
      <c r="F1236">
        <v>46.687656402999998</v>
      </c>
      <c r="G1236">
        <v>1340.0963135</v>
      </c>
      <c r="H1236">
        <v>1337.7403564000001</v>
      </c>
      <c r="I1236">
        <v>1324.5449219</v>
      </c>
      <c r="J1236">
        <v>1321.7558594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485.32477299999999</v>
      </c>
      <c r="B1237" s="1">
        <f>DATE(2011,8,29) + TIME(7,47,40)</f>
        <v>40784.32476851852</v>
      </c>
      <c r="C1237">
        <v>80</v>
      </c>
      <c r="D1237">
        <v>79.965827942000004</v>
      </c>
      <c r="E1237">
        <v>50</v>
      </c>
      <c r="F1237">
        <v>47.046600341999998</v>
      </c>
      <c r="G1237">
        <v>1340.0899658000001</v>
      </c>
      <c r="H1237">
        <v>1337.7363281</v>
      </c>
      <c r="I1237">
        <v>1324.5349120999999</v>
      </c>
      <c r="J1237">
        <v>1321.7385254000001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486.96366</v>
      </c>
      <c r="B1238" s="1">
        <f>DATE(2011,8,30) + TIME(23,7,40)</f>
        <v>40785.96365740741</v>
      </c>
      <c r="C1238">
        <v>80</v>
      </c>
      <c r="D1238">
        <v>79.965850829999994</v>
      </c>
      <c r="E1238">
        <v>50</v>
      </c>
      <c r="F1238">
        <v>47.443576813</v>
      </c>
      <c r="G1238">
        <v>1340.0836182</v>
      </c>
      <c r="H1238">
        <v>1337.7322998</v>
      </c>
      <c r="I1238">
        <v>1324.5255127</v>
      </c>
      <c r="J1238">
        <v>1321.7224120999999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488</v>
      </c>
      <c r="B1239" s="1">
        <f>DATE(2011,9,1) + TIME(0,0,0)</f>
        <v>40787</v>
      </c>
      <c r="C1239">
        <v>80</v>
      </c>
      <c r="D1239">
        <v>79.965850829999994</v>
      </c>
      <c r="E1239">
        <v>50</v>
      </c>
      <c r="F1239">
        <v>47.814659118999998</v>
      </c>
      <c r="G1239">
        <v>1340.0771483999999</v>
      </c>
      <c r="H1239">
        <v>1337.7281493999999</v>
      </c>
      <c r="I1239">
        <v>1324.5184326000001</v>
      </c>
      <c r="J1239">
        <v>1321.7084961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489.68023699999998</v>
      </c>
      <c r="B1240" s="1">
        <f>DATE(2011,9,2) + TIME(16,19,32)</f>
        <v>40788.680231481485</v>
      </c>
      <c r="C1240">
        <v>80</v>
      </c>
      <c r="D1240">
        <v>79.965881347999996</v>
      </c>
      <c r="E1240">
        <v>50</v>
      </c>
      <c r="F1240">
        <v>48.184116363999998</v>
      </c>
      <c r="G1240">
        <v>1340.0731201000001</v>
      </c>
      <c r="H1240">
        <v>1337.7255858999999</v>
      </c>
      <c r="I1240">
        <v>1324.5098877</v>
      </c>
      <c r="J1240">
        <v>1321.6982422000001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491.47927700000002</v>
      </c>
      <c r="B1241" s="1">
        <f>DATE(2011,9,4) + TIME(11,30,9)</f>
        <v>40790.479270833333</v>
      </c>
      <c r="C1241">
        <v>80</v>
      </c>
      <c r="D1241">
        <v>79.965911864999995</v>
      </c>
      <c r="E1241">
        <v>50</v>
      </c>
      <c r="F1241">
        <v>48.637577057000001</v>
      </c>
      <c r="G1241">
        <v>1340.0667725000001</v>
      </c>
      <c r="H1241">
        <v>1337.7214355000001</v>
      </c>
      <c r="I1241">
        <v>1324.5025635</v>
      </c>
      <c r="J1241">
        <v>1321.6859131000001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493.29996299999999</v>
      </c>
      <c r="B1242" s="1">
        <f>DATE(2011,9,6) + TIME(7,11,56)</f>
        <v>40792.299953703703</v>
      </c>
      <c r="C1242">
        <v>80</v>
      </c>
      <c r="D1242">
        <v>79.965942382999998</v>
      </c>
      <c r="E1242">
        <v>50</v>
      </c>
      <c r="F1242">
        <v>49.137180327999999</v>
      </c>
      <c r="G1242">
        <v>1340.0599365</v>
      </c>
      <c r="H1242">
        <v>1337.7170410000001</v>
      </c>
      <c r="I1242">
        <v>1324.4949951000001</v>
      </c>
      <c r="J1242">
        <v>1321.6738281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495.15391299999999</v>
      </c>
      <c r="B1243" s="1">
        <f>DATE(2011,9,8) + TIME(3,41,38)</f>
        <v>40794.153912037036</v>
      </c>
      <c r="C1243">
        <v>80</v>
      </c>
      <c r="D1243">
        <v>79.965965271000002</v>
      </c>
      <c r="E1243">
        <v>50</v>
      </c>
      <c r="F1243">
        <v>49.654689789000003</v>
      </c>
      <c r="G1243">
        <v>1340.0532227000001</v>
      </c>
      <c r="H1243">
        <v>1337.7126464999999</v>
      </c>
      <c r="I1243">
        <v>1324.487793</v>
      </c>
      <c r="J1243">
        <v>1321.6628418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497.03071999999997</v>
      </c>
      <c r="B1244" s="1">
        <f>DATE(2011,9,10) + TIME(0,44,14)</f>
        <v>40796.030717592592</v>
      </c>
      <c r="C1244">
        <v>80</v>
      </c>
      <c r="D1244">
        <v>79.965995789000004</v>
      </c>
      <c r="E1244">
        <v>50</v>
      </c>
      <c r="F1244">
        <v>50.179840087999999</v>
      </c>
      <c r="G1244">
        <v>1340.0462646000001</v>
      </c>
      <c r="H1244">
        <v>1337.7081298999999</v>
      </c>
      <c r="I1244">
        <v>1324.4810791</v>
      </c>
      <c r="J1244">
        <v>1321.652832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498.93154800000002</v>
      </c>
      <c r="B1245" s="1">
        <f>DATE(2011,9,11) + TIME(22,21,25)</f>
        <v>40797.931539351855</v>
      </c>
      <c r="C1245">
        <v>80</v>
      </c>
      <c r="D1245">
        <v>79.966018676999994</v>
      </c>
      <c r="E1245">
        <v>50</v>
      </c>
      <c r="F1245">
        <v>50.705028534</v>
      </c>
      <c r="G1245">
        <v>1340.0394286999999</v>
      </c>
      <c r="H1245">
        <v>1337.7037353999999</v>
      </c>
      <c r="I1245">
        <v>1324.4748535000001</v>
      </c>
      <c r="J1245">
        <v>1321.6437988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500.86105800000001</v>
      </c>
      <c r="B1246" s="1">
        <f>DATE(2011,9,13) + TIME(20,39,55)</f>
        <v>40799.86105324074</v>
      </c>
      <c r="C1246">
        <v>80</v>
      </c>
      <c r="D1246">
        <v>79.966049193999993</v>
      </c>
      <c r="E1246">
        <v>50</v>
      </c>
      <c r="F1246">
        <v>51.225410461000003</v>
      </c>
      <c r="G1246">
        <v>1340.0325928</v>
      </c>
      <c r="H1246">
        <v>1337.6993408000001</v>
      </c>
      <c r="I1246">
        <v>1324.4691161999999</v>
      </c>
      <c r="J1246">
        <v>1321.6356201000001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502.83122300000002</v>
      </c>
      <c r="B1247" s="1">
        <f>DATE(2011,9,15) + TIME(19,56,57)</f>
        <v>40801.83121527778</v>
      </c>
      <c r="C1247">
        <v>80</v>
      </c>
      <c r="D1247">
        <v>79.966079711999996</v>
      </c>
      <c r="E1247">
        <v>50</v>
      </c>
      <c r="F1247">
        <v>51.738708496000001</v>
      </c>
      <c r="G1247">
        <v>1340.0257568</v>
      </c>
      <c r="H1247">
        <v>1337.6948242000001</v>
      </c>
      <c r="I1247">
        <v>1324.4639893000001</v>
      </c>
      <c r="J1247">
        <v>1321.6282959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504.82040999999998</v>
      </c>
      <c r="B1248" s="1">
        <f>DATE(2011,9,17) + TIME(19,41,23)</f>
        <v>40803.820405092592</v>
      </c>
      <c r="C1248">
        <v>80</v>
      </c>
      <c r="D1248">
        <v>79.966110228999995</v>
      </c>
      <c r="E1248">
        <v>50</v>
      </c>
      <c r="F1248">
        <v>52.243652343999997</v>
      </c>
      <c r="G1248">
        <v>1340.0189209</v>
      </c>
      <c r="H1248">
        <v>1337.6904297000001</v>
      </c>
      <c r="I1248">
        <v>1324.4592285000001</v>
      </c>
      <c r="J1248">
        <v>1321.621582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506.83137699999997</v>
      </c>
      <c r="B1249" s="1">
        <f>DATE(2011,9,19) + TIME(19,57,10)</f>
        <v>40805.831365740742</v>
      </c>
      <c r="C1249">
        <v>80</v>
      </c>
      <c r="D1249">
        <v>79.966140746999997</v>
      </c>
      <c r="E1249">
        <v>50</v>
      </c>
      <c r="F1249">
        <v>52.737411498999997</v>
      </c>
      <c r="G1249">
        <v>1340.0123291</v>
      </c>
      <c r="H1249">
        <v>1337.6860352000001</v>
      </c>
      <c r="I1249">
        <v>1324.4549560999999</v>
      </c>
      <c r="J1249">
        <v>1321.6156006000001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508.890175</v>
      </c>
      <c r="B1250" s="1">
        <f>DATE(2011,9,21) + TIME(21,21,51)</f>
        <v>40807.890173611115</v>
      </c>
      <c r="C1250">
        <v>80</v>
      </c>
      <c r="D1250">
        <v>79.966171265</v>
      </c>
      <c r="E1250">
        <v>50</v>
      </c>
      <c r="F1250">
        <v>53.220306395999998</v>
      </c>
      <c r="G1250">
        <v>1340.0056152</v>
      </c>
      <c r="H1250">
        <v>1337.6817627</v>
      </c>
      <c r="I1250">
        <v>1324.4510498</v>
      </c>
      <c r="J1250">
        <v>1321.6101074000001</v>
      </c>
      <c r="K1250">
        <v>2750</v>
      </c>
      <c r="L1250">
        <v>0</v>
      </c>
      <c r="M1250">
        <v>0</v>
      </c>
      <c r="N1250">
        <v>2750</v>
      </c>
    </row>
    <row r="1251" spans="1:14" x14ac:dyDescent="0.25">
      <c r="A1251">
        <v>510.98155200000002</v>
      </c>
      <c r="B1251" s="1">
        <f>DATE(2011,9,23) + TIME(23,33,26)</f>
        <v>40809.981550925928</v>
      </c>
      <c r="C1251">
        <v>80</v>
      </c>
      <c r="D1251">
        <v>79.966209411999998</v>
      </c>
      <c r="E1251">
        <v>50</v>
      </c>
      <c r="F1251">
        <v>53.694473266999999</v>
      </c>
      <c r="G1251">
        <v>1339.9990233999999</v>
      </c>
      <c r="H1251">
        <v>1337.6773682</v>
      </c>
      <c r="I1251">
        <v>1324.4475098</v>
      </c>
      <c r="J1251">
        <v>1321.6049805</v>
      </c>
      <c r="K1251">
        <v>2750</v>
      </c>
      <c r="L1251">
        <v>0</v>
      </c>
      <c r="M1251">
        <v>0</v>
      </c>
      <c r="N1251">
        <v>2750</v>
      </c>
    </row>
    <row r="1252" spans="1:14" x14ac:dyDescent="0.25">
      <c r="A1252">
        <v>513.08241399999997</v>
      </c>
      <c r="B1252" s="1">
        <f>DATE(2011,9,26) + TIME(1,58,40)</f>
        <v>40812.082407407404</v>
      </c>
      <c r="C1252">
        <v>80</v>
      </c>
      <c r="D1252">
        <v>79.966239928999997</v>
      </c>
      <c r="E1252">
        <v>50</v>
      </c>
      <c r="F1252">
        <v>54.155952454000001</v>
      </c>
      <c r="G1252">
        <v>1339.9923096</v>
      </c>
      <c r="H1252">
        <v>1337.6730957</v>
      </c>
      <c r="I1252">
        <v>1324.4442139</v>
      </c>
      <c r="J1252">
        <v>1321.6002197</v>
      </c>
      <c r="K1252">
        <v>2750</v>
      </c>
      <c r="L1252">
        <v>0</v>
      </c>
      <c r="M1252">
        <v>0</v>
      </c>
      <c r="N1252">
        <v>2750</v>
      </c>
    </row>
    <row r="1253" spans="1:14" x14ac:dyDescent="0.25">
      <c r="A1253">
        <v>515.22025299999996</v>
      </c>
      <c r="B1253" s="1">
        <f>DATE(2011,9,28) + TIME(5,17,9)</f>
        <v>40814.220243055555</v>
      </c>
      <c r="C1253">
        <v>80</v>
      </c>
      <c r="D1253">
        <v>79.966278075999995</v>
      </c>
      <c r="E1253">
        <v>50</v>
      </c>
      <c r="F1253">
        <v>54.602375031000001</v>
      </c>
      <c r="G1253">
        <v>1339.9858397999999</v>
      </c>
      <c r="H1253">
        <v>1337.6688231999999</v>
      </c>
      <c r="I1253">
        <v>1324.4411620999999</v>
      </c>
      <c r="J1253">
        <v>1321.5959473</v>
      </c>
      <c r="K1253">
        <v>2750</v>
      </c>
      <c r="L1253">
        <v>0</v>
      </c>
      <c r="M1253">
        <v>0</v>
      </c>
      <c r="N1253">
        <v>2750</v>
      </c>
    </row>
    <row r="1254" spans="1:14" x14ac:dyDescent="0.25">
      <c r="A1254">
        <v>517.40978399999995</v>
      </c>
      <c r="B1254" s="1">
        <f>DATE(2011,9,30) + TIME(9,50,5)</f>
        <v>40816.409780092596</v>
      </c>
      <c r="C1254">
        <v>80</v>
      </c>
      <c r="D1254">
        <v>79.966308593999997</v>
      </c>
      <c r="E1254">
        <v>50</v>
      </c>
      <c r="F1254">
        <v>55.036411285</v>
      </c>
      <c r="G1254">
        <v>1339.9793701000001</v>
      </c>
      <c r="H1254">
        <v>1337.6646728999999</v>
      </c>
      <c r="I1254">
        <v>1324.4383545000001</v>
      </c>
      <c r="J1254">
        <v>1321.5917969</v>
      </c>
      <c r="K1254">
        <v>2750</v>
      </c>
      <c r="L1254">
        <v>0</v>
      </c>
      <c r="M1254">
        <v>0</v>
      </c>
      <c r="N1254">
        <v>2750</v>
      </c>
    </row>
    <row r="1255" spans="1:14" x14ac:dyDescent="0.25">
      <c r="A1255">
        <v>518</v>
      </c>
      <c r="B1255" s="1">
        <f>DATE(2011,10,1) + TIME(0,0,0)</f>
        <v>40817</v>
      </c>
      <c r="C1255">
        <v>80</v>
      </c>
      <c r="D1255">
        <v>79.966308593999997</v>
      </c>
      <c r="E1255">
        <v>50</v>
      </c>
      <c r="F1255">
        <v>55.315963744999998</v>
      </c>
      <c r="G1255">
        <v>1339.9729004000001</v>
      </c>
      <c r="H1255">
        <v>1337.6605225000001</v>
      </c>
      <c r="I1255">
        <v>1324.4400635</v>
      </c>
      <c r="J1255">
        <v>1321.5893555</v>
      </c>
      <c r="K1255">
        <v>2750</v>
      </c>
      <c r="L1255">
        <v>0</v>
      </c>
      <c r="M1255">
        <v>0</v>
      </c>
      <c r="N1255">
        <v>2750</v>
      </c>
    </row>
    <row r="1256" spans="1:14" x14ac:dyDescent="0.25">
      <c r="A1256">
        <v>520.212402</v>
      </c>
      <c r="B1256" s="1">
        <f>DATE(2011,10,3) + TIME(5,5,51)</f>
        <v>40819.212395833332</v>
      </c>
      <c r="C1256">
        <v>80</v>
      </c>
      <c r="D1256">
        <v>79.966354370000005</v>
      </c>
      <c r="E1256">
        <v>50</v>
      </c>
      <c r="F1256">
        <v>55.600555419999999</v>
      </c>
      <c r="G1256">
        <v>1339.9711914</v>
      </c>
      <c r="H1256">
        <v>1337.6593018000001</v>
      </c>
      <c r="I1256">
        <v>1324.4348144999999</v>
      </c>
      <c r="J1256">
        <v>1321.5880127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522.46337400000004</v>
      </c>
      <c r="B1257" s="1">
        <f>DATE(2011,10,5) + TIME(11,7,15)</f>
        <v>40821.463368055556</v>
      </c>
      <c r="C1257">
        <v>80</v>
      </c>
      <c r="D1257">
        <v>79.966392517000003</v>
      </c>
      <c r="E1257">
        <v>50</v>
      </c>
      <c r="F1257">
        <v>55.979530334000003</v>
      </c>
      <c r="G1257">
        <v>1339.9648437999999</v>
      </c>
      <c r="H1257">
        <v>1337.6551514</v>
      </c>
      <c r="I1257">
        <v>1324.4326172000001</v>
      </c>
      <c r="J1257">
        <v>1321.5831298999999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524.75157999999999</v>
      </c>
      <c r="B1258" s="1">
        <f>DATE(2011,10,7) + TIME(18,2,16)</f>
        <v>40823.751574074071</v>
      </c>
      <c r="C1258">
        <v>80</v>
      </c>
      <c r="D1258">
        <v>79.966438292999996</v>
      </c>
      <c r="E1258">
        <v>50</v>
      </c>
      <c r="F1258">
        <v>56.366077423</v>
      </c>
      <c r="G1258">
        <v>1339.958374</v>
      </c>
      <c r="H1258">
        <v>1337.651001</v>
      </c>
      <c r="I1258">
        <v>1324.4304199000001</v>
      </c>
      <c r="J1258">
        <v>1321.5794678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527.09809199999995</v>
      </c>
      <c r="B1259" s="1">
        <f>DATE(2011,10,10) + TIME(2,21,15)</f>
        <v>40826.098090277781</v>
      </c>
      <c r="C1259">
        <v>80</v>
      </c>
      <c r="D1259">
        <v>79.966476439999994</v>
      </c>
      <c r="E1259">
        <v>50</v>
      </c>
      <c r="F1259">
        <v>56.742992401000002</v>
      </c>
      <c r="G1259">
        <v>1339.9521483999999</v>
      </c>
      <c r="H1259">
        <v>1337.6469727000001</v>
      </c>
      <c r="I1259">
        <v>1324.4284668</v>
      </c>
      <c r="J1259">
        <v>1321.5760498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529.46390299999996</v>
      </c>
      <c r="B1260" s="1">
        <f>DATE(2011,10,12) + TIME(11,8,1)</f>
        <v>40828.463900462964</v>
      </c>
      <c r="C1260">
        <v>80</v>
      </c>
      <c r="D1260">
        <v>79.966514587000006</v>
      </c>
      <c r="E1260">
        <v>50</v>
      </c>
      <c r="F1260">
        <v>57.110618590999998</v>
      </c>
      <c r="G1260">
        <v>1339.9458007999999</v>
      </c>
      <c r="H1260">
        <v>1337.6428223</v>
      </c>
      <c r="I1260">
        <v>1324.4266356999999</v>
      </c>
      <c r="J1260">
        <v>1321.5726318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531.85478999999998</v>
      </c>
      <c r="B1261" s="1">
        <f>DATE(2011,10,14) + TIME(20,30,53)</f>
        <v>40830.854780092595</v>
      </c>
      <c r="C1261">
        <v>80</v>
      </c>
      <c r="D1261">
        <v>79.966560364000003</v>
      </c>
      <c r="E1261">
        <v>50</v>
      </c>
      <c r="F1261">
        <v>57.463825225999997</v>
      </c>
      <c r="G1261">
        <v>1339.9394531</v>
      </c>
      <c r="H1261">
        <v>1337.6387939000001</v>
      </c>
      <c r="I1261">
        <v>1324.4249268000001</v>
      </c>
      <c r="J1261">
        <v>1321.5694579999999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534.29174599999999</v>
      </c>
      <c r="B1262" s="1">
        <f>DATE(2011,10,17) + TIME(7,0,6)</f>
        <v>40833.29173611111</v>
      </c>
      <c r="C1262">
        <v>80</v>
      </c>
      <c r="D1262">
        <v>79.966598511000001</v>
      </c>
      <c r="E1262">
        <v>50</v>
      </c>
      <c r="F1262">
        <v>57.803871155000003</v>
      </c>
      <c r="G1262">
        <v>1339.9332274999999</v>
      </c>
      <c r="H1262">
        <v>1337.6347656</v>
      </c>
      <c r="I1262">
        <v>1324.4233397999999</v>
      </c>
      <c r="J1262">
        <v>1321.5665283000001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536.78946299999996</v>
      </c>
      <c r="B1263" s="1">
        <f>DATE(2011,10,19) + TIME(18,56,49)</f>
        <v>40835.789456018516</v>
      </c>
      <c r="C1263">
        <v>80</v>
      </c>
      <c r="D1263">
        <v>79.966644286999994</v>
      </c>
      <c r="E1263">
        <v>50</v>
      </c>
      <c r="F1263">
        <v>58.132610321000001</v>
      </c>
      <c r="G1263">
        <v>1339.927124</v>
      </c>
      <c r="H1263">
        <v>1337.6307373</v>
      </c>
      <c r="I1263">
        <v>1324.421875</v>
      </c>
      <c r="J1263">
        <v>1321.5634766000001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539.29856099999995</v>
      </c>
      <c r="B1264" s="1">
        <f>DATE(2011,10,22) + TIME(7,9,55)</f>
        <v>40838.29855324074</v>
      </c>
      <c r="C1264">
        <v>80</v>
      </c>
      <c r="D1264">
        <v>79.966690063000001</v>
      </c>
      <c r="E1264">
        <v>50</v>
      </c>
      <c r="F1264">
        <v>58.452365874999998</v>
      </c>
      <c r="G1264">
        <v>1339.9208983999999</v>
      </c>
      <c r="H1264">
        <v>1337.6267089999999</v>
      </c>
      <c r="I1264">
        <v>1324.4205322</v>
      </c>
      <c r="J1264">
        <v>1321.5606689000001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541.83657400000004</v>
      </c>
      <c r="B1265" s="1">
        <f>DATE(2011,10,24) + TIME(20,4,39)</f>
        <v>40840.836562500001</v>
      </c>
      <c r="C1265">
        <v>80</v>
      </c>
      <c r="D1265">
        <v>79.966735839999998</v>
      </c>
      <c r="E1265">
        <v>50</v>
      </c>
      <c r="F1265">
        <v>58.758174896</v>
      </c>
      <c r="G1265">
        <v>1339.9147949000001</v>
      </c>
      <c r="H1265">
        <v>1337.6228027</v>
      </c>
      <c r="I1265">
        <v>1324.4194336</v>
      </c>
      <c r="J1265">
        <v>1321.5578613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544.43835899999999</v>
      </c>
      <c r="B1266" s="1">
        <f>DATE(2011,10,27) + TIME(10,31,14)</f>
        <v>40843.438356481478</v>
      </c>
      <c r="C1266">
        <v>80</v>
      </c>
      <c r="D1266">
        <v>79.966781616000006</v>
      </c>
      <c r="E1266">
        <v>50</v>
      </c>
      <c r="F1266">
        <v>59.052070618000002</v>
      </c>
      <c r="G1266">
        <v>1339.9088135</v>
      </c>
      <c r="H1266">
        <v>1337.6188964999999</v>
      </c>
      <c r="I1266">
        <v>1324.4183350000001</v>
      </c>
      <c r="J1266">
        <v>1321.5552978999999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547.09212100000002</v>
      </c>
      <c r="B1267" s="1">
        <f>DATE(2011,10,30) + TIME(2,12,39)</f>
        <v>40846.092118055552</v>
      </c>
      <c r="C1267">
        <v>80</v>
      </c>
      <c r="D1267">
        <v>79.966827393000003</v>
      </c>
      <c r="E1267">
        <v>50</v>
      </c>
      <c r="F1267">
        <v>59.335884094000001</v>
      </c>
      <c r="G1267">
        <v>1339.9027100000001</v>
      </c>
      <c r="H1267">
        <v>1337.6149902</v>
      </c>
      <c r="I1267">
        <v>1324.4174805</v>
      </c>
      <c r="J1267">
        <v>1321.5527344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549</v>
      </c>
      <c r="B1268" s="1">
        <f>DATE(2011,11,1) + TIME(0,0,0)</f>
        <v>40848</v>
      </c>
      <c r="C1268">
        <v>80</v>
      </c>
      <c r="D1268">
        <v>79.966857910000002</v>
      </c>
      <c r="E1268">
        <v>50</v>
      </c>
      <c r="F1268">
        <v>59.597469330000003</v>
      </c>
      <c r="G1268">
        <v>1339.8967285000001</v>
      </c>
      <c r="H1268">
        <v>1337.6110839999999</v>
      </c>
      <c r="I1268">
        <v>1324.4172363</v>
      </c>
      <c r="J1268">
        <v>1321.5506591999999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549.000001</v>
      </c>
      <c r="B1269" s="1">
        <f>DATE(2011,11,1) + TIME(0,0,0)</f>
        <v>40848</v>
      </c>
      <c r="C1269">
        <v>80</v>
      </c>
      <c r="D1269">
        <v>79.966751099000007</v>
      </c>
      <c r="E1269">
        <v>50</v>
      </c>
      <c r="F1269">
        <v>59.597595214999998</v>
      </c>
      <c r="G1269">
        <v>1336.8986815999999</v>
      </c>
      <c r="H1269">
        <v>1336.1120605000001</v>
      </c>
      <c r="I1269">
        <v>1328.2805175999999</v>
      </c>
      <c r="J1269">
        <v>1325.5043945</v>
      </c>
      <c r="K1269">
        <v>0</v>
      </c>
      <c r="L1269">
        <v>2750</v>
      </c>
      <c r="M1269">
        <v>2750</v>
      </c>
      <c r="N1269">
        <v>0</v>
      </c>
    </row>
    <row r="1270" spans="1:14" x14ac:dyDescent="0.25">
      <c r="A1270">
        <v>549.00000399999999</v>
      </c>
      <c r="B1270" s="1">
        <f>DATE(2011,11,1) + TIME(0,0,0)</f>
        <v>40848</v>
      </c>
      <c r="C1270">
        <v>80</v>
      </c>
      <c r="D1270">
        <v>79.966621399000005</v>
      </c>
      <c r="E1270">
        <v>50</v>
      </c>
      <c r="F1270">
        <v>59.597740172999998</v>
      </c>
      <c r="G1270">
        <v>1335.9482422000001</v>
      </c>
      <c r="H1270">
        <v>1335.152832</v>
      </c>
      <c r="I1270">
        <v>1329.6838379000001</v>
      </c>
      <c r="J1270">
        <v>1327.0477295000001</v>
      </c>
      <c r="K1270">
        <v>0</v>
      </c>
      <c r="L1270">
        <v>2750</v>
      </c>
      <c r="M1270">
        <v>2750</v>
      </c>
      <c r="N1270">
        <v>0</v>
      </c>
    </row>
    <row r="1271" spans="1:14" x14ac:dyDescent="0.25">
      <c r="A1271">
        <v>549.00001299999997</v>
      </c>
      <c r="B1271" s="1">
        <f>DATE(2011,11,1) + TIME(0,0,1)</f>
        <v>40848.000011574077</v>
      </c>
      <c r="C1271">
        <v>80</v>
      </c>
      <c r="D1271">
        <v>79.966476439999994</v>
      </c>
      <c r="E1271">
        <v>50</v>
      </c>
      <c r="F1271">
        <v>59.597797393999997</v>
      </c>
      <c r="G1271">
        <v>1334.9645995999999</v>
      </c>
      <c r="H1271">
        <v>1334.1381836</v>
      </c>
      <c r="I1271">
        <v>1331.4056396000001</v>
      </c>
      <c r="J1271">
        <v>1328.7512207</v>
      </c>
      <c r="K1271">
        <v>0</v>
      </c>
      <c r="L1271">
        <v>2750</v>
      </c>
      <c r="M1271">
        <v>2750</v>
      </c>
      <c r="N1271">
        <v>0</v>
      </c>
    </row>
    <row r="1272" spans="1:14" x14ac:dyDescent="0.25">
      <c r="A1272">
        <v>549.00004000000001</v>
      </c>
      <c r="B1272" s="1">
        <f>DATE(2011,11,1) + TIME(0,0,3)</f>
        <v>40848.000034722223</v>
      </c>
      <c r="C1272">
        <v>80</v>
      </c>
      <c r="D1272">
        <v>79.966339110999996</v>
      </c>
      <c r="E1272">
        <v>50</v>
      </c>
      <c r="F1272">
        <v>59.597507477000001</v>
      </c>
      <c r="G1272">
        <v>1333.9912108999999</v>
      </c>
      <c r="H1272">
        <v>1333.1169434000001</v>
      </c>
      <c r="I1272">
        <v>1333.161499</v>
      </c>
      <c r="J1272">
        <v>1330.4523925999999</v>
      </c>
      <c r="K1272">
        <v>0</v>
      </c>
      <c r="L1272">
        <v>2750</v>
      </c>
      <c r="M1272">
        <v>2750</v>
      </c>
      <c r="N1272">
        <v>0</v>
      </c>
    </row>
    <row r="1273" spans="1:14" x14ac:dyDescent="0.25">
      <c r="A1273">
        <v>549.00012100000004</v>
      </c>
      <c r="B1273" s="1">
        <f>DATE(2011,11,1) + TIME(0,0,10)</f>
        <v>40848.000115740739</v>
      </c>
      <c r="C1273">
        <v>80</v>
      </c>
      <c r="D1273">
        <v>79.966178893999995</v>
      </c>
      <c r="E1273">
        <v>50</v>
      </c>
      <c r="F1273">
        <v>59.596153258999998</v>
      </c>
      <c r="G1273">
        <v>1332.9774170000001</v>
      </c>
      <c r="H1273">
        <v>1332.0382079999999</v>
      </c>
      <c r="I1273">
        <v>1334.8985596</v>
      </c>
      <c r="J1273">
        <v>1332.1352539</v>
      </c>
      <c r="K1273">
        <v>0</v>
      </c>
      <c r="L1273">
        <v>2750</v>
      </c>
      <c r="M1273">
        <v>2750</v>
      </c>
      <c r="N1273">
        <v>0</v>
      </c>
    </row>
    <row r="1274" spans="1:14" x14ac:dyDescent="0.25">
      <c r="A1274">
        <v>549.00036399999999</v>
      </c>
      <c r="B1274" s="1">
        <f>DATE(2011,11,1) + TIME(0,0,31)</f>
        <v>40848.000358796293</v>
      </c>
      <c r="C1274">
        <v>80</v>
      </c>
      <c r="D1274">
        <v>79.965988159000005</v>
      </c>
      <c r="E1274">
        <v>50</v>
      </c>
      <c r="F1274">
        <v>59.591537475999999</v>
      </c>
      <c r="G1274">
        <v>1331.8880615</v>
      </c>
      <c r="H1274">
        <v>1330.8739014</v>
      </c>
      <c r="I1274">
        <v>1336.6220702999999</v>
      </c>
      <c r="J1274">
        <v>1333.7946777</v>
      </c>
      <c r="K1274">
        <v>0</v>
      </c>
      <c r="L1274">
        <v>2750</v>
      </c>
      <c r="M1274">
        <v>2750</v>
      </c>
      <c r="N1274">
        <v>0</v>
      </c>
    </row>
    <row r="1275" spans="1:14" x14ac:dyDescent="0.25">
      <c r="A1275">
        <v>549.00109299999997</v>
      </c>
      <c r="B1275" s="1">
        <f>DATE(2011,11,1) + TIME(0,1,34)</f>
        <v>40848.001087962963</v>
      </c>
      <c r="C1275">
        <v>80</v>
      </c>
      <c r="D1275">
        <v>79.965705872000001</v>
      </c>
      <c r="E1275">
        <v>50</v>
      </c>
      <c r="F1275">
        <v>59.576911926000001</v>
      </c>
      <c r="G1275">
        <v>1330.8137207</v>
      </c>
      <c r="H1275">
        <v>1329.7330322</v>
      </c>
      <c r="I1275">
        <v>1338.2145995999999</v>
      </c>
      <c r="J1275">
        <v>1335.3166504000001</v>
      </c>
      <c r="K1275">
        <v>0</v>
      </c>
      <c r="L1275">
        <v>2750</v>
      </c>
      <c r="M1275">
        <v>2750</v>
      </c>
      <c r="N1275">
        <v>0</v>
      </c>
    </row>
    <row r="1276" spans="1:14" x14ac:dyDescent="0.25">
      <c r="A1276">
        <v>549.00328000000002</v>
      </c>
      <c r="B1276" s="1">
        <f>DATE(2011,11,1) + TIME(0,4,43)</f>
        <v>40848.003275462965</v>
      </c>
      <c r="C1276">
        <v>80</v>
      </c>
      <c r="D1276">
        <v>79.965194702000005</v>
      </c>
      <c r="E1276">
        <v>50</v>
      </c>
      <c r="F1276">
        <v>59.532016753999997</v>
      </c>
      <c r="G1276">
        <v>1329.9737548999999</v>
      </c>
      <c r="H1276">
        <v>1328.8557129000001</v>
      </c>
      <c r="I1276">
        <v>1339.4002685999999</v>
      </c>
      <c r="J1276">
        <v>1336.4498291</v>
      </c>
      <c r="K1276">
        <v>0</v>
      </c>
      <c r="L1276">
        <v>2750</v>
      </c>
      <c r="M1276">
        <v>2750</v>
      </c>
      <c r="N1276">
        <v>0</v>
      </c>
    </row>
    <row r="1277" spans="1:14" x14ac:dyDescent="0.25">
      <c r="A1277">
        <v>549.00984100000005</v>
      </c>
      <c r="B1277" s="1">
        <f>DATE(2011,11,1) + TIME(0,14,10)</f>
        <v>40848.009837962964</v>
      </c>
      <c r="C1277">
        <v>80</v>
      </c>
      <c r="D1277">
        <v>79.963966369999994</v>
      </c>
      <c r="E1277">
        <v>50</v>
      </c>
      <c r="F1277">
        <v>59.398105620999999</v>
      </c>
      <c r="G1277">
        <v>1329.5166016000001</v>
      </c>
      <c r="H1277">
        <v>1328.3863524999999</v>
      </c>
      <c r="I1277">
        <v>1339.9858397999999</v>
      </c>
      <c r="J1277">
        <v>1337.0128173999999</v>
      </c>
      <c r="K1277">
        <v>0</v>
      </c>
      <c r="L1277">
        <v>2750</v>
      </c>
      <c r="M1277">
        <v>2750</v>
      </c>
      <c r="N1277">
        <v>0</v>
      </c>
    </row>
    <row r="1278" spans="1:14" x14ac:dyDescent="0.25">
      <c r="A1278">
        <v>549.02952400000004</v>
      </c>
      <c r="B1278" s="1">
        <f>DATE(2011,11,1) + TIME(0,42,30)</f>
        <v>40848.029513888891</v>
      </c>
      <c r="C1278">
        <v>80</v>
      </c>
      <c r="D1278">
        <v>79.960487365999995</v>
      </c>
      <c r="E1278">
        <v>50</v>
      </c>
      <c r="F1278">
        <v>59.014545441000003</v>
      </c>
      <c r="G1278">
        <v>1329.3764647999999</v>
      </c>
      <c r="H1278">
        <v>1328.2430420000001</v>
      </c>
      <c r="I1278">
        <v>1340.1097411999999</v>
      </c>
      <c r="J1278">
        <v>1337.1346435999999</v>
      </c>
      <c r="K1278">
        <v>0</v>
      </c>
      <c r="L1278">
        <v>2750</v>
      </c>
      <c r="M1278">
        <v>2750</v>
      </c>
      <c r="N1278">
        <v>0</v>
      </c>
    </row>
    <row r="1279" spans="1:14" x14ac:dyDescent="0.25">
      <c r="A1279">
        <v>549.06342099999995</v>
      </c>
      <c r="B1279" s="1">
        <f>DATE(2011,11,1) + TIME(1,31,19)</f>
        <v>40848.063414351855</v>
      </c>
      <c r="C1279">
        <v>80</v>
      </c>
      <c r="D1279">
        <v>79.954658507999994</v>
      </c>
      <c r="E1279">
        <v>50</v>
      </c>
      <c r="F1279">
        <v>58.405334473000003</v>
      </c>
      <c r="G1279">
        <v>1329.354126</v>
      </c>
      <c r="H1279">
        <v>1328.2182617000001</v>
      </c>
      <c r="I1279">
        <v>1340.0877685999999</v>
      </c>
      <c r="J1279">
        <v>1337.1176757999999</v>
      </c>
      <c r="K1279">
        <v>0</v>
      </c>
      <c r="L1279">
        <v>2750</v>
      </c>
      <c r="M1279">
        <v>2750</v>
      </c>
      <c r="N1279">
        <v>0</v>
      </c>
    </row>
    <row r="1280" spans="1:14" x14ac:dyDescent="0.25">
      <c r="A1280">
        <v>549.09911799999998</v>
      </c>
      <c r="B1280" s="1">
        <f>DATE(2011,11,1) + TIME(2,22,43)</f>
        <v>40848.099108796298</v>
      </c>
      <c r="C1280">
        <v>80</v>
      </c>
      <c r="D1280">
        <v>79.948577881000006</v>
      </c>
      <c r="E1280">
        <v>50</v>
      </c>
      <c r="F1280">
        <v>57.815124511999997</v>
      </c>
      <c r="G1280">
        <v>1329.3469238</v>
      </c>
      <c r="H1280">
        <v>1328.2081298999999</v>
      </c>
      <c r="I1280">
        <v>1340.0588379000001</v>
      </c>
      <c r="J1280">
        <v>1337.0931396000001</v>
      </c>
      <c r="K1280">
        <v>0</v>
      </c>
      <c r="L1280">
        <v>2750</v>
      </c>
      <c r="M1280">
        <v>2750</v>
      </c>
      <c r="N1280">
        <v>0</v>
      </c>
    </row>
    <row r="1281" spans="1:14" x14ac:dyDescent="0.25">
      <c r="A1281">
        <v>549.13618199999996</v>
      </c>
      <c r="B1281" s="1">
        <f>DATE(2011,11,1) + TIME(3,16,6)</f>
        <v>40848.136180555557</v>
      </c>
      <c r="C1281">
        <v>80</v>
      </c>
      <c r="D1281">
        <v>79.942321777000004</v>
      </c>
      <c r="E1281">
        <v>50</v>
      </c>
      <c r="F1281">
        <v>57.252235413000001</v>
      </c>
      <c r="G1281">
        <v>1329.3411865</v>
      </c>
      <c r="H1281">
        <v>1328.1994629000001</v>
      </c>
      <c r="I1281">
        <v>1340.0311279</v>
      </c>
      <c r="J1281">
        <v>1337.0695800999999</v>
      </c>
      <c r="K1281">
        <v>0</v>
      </c>
      <c r="L1281">
        <v>2750</v>
      </c>
      <c r="M1281">
        <v>2750</v>
      </c>
      <c r="N1281">
        <v>0</v>
      </c>
    </row>
    <row r="1282" spans="1:14" x14ac:dyDescent="0.25">
      <c r="A1282">
        <v>549.17431499999998</v>
      </c>
      <c r="B1282" s="1">
        <f>DATE(2011,11,1) + TIME(4,11,0)</f>
        <v>40848.174305555556</v>
      </c>
      <c r="C1282">
        <v>80</v>
      </c>
      <c r="D1282">
        <v>79.935958862000007</v>
      </c>
      <c r="E1282">
        <v>50</v>
      </c>
      <c r="F1282">
        <v>56.720691680999998</v>
      </c>
      <c r="G1282">
        <v>1329.3354492000001</v>
      </c>
      <c r="H1282">
        <v>1328.190918</v>
      </c>
      <c r="I1282">
        <v>1340.0056152</v>
      </c>
      <c r="J1282">
        <v>1337.0478516000001</v>
      </c>
      <c r="K1282">
        <v>0</v>
      </c>
      <c r="L1282">
        <v>2750</v>
      </c>
      <c r="M1282">
        <v>2750</v>
      </c>
      <c r="N1282">
        <v>0</v>
      </c>
    </row>
    <row r="1283" spans="1:14" x14ac:dyDescent="0.25">
      <c r="A1283">
        <v>549.21361400000001</v>
      </c>
      <c r="B1283" s="1">
        <f>DATE(2011,11,1) + TIME(5,7,36)</f>
        <v>40848.21361111111</v>
      </c>
      <c r="C1283">
        <v>80</v>
      </c>
      <c r="D1283">
        <v>79.929458617999998</v>
      </c>
      <c r="E1283">
        <v>50</v>
      </c>
      <c r="F1283">
        <v>56.218425750999998</v>
      </c>
      <c r="G1283">
        <v>1329.3298339999999</v>
      </c>
      <c r="H1283">
        <v>1328.182251</v>
      </c>
      <c r="I1283">
        <v>1339.9816894999999</v>
      </c>
      <c r="J1283">
        <v>1337.0275879000001</v>
      </c>
      <c r="K1283">
        <v>0</v>
      </c>
      <c r="L1283">
        <v>2750</v>
      </c>
      <c r="M1283">
        <v>2750</v>
      </c>
      <c r="N1283">
        <v>0</v>
      </c>
    </row>
    <row r="1284" spans="1:14" x14ac:dyDescent="0.25">
      <c r="A1284">
        <v>549.25418300000001</v>
      </c>
      <c r="B1284" s="1">
        <f>DATE(2011,11,1) + TIME(6,6,1)</f>
        <v>40848.254178240742</v>
      </c>
      <c r="C1284">
        <v>80</v>
      </c>
      <c r="D1284">
        <v>79.922813415999997</v>
      </c>
      <c r="E1284">
        <v>50</v>
      </c>
      <c r="F1284">
        <v>55.743625641000001</v>
      </c>
      <c r="G1284">
        <v>1329.3240966999999</v>
      </c>
      <c r="H1284">
        <v>1328.1737060999999</v>
      </c>
      <c r="I1284">
        <v>1339.9594727000001</v>
      </c>
      <c r="J1284">
        <v>1337.0087891000001</v>
      </c>
      <c r="K1284">
        <v>0</v>
      </c>
      <c r="L1284">
        <v>2750</v>
      </c>
      <c r="M1284">
        <v>2750</v>
      </c>
      <c r="N1284">
        <v>0</v>
      </c>
    </row>
    <row r="1285" spans="1:14" x14ac:dyDescent="0.25">
      <c r="A1285">
        <v>549.29613400000005</v>
      </c>
      <c r="B1285" s="1">
        <f>DATE(2011,11,1) + TIME(7,6,25)</f>
        <v>40848.296122685184</v>
      </c>
      <c r="C1285">
        <v>80</v>
      </c>
      <c r="D1285">
        <v>79.916015625</v>
      </c>
      <c r="E1285">
        <v>50</v>
      </c>
      <c r="F1285">
        <v>55.294689177999999</v>
      </c>
      <c r="G1285">
        <v>1329.3183594</v>
      </c>
      <c r="H1285">
        <v>1328.1649170000001</v>
      </c>
      <c r="I1285">
        <v>1339.9388428</v>
      </c>
      <c r="J1285">
        <v>1336.9912108999999</v>
      </c>
      <c r="K1285">
        <v>0</v>
      </c>
      <c r="L1285">
        <v>2750</v>
      </c>
      <c r="M1285">
        <v>2750</v>
      </c>
      <c r="N1285">
        <v>0</v>
      </c>
    </row>
    <row r="1286" spans="1:14" x14ac:dyDescent="0.25">
      <c r="A1286">
        <v>549.33959000000004</v>
      </c>
      <c r="B1286" s="1">
        <f>DATE(2011,11,1) + TIME(8,9,0)</f>
        <v>40848.339583333334</v>
      </c>
      <c r="C1286">
        <v>80</v>
      </c>
      <c r="D1286">
        <v>79.909042357999994</v>
      </c>
      <c r="E1286">
        <v>50</v>
      </c>
      <c r="F1286">
        <v>54.870185851999999</v>
      </c>
      <c r="G1286">
        <v>1329.3126221</v>
      </c>
      <c r="H1286">
        <v>1328.15625</v>
      </c>
      <c r="I1286">
        <v>1339.9197998</v>
      </c>
      <c r="J1286">
        <v>1336.9749756000001</v>
      </c>
      <c r="K1286">
        <v>0</v>
      </c>
      <c r="L1286">
        <v>2750</v>
      </c>
      <c r="M1286">
        <v>2750</v>
      </c>
      <c r="N1286">
        <v>0</v>
      </c>
    </row>
    <row r="1287" spans="1:14" x14ac:dyDescent="0.25">
      <c r="A1287">
        <v>549.38466300000005</v>
      </c>
      <c r="B1287" s="1">
        <f>DATE(2011,11,1) + TIME(9,13,54)</f>
        <v>40848.384652777779</v>
      </c>
      <c r="C1287">
        <v>80</v>
      </c>
      <c r="D1287">
        <v>79.901885985999996</v>
      </c>
      <c r="E1287">
        <v>50</v>
      </c>
      <c r="F1287">
        <v>54.469036101999997</v>
      </c>
      <c r="G1287">
        <v>1329.3067627</v>
      </c>
      <c r="H1287">
        <v>1328.1473389</v>
      </c>
      <c r="I1287">
        <v>1339.9022216999999</v>
      </c>
      <c r="J1287">
        <v>1336.9599608999999</v>
      </c>
      <c r="K1287">
        <v>0</v>
      </c>
      <c r="L1287">
        <v>2750</v>
      </c>
      <c r="M1287">
        <v>2750</v>
      </c>
      <c r="N1287">
        <v>0</v>
      </c>
    </row>
    <row r="1288" spans="1:14" x14ac:dyDescent="0.25">
      <c r="A1288">
        <v>549.43152399999997</v>
      </c>
      <c r="B1288" s="1">
        <f>DATE(2011,11,1) + TIME(10,21,23)</f>
        <v>40848.431516203702</v>
      </c>
      <c r="C1288">
        <v>80</v>
      </c>
      <c r="D1288">
        <v>79.89453125</v>
      </c>
      <c r="E1288">
        <v>50</v>
      </c>
      <c r="F1288">
        <v>54.089923859000002</v>
      </c>
      <c r="G1288">
        <v>1329.3007812000001</v>
      </c>
      <c r="H1288">
        <v>1328.1384277</v>
      </c>
      <c r="I1288">
        <v>1339.8859863</v>
      </c>
      <c r="J1288">
        <v>1336.9460449000001</v>
      </c>
      <c r="K1288">
        <v>0</v>
      </c>
      <c r="L1288">
        <v>2750</v>
      </c>
      <c r="M1288">
        <v>2750</v>
      </c>
      <c r="N1288">
        <v>0</v>
      </c>
    </row>
    <row r="1289" spans="1:14" x14ac:dyDescent="0.25">
      <c r="A1289">
        <v>549.48034700000005</v>
      </c>
      <c r="B1289" s="1">
        <f>DATE(2011,11,1) + TIME(11,31,42)</f>
        <v>40848.480347222219</v>
      </c>
      <c r="C1289">
        <v>80</v>
      </c>
      <c r="D1289">
        <v>79.886940002000003</v>
      </c>
      <c r="E1289">
        <v>50</v>
      </c>
      <c r="F1289">
        <v>53.731769561999997</v>
      </c>
      <c r="G1289">
        <v>1329.2947998</v>
      </c>
      <c r="H1289">
        <v>1328.1292725000001</v>
      </c>
      <c r="I1289">
        <v>1339.8710937999999</v>
      </c>
      <c r="J1289">
        <v>1336.9333495999999</v>
      </c>
      <c r="K1289">
        <v>0</v>
      </c>
      <c r="L1289">
        <v>2750</v>
      </c>
      <c r="M1289">
        <v>2750</v>
      </c>
      <c r="N1289">
        <v>0</v>
      </c>
    </row>
    <row r="1290" spans="1:14" x14ac:dyDescent="0.25">
      <c r="A1290">
        <v>549.53132700000003</v>
      </c>
      <c r="B1290" s="1">
        <f>DATE(2011,11,1) + TIME(12,45,6)</f>
        <v>40848.531319444446</v>
      </c>
      <c r="C1290">
        <v>80</v>
      </c>
      <c r="D1290">
        <v>79.879112243999998</v>
      </c>
      <c r="E1290">
        <v>50</v>
      </c>
      <c r="F1290">
        <v>53.393665314000003</v>
      </c>
      <c r="G1290">
        <v>1329.2886963000001</v>
      </c>
      <c r="H1290">
        <v>1328.1199951000001</v>
      </c>
      <c r="I1290">
        <v>1339.8574219</v>
      </c>
      <c r="J1290">
        <v>1336.9216309000001</v>
      </c>
      <c r="K1290">
        <v>0</v>
      </c>
      <c r="L1290">
        <v>2750</v>
      </c>
      <c r="M1290">
        <v>2750</v>
      </c>
      <c r="N1290">
        <v>0</v>
      </c>
    </row>
    <row r="1291" spans="1:14" x14ac:dyDescent="0.25">
      <c r="A1291">
        <v>549.58468100000005</v>
      </c>
      <c r="B1291" s="1">
        <f>DATE(2011,11,1) + TIME(14,1,56)</f>
        <v>40848.584675925929</v>
      </c>
      <c r="C1291">
        <v>80</v>
      </c>
      <c r="D1291">
        <v>79.871009826999995</v>
      </c>
      <c r="E1291">
        <v>50</v>
      </c>
      <c r="F1291">
        <v>53.074794769</v>
      </c>
      <c r="G1291">
        <v>1329.2823486</v>
      </c>
      <c r="H1291">
        <v>1328.1105957</v>
      </c>
      <c r="I1291">
        <v>1339.8449707</v>
      </c>
      <c r="J1291">
        <v>1336.9108887</v>
      </c>
      <c r="K1291">
        <v>0</v>
      </c>
      <c r="L1291">
        <v>2750</v>
      </c>
      <c r="M1291">
        <v>2750</v>
      </c>
      <c r="N1291">
        <v>0</v>
      </c>
    </row>
    <row r="1292" spans="1:14" x14ac:dyDescent="0.25">
      <c r="A1292">
        <v>549.64064900000005</v>
      </c>
      <c r="B1292" s="1">
        <f>DATE(2011,11,1) + TIME(15,22,32)</f>
        <v>40848.640648148146</v>
      </c>
      <c r="C1292">
        <v>80</v>
      </c>
      <c r="D1292">
        <v>79.862602233999993</v>
      </c>
      <c r="E1292">
        <v>50</v>
      </c>
      <c r="F1292">
        <v>52.774471282999997</v>
      </c>
      <c r="G1292">
        <v>1329.276001</v>
      </c>
      <c r="H1292">
        <v>1328.1008300999999</v>
      </c>
      <c r="I1292">
        <v>1339.8337402</v>
      </c>
      <c r="J1292">
        <v>1336.9011230000001</v>
      </c>
      <c r="K1292">
        <v>0</v>
      </c>
      <c r="L1292">
        <v>2750</v>
      </c>
      <c r="M1292">
        <v>2750</v>
      </c>
      <c r="N1292">
        <v>0</v>
      </c>
    </row>
    <row r="1293" spans="1:14" x14ac:dyDescent="0.25">
      <c r="A1293">
        <v>549.69951700000001</v>
      </c>
      <c r="B1293" s="1">
        <f>DATE(2011,11,1) + TIME(16,47,18)</f>
        <v>40848.699513888889</v>
      </c>
      <c r="C1293">
        <v>80</v>
      </c>
      <c r="D1293">
        <v>79.853874207000004</v>
      </c>
      <c r="E1293">
        <v>50</v>
      </c>
      <c r="F1293">
        <v>52.492031097000002</v>
      </c>
      <c r="G1293">
        <v>1329.2692870999999</v>
      </c>
      <c r="H1293">
        <v>1328.0909423999999</v>
      </c>
      <c r="I1293">
        <v>1339.8234863</v>
      </c>
      <c r="J1293">
        <v>1336.8922118999999</v>
      </c>
      <c r="K1293">
        <v>0</v>
      </c>
      <c r="L1293">
        <v>2750</v>
      </c>
      <c r="M1293">
        <v>2750</v>
      </c>
      <c r="N1293">
        <v>0</v>
      </c>
    </row>
    <row r="1294" spans="1:14" x14ac:dyDescent="0.25">
      <c r="A1294">
        <v>549.761617</v>
      </c>
      <c r="B1294" s="1">
        <f>DATE(2011,11,1) + TIME(18,16,43)</f>
        <v>40848.761608796296</v>
      </c>
      <c r="C1294">
        <v>80</v>
      </c>
      <c r="D1294">
        <v>79.844772339000002</v>
      </c>
      <c r="E1294">
        <v>50</v>
      </c>
      <c r="F1294">
        <v>52.226871490000001</v>
      </c>
      <c r="G1294">
        <v>1329.2625731999999</v>
      </c>
      <c r="H1294">
        <v>1328.0808105000001</v>
      </c>
      <c r="I1294">
        <v>1339.8140868999999</v>
      </c>
      <c r="J1294">
        <v>1336.8841553</v>
      </c>
      <c r="K1294">
        <v>0</v>
      </c>
      <c r="L1294">
        <v>2750</v>
      </c>
      <c r="M1294">
        <v>2750</v>
      </c>
      <c r="N1294">
        <v>0</v>
      </c>
    </row>
    <row r="1295" spans="1:14" x14ac:dyDescent="0.25">
      <c r="A1295">
        <v>549.82732899999996</v>
      </c>
      <c r="B1295" s="1">
        <f>DATE(2011,11,1) + TIME(19,51,21)</f>
        <v>40848.827326388891</v>
      </c>
      <c r="C1295">
        <v>80</v>
      </c>
      <c r="D1295">
        <v>79.835258483999993</v>
      </c>
      <c r="E1295">
        <v>50</v>
      </c>
      <c r="F1295">
        <v>51.978488921999997</v>
      </c>
      <c r="G1295">
        <v>1329.2554932</v>
      </c>
      <c r="H1295">
        <v>1328.0703125</v>
      </c>
      <c r="I1295">
        <v>1339.8057861</v>
      </c>
      <c r="J1295">
        <v>1336.8768310999999</v>
      </c>
      <c r="K1295">
        <v>0</v>
      </c>
      <c r="L1295">
        <v>2750</v>
      </c>
      <c r="M1295">
        <v>2750</v>
      </c>
      <c r="N1295">
        <v>0</v>
      </c>
    </row>
    <row r="1296" spans="1:14" x14ac:dyDescent="0.25">
      <c r="A1296">
        <v>549.89709800000003</v>
      </c>
      <c r="B1296" s="1">
        <f>DATE(2011,11,1) + TIME(21,31,49)</f>
        <v>40848.897094907406</v>
      </c>
      <c r="C1296">
        <v>80</v>
      </c>
      <c r="D1296">
        <v>79.825294494999994</v>
      </c>
      <c r="E1296">
        <v>50</v>
      </c>
      <c r="F1296">
        <v>51.746429442999997</v>
      </c>
      <c r="G1296">
        <v>1329.2482910000001</v>
      </c>
      <c r="H1296">
        <v>1328.0594481999999</v>
      </c>
      <c r="I1296">
        <v>1339.7982178</v>
      </c>
      <c r="J1296">
        <v>1336.8702393000001</v>
      </c>
      <c r="K1296">
        <v>0</v>
      </c>
      <c r="L1296">
        <v>2750</v>
      </c>
      <c r="M1296">
        <v>2750</v>
      </c>
      <c r="N1296">
        <v>0</v>
      </c>
    </row>
    <row r="1297" spans="1:14" x14ac:dyDescent="0.25">
      <c r="A1297">
        <v>549.97144900000001</v>
      </c>
      <c r="B1297" s="1">
        <f>DATE(2011,11,1) + TIME(23,18,53)</f>
        <v>40848.971446759257</v>
      </c>
      <c r="C1297">
        <v>80</v>
      </c>
      <c r="D1297">
        <v>79.814811707000004</v>
      </c>
      <c r="E1297">
        <v>50</v>
      </c>
      <c r="F1297">
        <v>51.530300140000001</v>
      </c>
      <c r="G1297">
        <v>1329.2407227000001</v>
      </c>
      <c r="H1297">
        <v>1328.0480957</v>
      </c>
      <c r="I1297">
        <v>1339.7913818</v>
      </c>
      <c r="J1297">
        <v>1336.8643798999999</v>
      </c>
      <c r="K1297">
        <v>0</v>
      </c>
      <c r="L1297">
        <v>2750</v>
      </c>
      <c r="M1297">
        <v>2750</v>
      </c>
      <c r="N1297">
        <v>0</v>
      </c>
    </row>
    <row r="1298" spans="1:14" x14ac:dyDescent="0.25">
      <c r="A1298">
        <v>550.05087700000001</v>
      </c>
      <c r="B1298" s="1">
        <f>DATE(2011,11,2) + TIME(1,13,15)</f>
        <v>40849.050868055558</v>
      </c>
      <c r="C1298">
        <v>80</v>
      </c>
      <c r="D1298">
        <v>79.803771972999996</v>
      </c>
      <c r="E1298">
        <v>50</v>
      </c>
      <c r="F1298">
        <v>51.330024719000001</v>
      </c>
      <c r="G1298">
        <v>1329.2327881000001</v>
      </c>
      <c r="H1298">
        <v>1328.0363769999999</v>
      </c>
      <c r="I1298">
        <v>1339.7851562000001</v>
      </c>
      <c r="J1298">
        <v>1336.8591309000001</v>
      </c>
      <c r="K1298">
        <v>0</v>
      </c>
      <c r="L1298">
        <v>2750</v>
      </c>
      <c r="M1298">
        <v>2750</v>
      </c>
      <c r="N1298">
        <v>0</v>
      </c>
    </row>
    <row r="1299" spans="1:14" x14ac:dyDescent="0.25">
      <c r="A1299">
        <v>550.13447499999995</v>
      </c>
      <c r="B1299" s="1">
        <f>DATE(2011,11,2) + TIME(3,13,38)</f>
        <v>40849.134467592594</v>
      </c>
      <c r="C1299">
        <v>80</v>
      </c>
      <c r="D1299">
        <v>79.792289733999993</v>
      </c>
      <c r="E1299">
        <v>50</v>
      </c>
      <c r="F1299">
        <v>51.148273467999999</v>
      </c>
      <c r="G1299">
        <v>1329.2246094</v>
      </c>
      <c r="H1299">
        <v>1328.0240478999999</v>
      </c>
      <c r="I1299">
        <v>1339.7800293</v>
      </c>
      <c r="J1299">
        <v>1336.8548584</v>
      </c>
      <c r="K1299">
        <v>0</v>
      </c>
      <c r="L1299">
        <v>2750</v>
      </c>
      <c r="M1299">
        <v>2750</v>
      </c>
      <c r="N1299">
        <v>0</v>
      </c>
    </row>
    <row r="1300" spans="1:14" x14ac:dyDescent="0.25">
      <c r="A1300">
        <v>550.22239000000002</v>
      </c>
      <c r="B1300" s="1">
        <f>DATE(2011,11,2) + TIME(5,20,14)</f>
        <v>40849.222384259258</v>
      </c>
      <c r="C1300">
        <v>80</v>
      </c>
      <c r="D1300">
        <v>79.780372619999994</v>
      </c>
      <c r="E1300">
        <v>50</v>
      </c>
      <c r="F1300">
        <v>50.984474182</v>
      </c>
      <c r="G1300">
        <v>1329.2161865</v>
      </c>
      <c r="H1300">
        <v>1328.0114745999999</v>
      </c>
      <c r="I1300">
        <v>1339.7755127</v>
      </c>
      <c r="J1300">
        <v>1336.8510742000001</v>
      </c>
      <c r="K1300">
        <v>0</v>
      </c>
      <c r="L1300">
        <v>2750</v>
      </c>
      <c r="M1300">
        <v>2750</v>
      </c>
      <c r="N1300">
        <v>0</v>
      </c>
    </row>
    <row r="1301" spans="1:14" x14ac:dyDescent="0.25">
      <c r="A1301">
        <v>550.31487400000003</v>
      </c>
      <c r="B1301" s="1">
        <f>DATE(2011,11,2) + TIME(7,33,25)</f>
        <v>40849.314872685187</v>
      </c>
      <c r="C1301">
        <v>80</v>
      </c>
      <c r="D1301">
        <v>79.767982482999997</v>
      </c>
      <c r="E1301">
        <v>50</v>
      </c>
      <c r="F1301">
        <v>50.837776183999999</v>
      </c>
      <c r="G1301">
        <v>1329.2073975000001</v>
      </c>
      <c r="H1301">
        <v>1327.9985352000001</v>
      </c>
      <c r="I1301">
        <v>1339.7714844</v>
      </c>
      <c r="J1301">
        <v>1336.8477783000001</v>
      </c>
      <c r="K1301">
        <v>0</v>
      </c>
      <c r="L1301">
        <v>2750</v>
      </c>
      <c r="M1301">
        <v>2750</v>
      </c>
      <c r="N1301">
        <v>0</v>
      </c>
    </row>
    <row r="1302" spans="1:14" x14ac:dyDescent="0.25">
      <c r="A1302">
        <v>550.41219999999998</v>
      </c>
      <c r="B1302" s="1">
        <f>DATE(2011,11,2) + TIME(9,53,34)</f>
        <v>40849.412199074075</v>
      </c>
      <c r="C1302">
        <v>80</v>
      </c>
      <c r="D1302">
        <v>79.755104064999998</v>
      </c>
      <c r="E1302">
        <v>50</v>
      </c>
      <c r="F1302">
        <v>50.707252502000003</v>
      </c>
      <c r="G1302">
        <v>1329.1984863</v>
      </c>
      <c r="H1302">
        <v>1327.9852295000001</v>
      </c>
      <c r="I1302">
        <v>1339.7677002</v>
      </c>
      <c r="J1302">
        <v>1336.8449707</v>
      </c>
      <c r="K1302">
        <v>0</v>
      </c>
      <c r="L1302">
        <v>2750</v>
      </c>
      <c r="M1302">
        <v>2750</v>
      </c>
      <c r="N1302">
        <v>0</v>
      </c>
    </row>
    <row r="1303" spans="1:14" x14ac:dyDescent="0.25">
      <c r="A1303">
        <v>550.51466600000003</v>
      </c>
      <c r="B1303" s="1">
        <f>DATE(2011,11,2) + TIME(12,21,7)</f>
        <v>40849.514664351853</v>
      </c>
      <c r="C1303">
        <v>80</v>
      </c>
      <c r="D1303">
        <v>79.741706848000007</v>
      </c>
      <c r="E1303">
        <v>50</v>
      </c>
      <c r="F1303">
        <v>50.591922760000003</v>
      </c>
      <c r="G1303">
        <v>1329.1890868999999</v>
      </c>
      <c r="H1303">
        <v>1327.9714355000001</v>
      </c>
      <c r="I1303">
        <v>1339.7642822</v>
      </c>
      <c r="J1303">
        <v>1336.8425293</v>
      </c>
      <c r="K1303">
        <v>0</v>
      </c>
      <c r="L1303">
        <v>2750</v>
      </c>
      <c r="M1303">
        <v>2750</v>
      </c>
      <c r="N1303">
        <v>0</v>
      </c>
    </row>
    <row r="1304" spans="1:14" x14ac:dyDescent="0.25">
      <c r="A1304">
        <v>550.62259300000005</v>
      </c>
      <c r="B1304" s="1">
        <f>DATE(2011,11,2) + TIME(14,56,32)</f>
        <v>40849.62259259259</v>
      </c>
      <c r="C1304">
        <v>80</v>
      </c>
      <c r="D1304">
        <v>79.727760314999998</v>
      </c>
      <c r="E1304">
        <v>50</v>
      </c>
      <c r="F1304">
        <v>50.490760803000001</v>
      </c>
      <c r="G1304">
        <v>1329.1794434000001</v>
      </c>
      <c r="H1304">
        <v>1327.9571533000001</v>
      </c>
      <c r="I1304">
        <v>1339.7608643000001</v>
      </c>
      <c r="J1304">
        <v>1336.840332</v>
      </c>
      <c r="K1304">
        <v>0</v>
      </c>
      <c r="L1304">
        <v>2750</v>
      </c>
      <c r="M1304">
        <v>2750</v>
      </c>
      <c r="N1304">
        <v>0</v>
      </c>
    </row>
    <row r="1305" spans="1:14" x14ac:dyDescent="0.25">
      <c r="A1305">
        <v>550.73632799999996</v>
      </c>
      <c r="B1305" s="1">
        <f>DATE(2011,11,2) + TIME(17,40,18)</f>
        <v>40849.736319444448</v>
      </c>
      <c r="C1305">
        <v>80</v>
      </c>
      <c r="D1305">
        <v>79.713233947999996</v>
      </c>
      <c r="E1305">
        <v>50</v>
      </c>
      <c r="F1305">
        <v>50.402713775999999</v>
      </c>
      <c r="G1305">
        <v>1329.1695557</v>
      </c>
      <c r="H1305">
        <v>1327.9425048999999</v>
      </c>
      <c r="I1305">
        <v>1339.7575684000001</v>
      </c>
      <c r="J1305">
        <v>1336.8382568</v>
      </c>
      <c r="K1305">
        <v>0</v>
      </c>
      <c r="L1305">
        <v>2750</v>
      </c>
      <c r="M1305">
        <v>2750</v>
      </c>
      <c r="N1305">
        <v>0</v>
      </c>
    </row>
    <row r="1306" spans="1:14" x14ac:dyDescent="0.25">
      <c r="A1306">
        <v>550.85624299999995</v>
      </c>
      <c r="B1306" s="1">
        <f>DATE(2011,11,2) + TIME(20,32,59)</f>
        <v>40849.856238425928</v>
      </c>
      <c r="C1306">
        <v>80</v>
      </c>
      <c r="D1306">
        <v>79.698089600000003</v>
      </c>
      <c r="E1306">
        <v>50</v>
      </c>
      <c r="F1306">
        <v>50.326717377000001</v>
      </c>
      <c r="G1306">
        <v>1329.1591797000001</v>
      </c>
      <c r="H1306">
        <v>1327.9273682</v>
      </c>
      <c r="I1306">
        <v>1339.7541504000001</v>
      </c>
      <c r="J1306">
        <v>1336.8363036999999</v>
      </c>
      <c r="K1306">
        <v>0</v>
      </c>
      <c r="L1306">
        <v>2750</v>
      </c>
      <c r="M1306">
        <v>2750</v>
      </c>
      <c r="N1306">
        <v>0</v>
      </c>
    </row>
    <row r="1307" spans="1:14" x14ac:dyDescent="0.25">
      <c r="A1307">
        <v>550.98269400000004</v>
      </c>
      <c r="B1307" s="1">
        <f>DATE(2011,11,2) + TIME(23,35,4)</f>
        <v>40849.982685185183</v>
      </c>
      <c r="C1307">
        <v>80</v>
      </c>
      <c r="D1307">
        <v>79.682304381999998</v>
      </c>
      <c r="E1307">
        <v>50</v>
      </c>
      <c r="F1307">
        <v>50.261703490999999</v>
      </c>
      <c r="G1307">
        <v>1329.1485596</v>
      </c>
      <c r="H1307">
        <v>1327.9116211</v>
      </c>
      <c r="I1307">
        <v>1339.7506103999999</v>
      </c>
      <c r="J1307">
        <v>1336.8344727000001</v>
      </c>
      <c r="K1307">
        <v>0</v>
      </c>
      <c r="L1307">
        <v>2750</v>
      </c>
      <c r="M1307">
        <v>2750</v>
      </c>
      <c r="N1307">
        <v>0</v>
      </c>
    </row>
    <row r="1308" spans="1:14" x14ac:dyDescent="0.25">
      <c r="A1308">
        <v>551.11617100000001</v>
      </c>
      <c r="B1308" s="1">
        <f>DATE(2011,11,3) + TIME(2,47,17)</f>
        <v>40850.116168981483</v>
      </c>
      <c r="C1308">
        <v>80</v>
      </c>
      <c r="D1308">
        <v>79.665824889999996</v>
      </c>
      <c r="E1308">
        <v>50</v>
      </c>
      <c r="F1308">
        <v>50.206573486000003</v>
      </c>
      <c r="G1308">
        <v>1329.1374512</v>
      </c>
      <c r="H1308">
        <v>1327.8952637</v>
      </c>
      <c r="I1308">
        <v>1339.7468262</v>
      </c>
      <c r="J1308">
        <v>1336.8325195</v>
      </c>
      <c r="K1308">
        <v>0</v>
      </c>
      <c r="L1308">
        <v>2750</v>
      </c>
      <c r="M1308">
        <v>2750</v>
      </c>
      <c r="N1308">
        <v>0</v>
      </c>
    </row>
    <row r="1309" spans="1:14" x14ac:dyDescent="0.25">
      <c r="A1309">
        <v>551.25717599999996</v>
      </c>
      <c r="B1309" s="1">
        <f>DATE(2011,11,3) + TIME(6,10,20)</f>
        <v>40850.257175925923</v>
      </c>
      <c r="C1309">
        <v>80</v>
      </c>
      <c r="D1309">
        <v>79.648597717000001</v>
      </c>
      <c r="E1309">
        <v>50</v>
      </c>
      <c r="F1309">
        <v>50.160270691000001</v>
      </c>
      <c r="G1309">
        <v>1329.1258545000001</v>
      </c>
      <c r="H1309">
        <v>1327.878418</v>
      </c>
      <c r="I1309">
        <v>1339.7427978999999</v>
      </c>
      <c r="J1309">
        <v>1336.8305664</v>
      </c>
      <c r="K1309">
        <v>0</v>
      </c>
      <c r="L1309">
        <v>2750</v>
      </c>
      <c r="M1309">
        <v>2750</v>
      </c>
      <c r="N1309">
        <v>0</v>
      </c>
    </row>
    <row r="1310" spans="1:14" x14ac:dyDescent="0.25">
      <c r="A1310">
        <v>551.40625999999997</v>
      </c>
      <c r="B1310" s="1">
        <f>DATE(2011,11,3) + TIME(9,45,0)</f>
        <v>40850.40625</v>
      </c>
      <c r="C1310">
        <v>80</v>
      </c>
      <c r="D1310">
        <v>79.630592346</v>
      </c>
      <c r="E1310">
        <v>50</v>
      </c>
      <c r="F1310">
        <v>50.121772765999999</v>
      </c>
      <c r="G1310">
        <v>1329.1138916</v>
      </c>
      <c r="H1310">
        <v>1327.8608397999999</v>
      </c>
      <c r="I1310">
        <v>1339.7382812000001</v>
      </c>
      <c r="J1310">
        <v>1336.8284911999999</v>
      </c>
      <c r="K1310">
        <v>0</v>
      </c>
      <c r="L1310">
        <v>2750</v>
      </c>
      <c r="M1310">
        <v>2750</v>
      </c>
      <c r="N1310">
        <v>0</v>
      </c>
    </row>
    <row r="1311" spans="1:14" x14ac:dyDescent="0.25">
      <c r="A1311">
        <v>551.56403</v>
      </c>
      <c r="B1311" s="1">
        <f>DATE(2011,11,3) + TIME(13,32,12)</f>
        <v>40850.564027777778</v>
      </c>
      <c r="C1311">
        <v>80</v>
      </c>
      <c r="D1311">
        <v>79.611724854000002</v>
      </c>
      <c r="E1311">
        <v>50</v>
      </c>
      <c r="F1311">
        <v>50.090103149000001</v>
      </c>
      <c r="G1311">
        <v>1329.1014404</v>
      </c>
      <c r="H1311">
        <v>1327.8426514</v>
      </c>
      <c r="I1311">
        <v>1339.7335204999999</v>
      </c>
      <c r="J1311">
        <v>1336.8262939000001</v>
      </c>
      <c r="K1311">
        <v>0</v>
      </c>
      <c r="L1311">
        <v>2750</v>
      </c>
      <c r="M1311">
        <v>2750</v>
      </c>
      <c r="N1311">
        <v>0</v>
      </c>
    </row>
    <row r="1312" spans="1:14" x14ac:dyDescent="0.25">
      <c r="A1312">
        <v>551.73116700000003</v>
      </c>
      <c r="B1312" s="1">
        <f>DATE(2011,11,3) + TIME(17,32,52)</f>
        <v>40850.731157407405</v>
      </c>
      <c r="C1312">
        <v>80</v>
      </c>
      <c r="D1312">
        <v>79.591957092000001</v>
      </c>
      <c r="E1312">
        <v>50</v>
      </c>
      <c r="F1312">
        <v>50.064342498999999</v>
      </c>
      <c r="G1312">
        <v>1329.088501</v>
      </c>
      <c r="H1312">
        <v>1327.8236084</v>
      </c>
      <c r="I1312">
        <v>1339.7283935999999</v>
      </c>
      <c r="J1312">
        <v>1336.8238524999999</v>
      </c>
      <c r="K1312">
        <v>0</v>
      </c>
      <c r="L1312">
        <v>2750</v>
      </c>
      <c r="M1312">
        <v>2750</v>
      </c>
      <c r="N1312">
        <v>0</v>
      </c>
    </row>
    <row r="1313" spans="1:14" x14ac:dyDescent="0.25">
      <c r="A1313">
        <v>551.90474800000004</v>
      </c>
      <c r="B1313" s="1">
        <f>DATE(2011,11,3) + TIME(21,42,50)</f>
        <v>40850.904745370368</v>
      </c>
      <c r="C1313">
        <v>80</v>
      </c>
      <c r="D1313">
        <v>79.571563721000004</v>
      </c>
      <c r="E1313">
        <v>50</v>
      </c>
      <c r="F1313">
        <v>50.043964385999999</v>
      </c>
      <c r="G1313">
        <v>1329.0749512</v>
      </c>
      <c r="H1313">
        <v>1327.8039550999999</v>
      </c>
      <c r="I1313">
        <v>1339.7227783000001</v>
      </c>
      <c r="J1313">
        <v>1336.8212891000001</v>
      </c>
      <c r="K1313">
        <v>0</v>
      </c>
      <c r="L1313">
        <v>2750</v>
      </c>
      <c r="M1313">
        <v>2750</v>
      </c>
      <c r="N1313">
        <v>0</v>
      </c>
    </row>
    <row r="1314" spans="1:14" x14ac:dyDescent="0.25">
      <c r="A1314">
        <v>552.085151</v>
      </c>
      <c r="B1314" s="1">
        <f>DATE(2011,11,4) + TIME(2,2,37)</f>
        <v>40851.085150462961</v>
      </c>
      <c r="C1314">
        <v>80</v>
      </c>
      <c r="D1314">
        <v>79.550514221</v>
      </c>
      <c r="E1314">
        <v>50</v>
      </c>
      <c r="F1314">
        <v>50.027961730999998</v>
      </c>
      <c r="G1314">
        <v>1329.0611572</v>
      </c>
      <c r="H1314">
        <v>1327.7838135</v>
      </c>
      <c r="I1314">
        <v>1339.7169189000001</v>
      </c>
      <c r="J1314">
        <v>1336.8184814000001</v>
      </c>
      <c r="K1314">
        <v>0</v>
      </c>
      <c r="L1314">
        <v>2750</v>
      </c>
      <c r="M1314">
        <v>2750</v>
      </c>
      <c r="N1314">
        <v>0</v>
      </c>
    </row>
    <row r="1315" spans="1:14" x14ac:dyDescent="0.25">
      <c r="A1315">
        <v>552.27250900000001</v>
      </c>
      <c r="B1315" s="1">
        <f>DATE(2011,11,4) + TIME(6,32,24)</f>
        <v>40851.272499999999</v>
      </c>
      <c r="C1315">
        <v>80</v>
      </c>
      <c r="D1315">
        <v>79.528800963999998</v>
      </c>
      <c r="E1315">
        <v>50</v>
      </c>
      <c r="F1315">
        <v>50.015510558999999</v>
      </c>
      <c r="G1315">
        <v>1329.046875</v>
      </c>
      <c r="H1315">
        <v>1327.7631836</v>
      </c>
      <c r="I1315">
        <v>1339.7106934000001</v>
      </c>
      <c r="J1315">
        <v>1336.8155518000001</v>
      </c>
      <c r="K1315">
        <v>0</v>
      </c>
      <c r="L1315">
        <v>2750</v>
      </c>
      <c r="M1315">
        <v>2750</v>
      </c>
      <c r="N1315">
        <v>0</v>
      </c>
    </row>
    <row r="1316" spans="1:14" x14ac:dyDescent="0.25">
      <c r="A1316">
        <v>552.46400900000003</v>
      </c>
      <c r="B1316" s="1">
        <f>DATE(2011,11,4) + TIME(11,8,10)</f>
        <v>40851.464004629626</v>
      </c>
      <c r="C1316">
        <v>80</v>
      </c>
      <c r="D1316">
        <v>79.506698607999994</v>
      </c>
      <c r="E1316">
        <v>50</v>
      </c>
      <c r="F1316">
        <v>50.006011962999999</v>
      </c>
      <c r="G1316">
        <v>1329.0323486</v>
      </c>
      <c r="H1316">
        <v>1327.7421875</v>
      </c>
      <c r="I1316">
        <v>1339.7043457</v>
      </c>
      <c r="J1316">
        <v>1336.8125</v>
      </c>
      <c r="K1316">
        <v>0</v>
      </c>
      <c r="L1316">
        <v>2750</v>
      </c>
      <c r="M1316">
        <v>2750</v>
      </c>
      <c r="N1316">
        <v>0</v>
      </c>
    </row>
    <row r="1317" spans="1:14" x14ac:dyDescent="0.25">
      <c r="A1317">
        <v>552.660122</v>
      </c>
      <c r="B1317" s="1">
        <f>DATE(2011,11,4) + TIME(15,50,34)</f>
        <v>40851.660115740742</v>
      </c>
      <c r="C1317">
        <v>80</v>
      </c>
      <c r="D1317">
        <v>79.484169006000002</v>
      </c>
      <c r="E1317">
        <v>50</v>
      </c>
      <c r="F1317">
        <v>49.998783111999998</v>
      </c>
      <c r="G1317">
        <v>1329.0177002</v>
      </c>
      <c r="H1317">
        <v>1327.7209473</v>
      </c>
      <c r="I1317">
        <v>1339.6976318</v>
      </c>
      <c r="J1317">
        <v>1336.8093262</v>
      </c>
      <c r="K1317">
        <v>0</v>
      </c>
      <c r="L1317">
        <v>2750</v>
      </c>
      <c r="M1317">
        <v>2750</v>
      </c>
      <c r="N1317">
        <v>0</v>
      </c>
    </row>
    <row r="1318" spans="1:14" x14ac:dyDescent="0.25">
      <c r="A1318">
        <v>552.86127499999998</v>
      </c>
      <c r="B1318" s="1">
        <f>DATE(2011,11,4) + TIME(20,40,14)</f>
        <v>40851.861273148148</v>
      </c>
      <c r="C1318">
        <v>80</v>
      </c>
      <c r="D1318">
        <v>79.461189270000006</v>
      </c>
      <c r="E1318">
        <v>50</v>
      </c>
      <c r="F1318">
        <v>49.993293762</v>
      </c>
      <c r="G1318">
        <v>1329.0029297000001</v>
      </c>
      <c r="H1318">
        <v>1327.6994629000001</v>
      </c>
      <c r="I1318">
        <v>1339.690918</v>
      </c>
      <c r="J1318">
        <v>1336.8059082</v>
      </c>
      <c r="K1318">
        <v>0</v>
      </c>
      <c r="L1318">
        <v>2750</v>
      </c>
      <c r="M1318">
        <v>2750</v>
      </c>
      <c r="N1318">
        <v>0</v>
      </c>
    </row>
    <row r="1319" spans="1:14" x14ac:dyDescent="0.25">
      <c r="A1319">
        <v>553.06790999999998</v>
      </c>
      <c r="B1319" s="1">
        <f>DATE(2011,11,5) + TIME(1,37,47)</f>
        <v>40852.06790509259</v>
      </c>
      <c r="C1319">
        <v>80</v>
      </c>
      <c r="D1319">
        <v>79.437721252000003</v>
      </c>
      <c r="E1319">
        <v>50</v>
      </c>
      <c r="F1319">
        <v>49.989147185999997</v>
      </c>
      <c r="G1319">
        <v>1328.987793</v>
      </c>
      <c r="H1319">
        <v>1327.6777344</v>
      </c>
      <c r="I1319">
        <v>1339.6839600000001</v>
      </c>
      <c r="J1319">
        <v>1336.8024902</v>
      </c>
      <c r="K1319">
        <v>0</v>
      </c>
      <c r="L1319">
        <v>2750</v>
      </c>
      <c r="M1319">
        <v>2750</v>
      </c>
      <c r="N1319">
        <v>0</v>
      </c>
    </row>
    <row r="1320" spans="1:14" x14ac:dyDescent="0.25">
      <c r="A1320">
        <v>553.28048999999999</v>
      </c>
      <c r="B1320" s="1">
        <f>DATE(2011,11,5) + TIME(6,43,54)</f>
        <v>40852.280486111114</v>
      </c>
      <c r="C1320">
        <v>80</v>
      </c>
      <c r="D1320">
        <v>79.413742064999994</v>
      </c>
      <c r="E1320">
        <v>50</v>
      </c>
      <c r="F1320">
        <v>49.98601532</v>
      </c>
      <c r="G1320">
        <v>1328.9725341999999</v>
      </c>
      <c r="H1320">
        <v>1327.6556396000001</v>
      </c>
      <c r="I1320">
        <v>1339.6768798999999</v>
      </c>
      <c r="J1320">
        <v>1336.7990723</v>
      </c>
      <c r="K1320">
        <v>0</v>
      </c>
      <c r="L1320">
        <v>2750</v>
      </c>
      <c r="M1320">
        <v>2750</v>
      </c>
      <c r="N1320">
        <v>0</v>
      </c>
    </row>
    <row r="1321" spans="1:14" x14ac:dyDescent="0.25">
      <c r="A1321">
        <v>553.49950799999999</v>
      </c>
      <c r="B1321" s="1">
        <f>DATE(2011,11,5) + TIME(11,59,17)</f>
        <v>40852.499502314815</v>
      </c>
      <c r="C1321">
        <v>80</v>
      </c>
      <c r="D1321">
        <v>79.389213561999995</v>
      </c>
      <c r="E1321">
        <v>50</v>
      </c>
      <c r="F1321">
        <v>49.983665465999998</v>
      </c>
      <c r="G1321">
        <v>1328.9570312000001</v>
      </c>
      <c r="H1321">
        <v>1327.6331786999999</v>
      </c>
      <c r="I1321">
        <v>1339.6697998</v>
      </c>
      <c r="J1321">
        <v>1336.7954102000001</v>
      </c>
      <c r="K1321">
        <v>0</v>
      </c>
      <c r="L1321">
        <v>2750</v>
      </c>
      <c r="M1321">
        <v>2750</v>
      </c>
      <c r="N1321">
        <v>0</v>
      </c>
    </row>
    <row r="1322" spans="1:14" x14ac:dyDescent="0.25">
      <c r="A1322">
        <v>553.72548800000004</v>
      </c>
      <c r="B1322" s="1">
        <f>DATE(2011,11,5) + TIME(17,24,42)</f>
        <v>40852.725486111114</v>
      </c>
      <c r="C1322">
        <v>80</v>
      </c>
      <c r="D1322">
        <v>79.364089965999995</v>
      </c>
      <c r="E1322">
        <v>50</v>
      </c>
      <c r="F1322">
        <v>49.981903076000002</v>
      </c>
      <c r="G1322">
        <v>1328.9411620999999</v>
      </c>
      <c r="H1322">
        <v>1327.6104736</v>
      </c>
      <c r="I1322">
        <v>1339.6625977000001</v>
      </c>
      <c r="J1322">
        <v>1336.7917480000001</v>
      </c>
      <c r="K1322">
        <v>0</v>
      </c>
      <c r="L1322">
        <v>2750</v>
      </c>
      <c r="M1322">
        <v>2750</v>
      </c>
      <c r="N1322">
        <v>0</v>
      </c>
    </row>
    <row r="1323" spans="1:14" x14ac:dyDescent="0.25">
      <c r="A1323">
        <v>553.95897300000001</v>
      </c>
      <c r="B1323" s="1">
        <f>DATE(2011,11,5) + TIME(23,0,55)</f>
        <v>40852.958969907406</v>
      </c>
      <c r="C1323">
        <v>80</v>
      </c>
      <c r="D1323">
        <v>79.338340759000005</v>
      </c>
      <c r="E1323">
        <v>50</v>
      </c>
      <c r="F1323">
        <v>49.980583191000001</v>
      </c>
      <c r="G1323">
        <v>1328.9250488</v>
      </c>
      <c r="H1323">
        <v>1327.5872803</v>
      </c>
      <c r="I1323">
        <v>1339.6552733999999</v>
      </c>
      <c r="J1323">
        <v>1336.7880858999999</v>
      </c>
      <c r="K1323">
        <v>0</v>
      </c>
      <c r="L1323">
        <v>2750</v>
      </c>
      <c r="M1323">
        <v>2750</v>
      </c>
      <c r="N1323">
        <v>0</v>
      </c>
    </row>
    <row r="1324" spans="1:14" x14ac:dyDescent="0.25">
      <c r="A1324">
        <v>554.20049600000004</v>
      </c>
      <c r="B1324" s="1">
        <f>DATE(2011,11,6) + TIME(4,48,42)</f>
        <v>40853.200486111113</v>
      </c>
      <c r="C1324">
        <v>80</v>
      </c>
      <c r="D1324">
        <v>79.311912536999998</v>
      </c>
      <c r="E1324">
        <v>50</v>
      </c>
      <c r="F1324">
        <v>49.979598998999997</v>
      </c>
      <c r="G1324">
        <v>1328.9086914</v>
      </c>
      <c r="H1324">
        <v>1327.5635986</v>
      </c>
      <c r="I1324">
        <v>1339.6479492000001</v>
      </c>
      <c r="J1324">
        <v>1336.7843018000001</v>
      </c>
      <c r="K1324">
        <v>0</v>
      </c>
      <c r="L1324">
        <v>2750</v>
      </c>
      <c r="M1324">
        <v>2750</v>
      </c>
      <c r="N1324">
        <v>0</v>
      </c>
    </row>
    <row r="1325" spans="1:14" x14ac:dyDescent="0.25">
      <c r="A1325">
        <v>554.45078899999999</v>
      </c>
      <c r="B1325" s="1">
        <f>DATE(2011,11,6) + TIME(10,49,8)</f>
        <v>40853.450787037036</v>
      </c>
      <c r="C1325">
        <v>80</v>
      </c>
      <c r="D1325">
        <v>79.284767150999997</v>
      </c>
      <c r="E1325">
        <v>50</v>
      </c>
      <c r="F1325">
        <v>49.978862761999999</v>
      </c>
      <c r="G1325">
        <v>1328.8918457</v>
      </c>
      <c r="H1325">
        <v>1327.5395507999999</v>
      </c>
      <c r="I1325">
        <v>1339.6405029</v>
      </c>
      <c r="J1325">
        <v>1336.7805175999999</v>
      </c>
      <c r="K1325">
        <v>0</v>
      </c>
      <c r="L1325">
        <v>2750</v>
      </c>
      <c r="M1325">
        <v>2750</v>
      </c>
      <c r="N1325">
        <v>0</v>
      </c>
    </row>
    <row r="1326" spans="1:14" x14ac:dyDescent="0.25">
      <c r="A1326">
        <v>554.71056499999997</v>
      </c>
      <c r="B1326" s="1">
        <f>DATE(2011,11,6) + TIME(17,3,12)</f>
        <v>40853.710555555554</v>
      </c>
      <c r="C1326">
        <v>80</v>
      </c>
      <c r="D1326">
        <v>79.256835937999995</v>
      </c>
      <c r="E1326">
        <v>50</v>
      </c>
      <c r="F1326">
        <v>49.978313446000001</v>
      </c>
      <c r="G1326">
        <v>1328.8746338000001</v>
      </c>
      <c r="H1326">
        <v>1327.5148925999999</v>
      </c>
      <c r="I1326">
        <v>1339.6330565999999</v>
      </c>
      <c r="J1326">
        <v>1336.7767334</v>
      </c>
      <c r="K1326">
        <v>0</v>
      </c>
      <c r="L1326">
        <v>2750</v>
      </c>
      <c r="M1326">
        <v>2750</v>
      </c>
      <c r="N1326">
        <v>0</v>
      </c>
    </row>
    <row r="1327" spans="1:14" x14ac:dyDescent="0.25">
      <c r="A1327">
        <v>554.98060599999997</v>
      </c>
      <c r="B1327" s="1">
        <f>DATE(2011,11,6) + TIME(23,32,4)</f>
        <v>40853.98060185185</v>
      </c>
      <c r="C1327">
        <v>80</v>
      </c>
      <c r="D1327">
        <v>79.228065490999995</v>
      </c>
      <c r="E1327">
        <v>50</v>
      </c>
      <c r="F1327">
        <v>49.977901459000002</v>
      </c>
      <c r="G1327">
        <v>1328.8570557</v>
      </c>
      <c r="H1327">
        <v>1327.489624</v>
      </c>
      <c r="I1327">
        <v>1339.6256103999999</v>
      </c>
      <c r="J1327">
        <v>1336.7728271000001</v>
      </c>
      <c r="K1327">
        <v>0</v>
      </c>
      <c r="L1327">
        <v>2750</v>
      </c>
      <c r="M1327">
        <v>2750</v>
      </c>
      <c r="N1327">
        <v>0</v>
      </c>
    </row>
    <row r="1328" spans="1:14" x14ac:dyDescent="0.25">
      <c r="A1328">
        <v>555.26177399999995</v>
      </c>
      <c r="B1328" s="1">
        <f>DATE(2011,11,7) + TIME(6,16,57)</f>
        <v>40854.261770833335</v>
      </c>
      <c r="C1328">
        <v>80</v>
      </c>
      <c r="D1328">
        <v>79.198387146000002</v>
      </c>
      <c r="E1328">
        <v>50</v>
      </c>
      <c r="F1328">
        <v>49.977588654000002</v>
      </c>
      <c r="G1328">
        <v>1328.8389893000001</v>
      </c>
      <c r="H1328">
        <v>1327.4637451000001</v>
      </c>
      <c r="I1328">
        <v>1339.6180420000001</v>
      </c>
      <c r="J1328">
        <v>1336.769043</v>
      </c>
      <c r="K1328">
        <v>0</v>
      </c>
      <c r="L1328">
        <v>2750</v>
      </c>
      <c r="M1328">
        <v>2750</v>
      </c>
      <c r="N1328">
        <v>0</v>
      </c>
    </row>
    <row r="1329" spans="1:14" x14ac:dyDescent="0.25">
      <c r="A1329">
        <v>555.55501700000002</v>
      </c>
      <c r="B1329" s="1">
        <f>DATE(2011,11,7) + TIME(13,19,13)</f>
        <v>40854.555011574077</v>
      </c>
      <c r="C1329">
        <v>80</v>
      </c>
      <c r="D1329">
        <v>79.167739867999998</v>
      </c>
      <c r="E1329">
        <v>50</v>
      </c>
      <c r="F1329">
        <v>49.977352142000001</v>
      </c>
      <c r="G1329">
        <v>1328.8204346</v>
      </c>
      <c r="H1329">
        <v>1327.4371338000001</v>
      </c>
      <c r="I1329">
        <v>1339.6104736</v>
      </c>
      <c r="J1329">
        <v>1336.7650146000001</v>
      </c>
      <c r="K1329">
        <v>0</v>
      </c>
      <c r="L1329">
        <v>2750</v>
      </c>
      <c r="M1329">
        <v>2750</v>
      </c>
      <c r="N1329">
        <v>0</v>
      </c>
    </row>
    <row r="1330" spans="1:14" x14ac:dyDescent="0.25">
      <c r="A1330">
        <v>555.86138300000005</v>
      </c>
      <c r="B1330" s="1">
        <f>DATE(2011,11,7) + TIME(20,40,23)</f>
        <v>40854.861377314817</v>
      </c>
      <c r="C1330">
        <v>80</v>
      </c>
      <c r="D1330">
        <v>79.136032103999995</v>
      </c>
      <c r="E1330">
        <v>50</v>
      </c>
      <c r="F1330">
        <v>49.977169037000003</v>
      </c>
      <c r="G1330">
        <v>1328.8012695</v>
      </c>
      <c r="H1330">
        <v>1327.4099120999999</v>
      </c>
      <c r="I1330">
        <v>1339.6027832</v>
      </c>
      <c r="J1330">
        <v>1336.7611084</v>
      </c>
      <c r="K1330">
        <v>0</v>
      </c>
      <c r="L1330">
        <v>2750</v>
      </c>
      <c r="M1330">
        <v>2750</v>
      </c>
      <c r="N1330">
        <v>0</v>
      </c>
    </row>
    <row r="1331" spans="1:14" x14ac:dyDescent="0.25">
      <c r="A1331">
        <v>556.18204500000002</v>
      </c>
      <c r="B1331" s="1">
        <f>DATE(2011,11,8) + TIME(4,22,8)</f>
        <v>40855.182037037041</v>
      </c>
      <c r="C1331">
        <v>80</v>
      </c>
      <c r="D1331">
        <v>79.103187560999999</v>
      </c>
      <c r="E1331">
        <v>50</v>
      </c>
      <c r="F1331">
        <v>49.977027892999999</v>
      </c>
      <c r="G1331">
        <v>1328.7814940999999</v>
      </c>
      <c r="H1331">
        <v>1327.3817139</v>
      </c>
      <c r="I1331">
        <v>1339.5950928</v>
      </c>
      <c r="J1331">
        <v>1336.7570800999999</v>
      </c>
      <c r="K1331">
        <v>0</v>
      </c>
      <c r="L1331">
        <v>2750</v>
      </c>
      <c r="M1331">
        <v>2750</v>
      </c>
      <c r="N1331">
        <v>0</v>
      </c>
    </row>
    <row r="1332" spans="1:14" x14ac:dyDescent="0.25">
      <c r="A1332">
        <v>556.51831100000004</v>
      </c>
      <c r="B1332" s="1">
        <f>DATE(2011,11,8) + TIME(12,26,22)</f>
        <v>40855.518310185187</v>
      </c>
      <c r="C1332">
        <v>80</v>
      </c>
      <c r="D1332">
        <v>79.069114685000002</v>
      </c>
      <c r="E1332">
        <v>50</v>
      </c>
      <c r="F1332">
        <v>49.976917266999997</v>
      </c>
      <c r="G1332">
        <v>1328.7611084</v>
      </c>
      <c r="H1332">
        <v>1327.3526611</v>
      </c>
      <c r="I1332">
        <v>1339.5872803</v>
      </c>
      <c r="J1332">
        <v>1336.7530518000001</v>
      </c>
      <c r="K1332">
        <v>0</v>
      </c>
      <c r="L1332">
        <v>2750</v>
      </c>
      <c r="M1332">
        <v>2750</v>
      </c>
      <c r="N1332">
        <v>0</v>
      </c>
    </row>
    <row r="1333" spans="1:14" x14ac:dyDescent="0.25">
      <c r="A1333">
        <v>556.87165400000004</v>
      </c>
      <c r="B1333" s="1">
        <f>DATE(2011,11,8) + TIME(20,55,10)</f>
        <v>40855.87164351852</v>
      </c>
      <c r="C1333">
        <v>80</v>
      </c>
      <c r="D1333">
        <v>79.033699036000002</v>
      </c>
      <c r="E1333">
        <v>50</v>
      </c>
      <c r="F1333">
        <v>49.976825714</v>
      </c>
      <c r="G1333">
        <v>1328.7399902</v>
      </c>
      <c r="H1333">
        <v>1327.3225098</v>
      </c>
      <c r="I1333">
        <v>1339.5794678</v>
      </c>
      <c r="J1333">
        <v>1336.7490233999999</v>
      </c>
      <c r="K1333">
        <v>0</v>
      </c>
      <c r="L1333">
        <v>2750</v>
      </c>
      <c r="M1333">
        <v>2750</v>
      </c>
      <c r="N1333">
        <v>0</v>
      </c>
    </row>
    <row r="1334" spans="1:14" x14ac:dyDescent="0.25">
      <c r="A1334">
        <v>557.24379999999996</v>
      </c>
      <c r="B1334" s="1">
        <f>DATE(2011,11,9) + TIME(5,51,4)</f>
        <v>40856.243796296294</v>
      </c>
      <c r="C1334">
        <v>80</v>
      </c>
      <c r="D1334">
        <v>78.996826171999999</v>
      </c>
      <c r="E1334">
        <v>50</v>
      </c>
      <c r="F1334">
        <v>49.976749419999997</v>
      </c>
      <c r="G1334">
        <v>1328.7180175999999</v>
      </c>
      <c r="H1334">
        <v>1327.2913818</v>
      </c>
      <c r="I1334">
        <v>1339.5715332</v>
      </c>
      <c r="J1334">
        <v>1336.7448730000001</v>
      </c>
      <c r="K1334">
        <v>0</v>
      </c>
      <c r="L1334">
        <v>2750</v>
      </c>
      <c r="M1334">
        <v>2750</v>
      </c>
      <c r="N1334">
        <v>0</v>
      </c>
    </row>
    <row r="1335" spans="1:14" x14ac:dyDescent="0.25">
      <c r="A1335">
        <v>557.63167499999997</v>
      </c>
      <c r="B1335" s="1">
        <f>DATE(2011,11,9) + TIME(15,9,36)</f>
        <v>40856.631666666668</v>
      </c>
      <c r="C1335">
        <v>80</v>
      </c>
      <c r="D1335">
        <v>78.958671570000007</v>
      </c>
      <c r="E1335">
        <v>50</v>
      </c>
      <c r="F1335">
        <v>49.976688385000003</v>
      </c>
      <c r="G1335">
        <v>1328.6953125</v>
      </c>
      <c r="H1335">
        <v>1327.2591553</v>
      </c>
      <c r="I1335">
        <v>1339.5634766000001</v>
      </c>
      <c r="J1335">
        <v>1336.7407227000001</v>
      </c>
      <c r="K1335">
        <v>0</v>
      </c>
      <c r="L1335">
        <v>2750</v>
      </c>
      <c r="M1335">
        <v>2750</v>
      </c>
      <c r="N1335">
        <v>0</v>
      </c>
    </row>
    <row r="1336" spans="1:14" x14ac:dyDescent="0.25">
      <c r="A1336">
        <v>558.03624600000001</v>
      </c>
      <c r="B1336" s="1">
        <f>DATE(2011,11,10) + TIME(0,52,11)</f>
        <v>40857.036238425928</v>
      </c>
      <c r="C1336">
        <v>80</v>
      </c>
      <c r="D1336">
        <v>78.919219971000004</v>
      </c>
      <c r="E1336">
        <v>50</v>
      </c>
      <c r="F1336">
        <v>49.976634979000004</v>
      </c>
      <c r="G1336">
        <v>1328.671875</v>
      </c>
      <c r="H1336">
        <v>1327.2259521000001</v>
      </c>
      <c r="I1336">
        <v>1339.5554199000001</v>
      </c>
      <c r="J1336">
        <v>1336.7365723</v>
      </c>
      <c r="K1336">
        <v>0</v>
      </c>
      <c r="L1336">
        <v>2750</v>
      </c>
      <c r="M1336">
        <v>2750</v>
      </c>
      <c r="N1336">
        <v>0</v>
      </c>
    </row>
    <row r="1337" spans="1:14" x14ac:dyDescent="0.25">
      <c r="A1337">
        <v>558.46069299999999</v>
      </c>
      <c r="B1337" s="1">
        <f>DATE(2011,11,10) + TIME(11,3,23)</f>
        <v>40857.460682870369</v>
      </c>
      <c r="C1337">
        <v>80</v>
      </c>
      <c r="D1337">
        <v>78.878295898000005</v>
      </c>
      <c r="E1337">
        <v>50</v>
      </c>
      <c r="F1337">
        <v>49.976589203000003</v>
      </c>
      <c r="G1337">
        <v>1328.6477050999999</v>
      </c>
      <c r="H1337">
        <v>1327.1917725000001</v>
      </c>
      <c r="I1337">
        <v>1339.5472411999999</v>
      </c>
      <c r="J1337">
        <v>1336.7324219</v>
      </c>
      <c r="K1337">
        <v>0</v>
      </c>
      <c r="L1337">
        <v>2750</v>
      </c>
      <c r="M1337">
        <v>2750</v>
      </c>
      <c r="N1337">
        <v>0</v>
      </c>
    </row>
    <row r="1338" spans="1:14" x14ac:dyDescent="0.25">
      <c r="A1338">
        <v>558.89765399999999</v>
      </c>
      <c r="B1338" s="1">
        <f>DATE(2011,11,10) + TIME(21,32,37)</f>
        <v>40857.897650462961</v>
      </c>
      <c r="C1338">
        <v>80</v>
      </c>
      <c r="D1338">
        <v>78.836326599000003</v>
      </c>
      <c r="E1338">
        <v>50</v>
      </c>
      <c r="F1338">
        <v>49.976547240999999</v>
      </c>
      <c r="G1338">
        <v>1328.6228027</v>
      </c>
      <c r="H1338">
        <v>1327.1564940999999</v>
      </c>
      <c r="I1338">
        <v>1339.5391846</v>
      </c>
      <c r="J1338">
        <v>1336.7282714999999</v>
      </c>
      <c r="K1338">
        <v>0</v>
      </c>
      <c r="L1338">
        <v>2750</v>
      </c>
      <c r="M1338">
        <v>2750</v>
      </c>
      <c r="N1338">
        <v>0</v>
      </c>
    </row>
    <row r="1339" spans="1:14" x14ac:dyDescent="0.25">
      <c r="A1339">
        <v>559.342266</v>
      </c>
      <c r="B1339" s="1">
        <f>DATE(2011,11,11) + TIME(8,12,51)</f>
        <v>40858.342256944445</v>
      </c>
      <c r="C1339">
        <v>80</v>
      </c>
      <c r="D1339">
        <v>78.793693542</v>
      </c>
      <c r="E1339">
        <v>50</v>
      </c>
      <c r="F1339">
        <v>49.976512909</v>
      </c>
      <c r="G1339">
        <v>1328.5974120999999</v>
      </c>
      <c r="H1339">
        <v>1327.1206055</v>
      </c>
      <c r="I1339">
        <v>1339.5311279</v>
      </c>
      <c r="J1339">
        <v>1336.7242432</v>
      </c>
      <c r="K1339">
        <v>0</v>
      </c>
      <c r="L1339">
        <v>2750</v>
      </c>
      <c r="M1339">
        <v>2750</v>
      </c>
      <c r="N1339">
        <v>0</v>
      </c>
    </row>
    <row r="1340" spans="1:14" x14ac:dyDescent="0.25">
      <c r="A1340">
        <v>559.79553599999997</v>
      </c>
      <c r="B1340" s="1">
        <f>DATE(2011,11,11) + TIME(19,5,34)</f>
        <v>40858.795532407406</v>
      </c>
      <c r="C1340">
        <v>80</v>
      </c>
      <c r="D1340">
        <v>78.750480651999993</v>
      </c>
      <c r="E1340">
        <v>50</v>
      </c>
      <c r="F1340">
        <v>49.976478577000002</v>
      </c>
      <c r="G1340">
        <v>1328.5716553</v>
      </c>
      <c r="H1340">
        <v>1327.0843506000001</v>
      </c>
      <c r="I1340">
        <v>1339.5233154</v>
      </c>
      <c r="J1340">
        <v>1336.7202147999999</v>
      </c>
      <c r="K1340">
        <v>0</v>
      </c>
      <c r="L1340">
        <v>2750</v>
      </c>
      <c r="M1340">
        <v>2750</v>
      </c>
      <c r="N1340">
        <v>0</v>
      </c>
    </row>
    <row r="1341" spans="1:14" x14ac:dyDescent="0.25">
      <c r="A1341">
        <v>560.25841500000001</v>
      </c>
      <c r="B1341" s="1">
        <f>DATE(2011,11,12) + TIME(6,12,7)</f>
        <v>40859.258414351854</v>
      </c>
      <c r="C1341">
        <v>80</v>
      </c>
      <c r="D1341">
        <v>78.706703185999999</v>
      </c>
      <c r="E1341">
        <v>50</v>
      </c>
      <c r="F1341">
        <v>49.976451873999999</v>
      </c>
      <c r="G1341">
        <v>1328.5457764</v>
      </c>
      <c r="H1341">
        <v>1327.0478516000001</v>
      </c>
      <c r="I1341">
        <v>1339.5155029</v>
      </c>
      <c r="J1341">
        <v>1336.7163086</v>
      </c>
      <c r="K1341">
        <v>0</v>
      </c>
      <c r="L1341">
        <v>2750</v>
      </c>
      <c r="M1341">
        <v>2750</v>
      </c>
      <c r="N1341">
        <v>0</v>
      </c>
    </row>
    <row r="1342" spans="1:14" x14ac:dyDescent="0.25">
      <c r="A1342">
        <v>560.73191699999995</v>
      </c>
      <c r="B1342" s="1">
        <f>DATE(2011,11,12) + TIME(17,33,57)</f>
        <v>40859.731909722221</v>
      </c>
      <c r="C1342">
        <v>80</v>
      </c>
      <c r="D1342">
        <v>78.662345885999997</v>
      </c>
      <c r="E1342">
        <v>50</v>
      </c>
      <c r="F1342">
        <v>49.976421356000003</v>
      </c>
      <c r="G1342">
        <v>1328.5196533000001</v>
      </c>
      <c r="H1342">
        <v>1327.0109863</v>
      </c>
      <c r="I1342">
        <v>1339.5080565999999</v>
      </c>
      <c r="J1342">
        <v>1336.7125243999999</v>
      </c>
      <c r="K1342">
        <v>0</v>
      </c>
      <c r="L1342">
        <v>2750</v>
      </c>
      <c r="M1342">
        <v>2750</v>
      </c>
      <c r="N1342">
        <v>0</v>
      </c>
    </row>
    <row r="1343" spans="1:14" x14ac:dyDescent="0.25">
      <c r="A1343">
        <v>561.21712200000002</v>
      </c>
      <c r="B1343" s="1">
        <f>DATE(2011,11,13) + TIME(5,12,39)</f>
        <v>40860.217118055552</v>
      </c>
      <c r="C1343">
        <v>80</v>
      </c>
      <c r="D1343">
        <v>78.617362975999995</v>
      </c>
      <c r="E1343">
        <v>50</v>
      </c>
      <c r="F1343">
        <v>49.976398467999999</v>
      </c>
      <c r="G1343">
        <v>1328.4932861</v>
      </c>
      <c r="H1343">
        <v>1326.9738769999999</v>
      </c>
      <c r="I1343">
        <v>1339.5006103999999</v>
      </c>
      <c r="J1343">
        <v>1336.7088623</v>
      </c>
      <c r="K1343">
        <v>0</v>
      </c>
      <c r="L1343">
        <v>2750</v>
      </c>
      <c r="M1343">
        <v>2750</v>
      </c>
      <c r="N1343">
        <v>0</v>
      </c>
    </row>
    <row r="1344" spans="1:14" x14ac:dyDescent="0.25">
      <c r="A1344">
        <v>561.71515099999999</v>
      </c>
      <c r="B1344" s="1">
        <f>DATE(2011,11,13) + TIME(17,9,49)</f>
        <v>40860.715150462966</v>
      </c>
      <c r="C1344">
        <v>80</v>
      </c>
      <c r="D1344">
        <v>78.571701050000001</v>
      </c>
      <c r="E1344">
        <v>50</v>
      </c>
      <c r="F1344">
        <v>49.976371765000003</v>
      </c>
      <c r="G1344">
        <v>1328.4665527</v>
      </c>
      <c r="H1344">
        <v>1326.9362793</v>
      </c>
      <c r="I1344">
        <v>1339.4931641000001</v>
      </c>
      <c r="J1344">
        <v>1336.7052002</v>
      </c>
      <c r="K1344">
        <v>0</v>
      </c>
      <c r="L1344">
        <v>2750</v>
      </c>
      <c r="M1344">
        <v>2750</v>
      </c>
      <c r="N1344">
        <v>0</v>
      </c>
    </row>
    <row r="1345" spans="1:14" x14ac:dyDescent="0.25">
      <c r="A1345">
        <v>562.22722699999997</v>
      </c>
      <c r="B1345" s="1">
        <f>DATE(2011,11,14) + TIME(5,27,12)</f>
        <v>40861.227222222224</v>
      </c>
      <c r="C1345">
        <v>80</v>
      </c>
      <c r="D1345">
        <v>78.525283813000001</v>
      </c>
      <c r="E1345">
        <v>50</v>
      </c>
      <c r="F1345">
        <v>49.976348877</v>
      </c>
      <c r="G1345">
        <v>1328.4394531</v>
      </c>
      <c r="H1345">
        <v>1326.8981934000001</v>
      </c>
      <c r="I1345">
        <v>1339.4859618999999</v>
      </c>
      <c r="J1345">
        <v>1336.7015381000001</v>
      </c>
      <c r="K1345">
        <v>0</v>
      </c>
      <c r="L1345">
        <v>2750</v>
      </c>
      <c r="M1345">
        <v>2750</v>
      </c>
      <c r="N1345">
        <v>0</v>
      </c>
    </row>
    <row r="1346" spans="1:14" x14ac:dyDescent="0.25">
      <c r="A1346">
        <v>562.75454300000001</v>
      </c>
      <c r="B1346" s="1">
        <f>DATE(2011,11,14) + TIME(18,6,32)</f>
        <v>40861.754537037035</v>
      </c>
      <c r="C1346">
        <v>80</v>
      </c>
      <c r="D1346">
        <v>78.478034973000007</v>
      </c>
      <c r="E1346">
        <v>50</v>
      </c>
      <c r="F1346">
        <v>49.976329802999999</v>
      </c>
      <c r="G1346">
        <v>1328.4119873</v>
      </c>
      <c r="H1346">
        <v>1326.8596190999999</v>
      </c>
      <c r="I1346">
        <v>1339.4787598</v>
      </c>
      <c r="J1346">
        <v>1336.6979980000001</v>
      </c>
      <c r="K1346">
        <v>0</v>
      </c>
      <c r="L1346">
        <v>2750</v>
      </c>
      <c r="M1346">
        <v>2750</v>
      </c>
      <c r="N1346">
        <v>0</v>
      </c>
    </row>
    <row r="1347" spans="1:14" x14ac:dyDescent="0.25">
      <c r="A1347">
        <v>563.29839800000002</v>
      </c>
      <c r="B1347" s="1">
        <f>DATE(2011,11,15) + TIME(7,9,41)</f>
        <v>40862.298391203702</v>
      </c>
      <c r="C1347">
        <v>80</v>
      </c>
      <c r="D1347">
        <v>78.429855347</v>
      </c>
      <c r="E1347">
        <v>50</v>
      </c>
      <c r="F1347">
        <v>49.976306915000002</v>
      </c>
      <c r="G1347">
        <v>1328.3840332</v>
      </c>
      <c r="H1347">
        <v>1326.8204346</v>
      </c>
      <c r="I1347">
        <v>1339.4716797000001</v>
      </c>
      <c r="J1347">
        <v>1336.6945800999999</v>
      </c>
      <c r="K1347">
        <v>0</v>
      </c>
      <c r="L1347">
        <v>2750</v>
      </c>
      <c r="M1347">
        <v>2750</v>
      </c>
      <c r="N1347">
        <v>0</v>
      </c>
    </row>
    <row r="1348" spans="1:14" x14ac:dyDescent="0.25">
      <c r="A1348">
        <v>563.86041399999999</v>
      </c>
      <c r="B1348" s="1">
        <f>DATE(2011,11,15) + TIME(20,38,59)</f>
        <v>40862.860405092593</v>
      </c>
      <c r="C1348">
        <v>80</v>
      </c>
      <c r="D1348">
        <v>78.380653381000002</v>
      </c>
      <c r="E1348">
        <v>50</v>
      </c>
      <c r="F1348">
        <v>49.976287841999998</v>
      </c>
      <c r="G1348">
        <v>1328.3555908000001</v>
      </c>
      <c r="H1348">
        <v>1326.7806396000001</v>
      </c>
      <c r="I1348">
        <v>1339.4645995999999</v>
      </c>
      <c r="J1348">
        <v>1336.6911620999999</v>
      </c>
      <c r="K1348">
        <v>0</v>
      </c>
      <c r="L1348">
        <v>2750</v>
      </c>
      <c r="M1348">
        <v>2750</v>
      </c>
      <c r="N1348">
        <v>0</v>
      </c>
    </row>
    <row r="1349" spans="1:14" x14ac:dyDescent="0.25">
      <c r="A1349">
        <v>564.44224499999996</v>
      </c>
      <c r="B1349" s="1">
        <f>DATE(2011,11,16) + TIME(10,36,49)</f>
        <v>40863.442233796297</v>
      </c>
      <c r="C1349">
        <v>80</v>
      </c>
      <c r="D1349">
        <v>78.330314635999997</v>
      </c>
      <c r="E1349">
        <v>50</v>
      </c>
      <c r="F1349">
        <v>49.976268767999997</v>
      </c>
      <c r="G1349">
        <v>1328.3265381000001</v>
      </c>
      <c r="H1349">
        <v>1326.7401123</v>
      </c>
      <c r="I1349">
        <v>1339.4575195</v>
      </c>
      <c r="J1349">
        <v>1336.6877440999999</v>
      </c>
      <c r="K1349">
        <v>0</v>
      </c>
      <c r="L1349">
        <v>2750</v>
      </c>
      <c r="M1349">
        <v>2750</v>
      </c>
      <c r="N1349">
        <v>0</v>
      </c>
    </row>
    <row r="1350" spans="1:14" x14ac:dyDescent="0.25">
      <c r="A1350">
        <v>565.04570899999999</v>
      </c>
      <c r="B1350" s="1">
        <f>DATE(2011,11,17) + TIME(1,5,49)</f>
        <v>40864.045706018522</v>
      </c>
      <c r="C1350">
        <v>80</v>
      </c>
      <c r="D1350">
        <v>78.278709411999998</v>
      </c>
      <c r="E1350">
        <v>50</v>
      </c>
      <c r="F1350">
        <v>49.97624588</v>
      </c>
      <c r="G1350">
        <v>1328.296875</v>
      </c>
      <c r="H1350">
        <v>1326.6986084</v>
      </c>
      <c r="I1350">
        <v>1339.4504394999999</v>
      </c>
      <c r="J1350">
        <v>1336.6843262</v>
      </c>
      <c r="K1350">
        <v>0</v>
      </c>
      <c r="L1350">
        <v>2750</v>
      </c>
      <c r="M1350">
        <v>2750</v>
      </c>
      <c r="N1350">
        <v>0</v>
      </c>
    </row>
    <row r="1351" spans="1:14" x14ac:dyDescent="0.25">
      <c r="A1351">
        <v>565.67280500000004</v>
      </c>
      <c r="B1351" s="1">
        <f>DATE(2011,11,17) + TIME(16,8,50)</f>
        <v>40864.672800925924</v>
      </c>
      <c r="C1351">
        <v>80</v>
      </c>
      <c r="D1351">
        <v>78.225708007999998</v>
      </c>
      <c r="E1351">
        <v>50</v>
      </c>
      <c r="F1351">
        <v>49.976226807000003</v>
      </c>
      <c r="G1351">
        <v>1328.2666016000001</v>
      </c>
      <c r="H1351">
        <v>1326.6563721</v>
      </c>
      <c r="I1351">
        <v>1339.4433594</v>
      </c>
      <c r="J1351">
        <v>1336.6810303</v>
      </c>
      <c r="K1351">
        <v>0</v>
      </c>
      <c r="L1351">
        <v>2750</v>
      </c>
      <c r="M1351">
        <v>2750</v>
      </c>
      <c r="N1351">
        <v>0</v>
      </c>
    </row>
    <row r="1352" spans="1:14" x14ac:dyDescent="0.25">
      <c r="A1352">
        <v>566.32575499999996</v>
      </c>
      <c r="B1352" s="1">
        <f>DATE(2011,11,18) + TIME(7,49,5)</f>
        <v>40865.325752314813</v>
      </c>
      <c r="C1352">
        <v>80</v>
      </c>
      <c r="D1352">
        <v>78.171165466000005</v>
      </c>
      <c r="E1352">
        <v>50</v>
      </c>
      <c r="F1352">
        <v>49.976207733000003</v>
      </c>
      <c r="G1352">
        <v>1328.2354736</v>
      </c>
      <c r="H1352">
        <v>1326.6130370999999</v>
      </c>
      <c r="I1352">
        <v>1339.4364014</v>
      </c>
      <c r="J1352">
        <v>1336.6776123</v>
      </c>
      <c r="K1352">
        <v>0</v>
      </c>
      <c r="L1352">
        <v>2750</v>
      </c>
      <c r="M1352">
        <v>2750</v>
      </c>
      <c r="N1352">
        <v>0</v>
      </c>
    </row>
    <row r="1353" spans="1:14" x14ac:dyDescent="0.25">
      <c r="A1353">
        <v>566.99918300000002</v>
      </c>
      <c r="B1353" s="1">
        <f>DATE(2011,11,18) + TIME(23,58,49)</f>
        <v>40865.999178240738</v>
      </c>
      <c r="C1353">
        <v>80</v>
      </c>
      <c r="D1353">
        <v>78.115242003999995</v>
      </c>
      <c r="E1353">
        <v>50</v>
      </c>
      <c r="F1353">
        <v>49.976192474000001</v>
      </c>
      <c r="G1353">
        <v>1328.2036132999999</v>
      </c>
      <c r="H1353">
        <v>1326.5687256000001</v>
      </c>
      <c r="I1353">
        <v>1339.4293213000001</v>
      </c>
      <c r="J1353">
        <v>1336.6743164</v>
      </c>
      <c r="K1353">
        <v>0</v>
      </c>
      <c r="L1353">
        <v>2750</v>
      </c>
      <c r="M1353">
        <v>2750</v>
      </c>
      <c r="N1353">
        <v>0</v>
      </c>
    </row>
    <row r="1354" spans="1:14" x14ac:dyDescent="0.25">
      <c r="A1354">
        <v>567.68828499999995</v>
      </c>
      <c r="B1354" s="1">
        <f>DATE(2011,11,19) + TIME(16,31,7)</f>
        <v>40866.688275462962</v>
      </c>
      <c r="C1354">
        <v>80</v>
      </c>
      <c r="D1354">
        <v>78.058197020999998</v>
      </c>
      <c r="E1354">
        <v>50</v>
      </c>
      <c r="F1354">
        <v>49.976173400999997</v>
      </c>
      <c r="G1354">
        <v>1328.1710204999999</v>
      </c>
      <c r="H1354">
        <v>1326.5235596</v>
      </c>
      <c r="I1354">
        <v>1339.4222411999999</v>
      </c>
      <c r="J1354">
        <v>1336.6710204999999</v>
      </c>
      <c r="K1354">
        <v>0</v>
      </c>
      <c r="L1354">
        <v>2750</v>
      </c>
      <c r="M1354">
        <v>2750</v>
      </c>
      <c r="N1354">
        <v>0</v>
      </c>
    </row>
    <row r="1355" spans="1:14" x14ac:dyDescent="0.25">
      <c r="A1355">
        <v>568.39807900000005</v>
      </c>
      <c r="B1355" s="1">
        <f>DATE(2011,11,20) + TIME(9,33,13)</f>
        <v>40867.39806712963</v>
      </c>
      <c r="C1355">
        <v>80</v>
      </c>
      <c r="D1355">
        <v>78</v>
      </c>
      <c r="E1355">
        <v>50</v>
      </c>
      <c r="F1355">
        <v>49.976154327000003</v>
      </c>
      <c r="G1355">
        <v>1328.1381836</v>
      </c>
      <c r="H1355">
        <v>1326.4777832</v>
      </c>
      <c r="I1355">
        <v>1339.4152832</v>
      </c>
      <c r="J1355">
        <v>1336.6678466999999</v>
      </c>
      <c r="K1355">
        <v>0</v>
      </c>
      <c r="L1355">
        <v>2750</v>
      </c>
      <c r="M1355">
        <v>2750</v>
      </c>
      <c r="N1355">
        <v>0</v>
      </c>
    </row>
    <row r="1356" spans="1:14" x14ac:dyDescent="0.25">
      <c r="A1356">
        <v>569.11669700000004</v>
      </c>
      <c r="B1356" s="1">
        <f>DATE(2011,11,21) + TIME(2,48,2)</f>
        <v>40868.116689814815</v>
      </c>
      <c r="C1356">
        <v>80</v>
      </c>
      <c r="D1356">
        <v>77.941070557000003</v>
      </c>
      <c r="E1356">
        <v>50</v>
      </c>
      <c r="F1356">
        <v>49.976135253999999</v>
      </c>
      <c r="G1356">
        <v>1328.1047363</v>
      </c>
      <c r="H1356">
        <v>1326.4315185999999</v>
      </c>
      <c r="I1356">
        <v>1339.4083252</v>
      </c>
      <c r="J1356">
        <v>1336.6646728999999</v>
      </c>
      <c r="K1356">
        <v>0</v>
      </c>
      <c r="L1356">
        <v>2750</v>
      </c>
      <c r="M1356">
        <v>2750</v>
      </c>
      <c r="N1356">
        <v>0</v>
      </c>
    </row>
    <row r="1357" spans="1:14" x14ac:dyDescent="0.25">
      <c r="A1357">
        <v>569.84851400000002</v>
      </c>
      <c r="B1357" s="1">
        <f>DATE(2011,11,21) + TIME(20,21,51)</f>
        <v>40868.848506944443</v>
      </c>
      <c r="C1357">
        <v>80</v>
      </c>
      <c r="D1357">
        <v>77.881477356000005</v>
      </c>
      <c r="E1357">
        <v>50</v>
      </c>
      <c r="F1357">
        <v>49.976119994999998</v>
      </c>
      <c r="G1357">
        <v>1328.0711670000001</v>
      </c>
      <c r="H1357">
        <v>1326.3850098</v>
      </c>
      <c r="I1357">
        <v>1339.4016113</v>
      </c>
      <c r="J1357">
        <v>1336.6616211</v>
      </c>
      <c r="K1357">
        <v>0</v>
      </c>
      <c r="L1357">
        <v>2750</v>
      </c>
      <c r="M1357">
        <v>2750</v>
      </c>
      <c r="N1357">
        <v>0</v>
      </c>
    </row>
    <row r="1358" spans="1:14" x14ac:dyDescent="0.25">
      <c r="A1358">
        <v>570.59806300000002</v>
      </c>
      <c r="B1358" s="1">
        <f>DATE(2011,11,22) + TIME(14,21,12)</f>
        <v>40869.598055555558</v>
      </c>
      <c r="C1358">
        <v>80</v>
      </c>
      <c r="D1358">
        <v>77.821075438999998</v>
      </c>
      <c r="E1358">
        <v>50</v>
      </c>
      <c r="F1358">
        <v>49.976104736000003</v>
      </c>
      <c r="G1358">
        <v>1328.0374756000001</v>
      </c>
      <c r="H1358">
        <v>1326.3382568</v>
      </c>
      <c r="I1358">
        <v>1339.3950195</v>
      </c>
      <c r="J1358">
        <v>1336.6586914</v>
      </c>
      <c r="K1358">
        <v>0</v>
      </c>
      <c r="L1358">
        <v>2750</v>
      </c>
      <c r="M1358">
        <v>2750</v>
      </c>
      <c r="N1358">
        <v>0</v>
      </c>
    </row>
    <row r="1359" spans="1:14" x14ac:dyDescent="0.25">
      <c r="A1359">
        <v>571.37023499999998</v>
      </c>
      <c r="B1359" s="1">
        <f>DATE(2011,11,23) + TIME(8,53,8)</f>
        <v>40870.37023148148</v>
      </c>
      <c r="C1359">
        <v>80</v>
      </c>
      <c r="D1359">
        <v>77.759582519999995</v>
      </c>
      <c r="E1359">
        <v>50</v>
      </c>
      <c r="F1359">
        <v>49.976085662999999</v>
      </c>
      <c r="G1359">
        <v>1328.003418</v>
      </c>
      <c r="H1359">
        <v>1326.2912598</v>
      </c>
      <c r="I1359">
        <v>1339.3884277</v>
      </c>
      <c r="J1359">
        <v>1336.6557617000001</v>
      </c>
      <c r="K1359">
        <v>0</v>
      </c>
      <c r="L1359">
        <v>2750</v>
      </c>
      <c r="M1359">
        <v>2750</v>
      </c>
      <c r="N1359">
        <v>0</v>
      </c>
    </row>
    <row r="1360" spans="1:14" x14ac:dyDescent="0.25">
      <c r="A1360">
        <v>572.17044599999997</v>
      </c>
      <c r="B1360" s="1">
        <f>DATE(2011,11,24) + TIME(4,5,26)</f>
        <v>40871.170439814814</v>
      </c>
      <c r="C1360">
        <v>80</v>
      </c>
      <c r="D1360">
        <v>77.696624756000006</v>
      </c>
      <c r="E1360">
        <v>50</v>
      </c>
      <c r="F1360">
        <v>49.976070403999998</v>
      </c>
      <c r="G1360">
        <v>1327.9688721</v>
      </c>
      <c r="H1360">
        <v>1326.2435303</v>
      </c>
      <c r="I1360">
        <v>1339.3818358999999</v>
      </c>
      <c r="J1360">
        <v>1336.6529541</v>
      </c>
      <c r="K1360">
        <v>0</v>
      </c>
      <c r="L1360">
        <v>2750</v>
      </c>
      <c r="M1360">
        <v>2750</v>
      </c>
      <c r="N1360">
        <v>0</v>
      </c>
    </row>
    <row r="1361" spans="1:14" x14ac:dyDescent="0.25">
      <c r="A1361">
        <v>573.00487099999998</v>
      </c>
      <c r="B1361" s="1">
        <f>DATE(2011,11,25) + TIME(0,7,0)</f>
        <v>40872.004861111112</v>
      </c>
      <c r="C1361">
        <v>80</v>
      </c>
      <c r="D1361">
        <v>77.631782532000003</v>
      </c>
      <c r="E1361">
        <v>50</v>
      </c>
      <c r="F1361">
        <v>49.976055144999997</v>
      </c>
      <c r="G1361">
        <v>1327.9335937999999</v>
      </c>
      <c r="H1361">
        <v>1326.1948242000001</v>
      </c>
      <c r="I1361">
        <v>1339.3753661999999</v>
      </c>
      <c r="J1361">
        <v>1336.6501464999999</v>
      </c>
      <c r="K1361">
        <v>0</v>
      </c>
      <c r="L1361">
        <v>2750</v>
      </c>
      <c r="M1361">
        <v>2750</v>
      </c>
      <c r="N1361">
        <v>0</v>
      </c>
    </row>
    <row r="1362" spans="1:14" x14ac:dyDescent="0.25">
      <c r="A1362">
        <v>573.86664800000005</v>
      </c>
      <c r="B1362" s="1">
        <f>DATE(2011,11,25) + TIME(20,47,58)</f>
        <v>40872.866643518515</v>
      </c>
      <c r="C1362">
        <v>80</v>
      </c>
      <c r="D1362">
        <v>77.565017699999999</v>
      </c>
      <c r="E1362">
        <v>50</v>
      </c>
      <c r="F1362">
        <v>49.976039886000002</v>
      </c>
      <c r="G1362">
        <v>1327.8975829999999</v>
      </c>
      <c r="H1362">
        <v>1326.1451416</v>
      </c>
      <c r="I1362">
        <v>1339.3687743999999</v>
      </c>
      <c r="J1362">
        <v>1336.6472168</v>
      </c>
      <c r="K1362">
        <v>0</v>
      </c>
      <c r="L1362">
        <v>2750</v>
      </c>
      <c r="M1362">
        <v>2750</v>
      </c>
      <c r="N1362">
        <v>0</v>
      </c>
    </row>
    <row r="1363" spans="1:14" x14ac:dyDescent="0.25">
      <c r="A1363">
        <v>574.74558100000002</v>
      </c>
      <c r="B1363" s="1">
        <f>DATE(2011,11,26) + TIME(17,53,38)</f>
        <v>40873.745578703703</v>
      </c>
      <c r="C1363">
        <v>80</v>
      </c>
      <c r="D1363">
        <v>77.496696471999996</v>
      </c>
      <c r="E1363">
        <v>50</v>
      </c>
      <c r="F1363">
        <v>49.976024627999998</v>
      </c>
      <c r="G1363">
        <v>1327.8607178</v>
      </c>
      <c r="H1363">
        <v>1326.0946045000001</v>
      </c>
      <c r="I1363">
        <v>1339.3621826000001</v>
      </c>
      <c r="J1363">
        <v>1336.6445312000001</v>
      </c>
      <c r="K1363">
        <v>0</v>
      </c>
      <c r="L1363">
        <v>2750</v>
      </c>
      <c r="M1363">
        <v>2750</v>
      </c>
      <c r="N1363">
        <v>0</v>
      </c>
    </row>
    <row r="1364" spans="1:14" x14ac:dyDescent="0.25">
      <c r="A1364">
        <v>575.64833099999998</v>
      </c>
      <c r="B1364" s="1">
        <f>DATE(2011,11,27) + TIME(15,33,35)</f>
        <v>40874.648321759261</v>
      </c>
      <c r="C1364">
        <v>80</v>
      </c>
      <c r="D1364">
        <v>77.426902771000002</v>
      </c>
      <c r="E1364">
        <v>50</v>
      </c>
      <c r="F1364">
        <v>49.976013184000003</v>
      </c>
      <c r="G1364">
        <v>1327.8236084</v>
      </c>
      <c r="H1364">
        <v>1326.0435791</v>
      </c>
      <c r="I1364">
        <v>1339.3555908000001</v>
      </c>
      <c r="J1364">
        <v>1336.6417236</v>
      </c>
      <c r="K1364">
        <v>0</v>
      </c>
      <c r="L1364">
        <v>2750</v>
      </c>
      <c r="M1364">
        <v>2750</v>
      </c>
      <c r="N1364">
        <v>0</v>
      </c>
    </row>
    <row r="1365" spans="1:14" x14ac:dyDescent="0.25">
      <c r="A1365">
        <v>576.56846700000006</v>
      </c>
      <c r="B1365" s="1">
        <f>DATE(2011,11,28) + TIME(13,38,35)</f>
        <v>40875.568460648145</v>
      </c>
      <c r="C1365">
        <v>80</v>
      </c>
      <c r="D1365">
        <v>77.355758667000003</v>
      </c>
      <c r="E1365">
        <v>50</v>
      </c>
      <c r="F1365">
        <v>49.975997925000001</v>
      </c>
      <c r="G1365">
        <v>1327.7860106999999</v>
      </c>
      <c r="H1365">
        <v>1325.9919434000001</v>
      </c>
      <c r="I1365">
        <v>1339.3492432</v>
      </c>
      <c r="J1365">
        <v>1336.6390381000001</v>
      </c>
      <c r="K1365">
        <v>0</v>
      </c>
      <c r="L1365">
        <v>2750</v>
      </c>
      <c r="M1365">
        <v>2750</v>
      </c>
      <c r="N1365">
        <v>0</v>
      </c>
    </row>
    <row r="1366" spans="1:14" x14ac:dyDescent="0.25">
      <c r="A1366">
        <v>577.50014499999997</v>
      </c>
      <c r="B1366" s="1">
        <f>DATE(2011,11,29) + TIME(12,0,12)</f>
        <v>40876.500138888892</v>
      </c>
      <c r="C1366">
        <v>80</v>
      </c>
      <c r="D1366">
        <v>77.283554077000005</v>
      </c>
      <c r="E1366">
        <v>50</v>
      </c>
      <c r="F1366">
        <v>49.975982666</v>
      </c>
      <c r="G1366">
        <v>1327.7482910000001</v>
      </c>
      <c r="H1366">
        <v>1325.9400635</v>
      </c>
      <c r="I1366">
        <v>1339.3428954999999</v>
      </c>
      <c r="J1366">
        <v>1336.6364745999999</v>
      </c>
      <c r="K1366">
        <v>0</v>
      </c>
      <c r="L1366">
        <v>2750</v>
      </c>
      <c r="M1366">
        <v>2750</v>
      </c>
      <c r="N1366">
        <v>0</v>
      </c>
    </row>
    <row r="1367" spans="1:14" x14ac:dyDescent="0.25">
      <c r="A1367">
        <v>578.44948899999997</v>
      </c>
      <c r="B1367" s="1">
        <f>DATE(2011,11,30) + TIME(10,47,15)</f>
        <v>40877.449479166666</v>
      </c>
      <c r="C1367">
        <v>80</v>
      </c>
      <c r="D1367">
        <v>77.21031189</v>
      </c>
      <c r="E1367">
        <v>50</v>
      </c>
      <c r="F1367">
        <v>49.975971221999998</v>
      </c>
      <c r="G1367">
        <v>1327.7104492000001</v>
      </c>
      <c r="H1367">
        <v>1325.8881836</v>
      </c>
      <c r="I1367">
        <v>1339.3365478999999</v>
      </c>
      <c r="J1367">
        <v>1336.6339111</v>
      </c>
      <c r="K1367">
        <v>0</v>
      </c>
      <c r="L1367">
        <v>2750</v>
      </c>
      <c r="M1367">
        <v>2750</v>
      </c>
      <c r="N1367">
        <v>0</v>
      </c>
    </row>
    <row r="1368" spans="1:14" x14ac:dyDescent="0.25">
      <c r="A1368">
        <v>579</v>
      </c>
      <c r="B1368" s="1">
        <f>DATE(2011,12,1) + TIME(0,0,0)</f>
        <v>40878</v>
      </c>
      <c r="C1368">
        <v>80</v>
      </c>
      <c r="D1368">
        <v>77.152420043999996</v>
      </c>
      <c r="E1368">
        <v>50</v>
      </c>
      <c r="F1368">
        <v>49.975955962999997</v>
      </c>
      <c r="G1368">
        <v>1327.6738281</v>
      </c>
      <c r="H1368">
        <v>1325.8388672000001</v>
      </c>
      <c r="I1368">
        <v>1339.3303223</v>
      </c>
      <c r="J1368">
        <v>1336.6313477000001</v>
      </c>
      <c r="K1368">
        <v>0</v>
      </c>
      <c r="L1368">
        <v>2750</v>
      </c>
      <c r="M1368">
        <v>2750</v>
      </c>
      <c r="N1368">
        <v>0</v>
      </c>
    </row>
    <row r="1369" spans="1:14" x14ac:dyDescent="0.25">
      <c r="A1369">
        <v>579.97333600000002</v>
      </c>
      <c r="B1369" s="1">
        <f>DATE(2011,12,1) + TIME(23,21,36)</f>
        <v>40878.973333333335</v>
      </c>
      <c r="C1369">
        <v>80</v>
      </c>
      <c r="D1369">
        <v>77.087135314999998</v>
      </c>
      <c r="E1369">
        <v>50</v>
      </c>
      <c r="F1369">
        <v>49.975948334000002</v>
      </c>
      <c r="G1369">
        <v>1327.6473389</v>
      </c>
      <c r="H1369">
        <v>1325.8006591999999</v>
      </c>
      <c r="I1369">
        <v>1339.3270264</v>
      </c>
      <c r="J1369">
        <v>1336.6301269999999</v>
      </c>
      <c r="K1369">
        <v>0</v>
      </c>
      <c r="L1369">
        <v>2750</v>
      </c>
      <c r="M1369">
        <v>2750</v>
      </c>
      <c r="N1369">
        <v>0</v>
      </c>
    </row>
    <row r="1370" spans="1:14" x14ac:dyDescent="0.25">
      <c r="A1370">
        <v>580.99874899999998</v>
      </c>
      <c r="B1370" s="1">
        <f>DATE(2011,12,2) + TIME(23,58,11)</f>
        <v>40879.998738425929</v>
      </c>
      <c r="C1370">
        <v>80</v>
      </c>
      <c r="D1370">
        <v>77.013740540000001</v>
      </c>
      <c r="E1370">
        <v>50</v>
      </c>
      <c r="F1370">
        <v>49.97593689</v>
      </c>
      <c r="G1370">
        <v>1327.6113281</v>
      </c>
      <c r="H1370">
        <v>1325.7520752</v>
      </c>
      <c r="I1370">
        <v>1339.3210449000001</v>
      </c>
      <c r="J1370">
        <v>1336.6276855000001</v>
      </c>
      <c r="K1370">
        <v>0</v>
      </c>
      <c r="L1370">
        <v>2750</v>
      </c>
      <c r="M1370">
        <v>2750</v>
      </c>
      <c r="N1370">
        <v>0</v>
      </c>
    </row>
    <row r="1371" spans="1:14" x14ac:dyDescent="0.25">
      <c r="A1371">
        <v>582.06654900000001</v>
      </c>
      <c r="B1371" s="1">
        <f>DATE(2011,12,4) + TIME(1,35,49)</f>
        <v>40881.06653935185</v>
      </c>
      <c r="C1371">
        <v>80</v>
      </c>
      <c r="D1371">
        <v>76.934944153000004</v>
      </c>
      <c r="E1371">
        <v>50</v>
      </c>
      <c r="F1371">
        <v>49.975929260000001</v>
      </c>
      <c r="G1371">
        <v>1327.5729980000001</v>
      </c>
      <c r="H1371">
        <v>1325.7001952999999</v>
      </c>
      <c r="I1371">
        <v>1339.3148193</v>
      </c>
      <c r="J1371">
        <v>1336.6253661999999</v>
      </c>
      <c r="K1371">
        <v>0</v>
      </c>
      <c r="L1371">
        <v>2750</v>
      </c>
      <c r="M1371">
        <v>2750</v>
      </c>
      <c r="N1371">
        <v>0</v>
      </c>
    </row>
    <row r="1372" spans="1:14" x14ac:dyDescent="0.25">
      <c r="A1372">
        <v>583.15657499999998</v>
      </c>
      <c r="B1372" s="1">
        <f>DATE(2011,12,5) + TIME(3,45,28)</f>
        <v>40882.156574074077</v>
      </c>
      <c r="C1372">
        <v>80</v>
      </c>
      <c r="D1372">
        <v>76.852561950999998</v>
      </c>
      <c r="E1372">
        <v>50</v>
      </c>
      <c r="F1372">
        <v>49.975917815999999</v>
      </c>
      <c r="G1372">
        <v>1327.5333252</v>
      </c>
      <c r="H1372">
        <v>1325.6462402</v>
      </c>
      <c r="I1372">
        <v>1339.3087158000001</v>
      </c>
      <c r="J1372">
        <v>1336.6229248</v>
      </c>
      <c r="K1372">
        <v>0</v>
      </c>
      <c r="L1372">
        <v>2750</v>
      </c>
      <c r="M1372">
        <v>2750</v>
      </c>
      <c r="N1372">
        <v>0</v>
      </c>
    </row>
    <row r="1373" spans="1:14" x14ac:dyDescent="0.25">
      <c r="A1373">
        <v>584.26737300000002</v>
      </c>
      <c r="B1373" s="1">
        <f>DATE(2011,12,6) + TIME(6,25,1)</f>
        <v>40883.267372685186</v>
      </c>
      <c r="C1373">
        <v>80</v>
      </c>
      <c r="D1373">
        <v>76.767776488999999</v>
      </c>
      <c r="E1373">
        <v>50</v>
      </c>
      <c r="F1373">
        <v>49.975906371999997</v>
      </c>
      <c r="G1373">
        <v>1327.4930420000001</v>
      </c>
      <c r="H1373">
        <v>1325.5913086</v>
      </c>
      <c r="I1373">
        <v>1339.3024902</v>
      </c>
      <c r="J1373">
        <v>1336.6206055</v>
      </c>
      <c r="K1373">
        <v>0</v>
      </c>
      <c r="L1373">
        <v>2750</v>
      </c>
      <c r="M1373">
        <v>2750</v>
      </c>
      <c r="N1373">
        <v>0</v>
      </c>
    </row>
    <row r="1374" spans="1:14" x14ac:dyDescent="0.25">
      <c r="A1374">
        <v>585.40720599999997</v>
      </c>
      <c r="B1374" s="1">
        <f>DATE(2011,12,7) + TIME(9,46,22)</f>
        <v>40884.407199074078</v>
      </c>
      <c r="C1374">
        <v>80</v>
      </c>
      <c r="D1374">
        <v>76.680809021000002</v>
      </c>
      <c r="E1374">
        <v>50</v>
      </c>
      <c r="F1374">
        <v>49.975894928000002</v>
      </c>
      <c r="G1374">
        <v>1327.4523925999999</v>
      </c>
      <c r="H1374">
        <v>1325.5360106999999</v>
      </c>
      <c r="I1374">
        <v>1339.2965088000001</v>
      </c>
      <c r="J1374">
        <v>1336.6184082</v>
      </c>
      <c r="K1374">
        <v>0</v>
      </c>
      <c r="L1374">
        <v>2750</v>
      </c>
      <c r="M1374">
        <v>2750</v>
      </c>
      <c r="N1374">
        <v>0</v>
      </c>
    </row>
    <row r="1375" spans="1:14" x14ac:dyDescent="0.25">
      <c r="A1375">
        <v>586.58485499999995</v>
      </c>
      <c r="B1375" s="1">
        <f>DATE(2011,12,8) + TIME(14,2,11)</f>
        <v>40885.584849537037</v>
      </c>
      <c r="C1375">
        <v>80</v>
      </c>
      <c r="D1375">
        <v>76.591262817</v>
      </c>
      <c r="E1375">
        <v>50</v>
      </c>
      <c r="F1375">
        <v>49.975883484000001</v>
      </c>
      <c r="G1375">
        <v>1327.4112548999999</v>
      </c>
      <c r="H1375">
        <v>1325.4802245999999</v>
      </c>
      <c r="I1375">
        <v>1339.2905272999999</v>
      </c>
      <c r="J1375">
        <v>1336.6160889</v>
      </c>
      <c r="K1375">
        <v>0</v>
      </c>
      <c r="L1375">
        <v>2750</v>
      </c>
      <c r="M1375">
        <v>2750</v>
      </c>
      <c r="N1375">
        <v>0</v>
      </c>
    </row>
    <row r="1376" spans="1:14" x14ac:dyDescent="0.25">
      <c r="A1376">
        <v>587.78045999999995</v>
      </c>
      <c r="B1376" s="1">
        <f>DATE(2011,12,9) + TIME(18,43,51)</f>
        <v>40886.780451388891</v>
      </c>
      <c r="C1376">
        <v>80</v>
      </c>
      <c r="D1376">
        <v>76.499221801999994</v>
      </c>
      <c r="E1376">
        <v>50</v>
      </c>
      <c r="F1376">
        <v>49.975875854000002</v>
      </c>
      <c r="G1376">
        <v>1327.369751</v>
      </c>
      <c r="H1376">
        <v>1325.4238281</v>
      </c>
      <c r="I1376">
        <v>1339.2844238</v>
      </c>
      <c r="J1376">
        <v>1336.6138916</v>
      </c>
      <c r="K1376">
        <v>0</v>
      </c>
      <c r="L1376">
        <v>2750</v>
      </c>
      <c r="M1376">
        <v>2750</v>
      </c>
      <c r="N1376">
        <v>0</v>
      </c>
    </row>
    <row r="1377" spans="1:14" x14ac:dyDescent="0.25">
      <c r="A1377">
        <v>589.00128299999994</v>
      </c>
      <c r="B1377" s="1">
        <f>DATE(2011,12,11) + TIME(0,1,50)</f>
        <v>40888.001273148147</v>
      </c>
      <c r="C1377">
        <v>80</v>
      </c>
      <c r="D1377">
        <v>76.405044556000007</v>
      </c>
      <c r="E1377">
        <v>50</v>
      </c>
      <c r="F1377">
        <v>49.97586441</v>
      </c>
      <c r="G1377">
        <v>1327.3280029</v>
      </c>
      <c r="H1377">
        <v>1325.3671875</v>
      </c>
      <c r="I1377">
        <v>1339.2784423999999</v>
      </c>
      <c r="J1377">
        <v>1336.6116943</v>
      </c>
      <c r="K1377">
        <v>0</v>
      </c>
      <c r="L1377">
        <v>2750</v>
      </c>
      <c r="M1377">
        <v>2750</v>
      </c>
      <c r="N1377">
        <v>0</v>
      </c>
    </row>
    <row r="1378" spans="1:14" x14ac:dyDescent="0.25">
      <c r="A1378">
        <v>590.25044400000002</v>
      </c>
      <c r="B1378" s="1">
        <f>DATE(2011,12,12) + TIME(6,0,38)</f>
        <v>40889.250439814816</v>
      </c>
      <c r="C1378">
        <v>80</v>
      </c>
      <c r="D1378">
        <v>76.308540343999994</v>
      </c>
      <c r="E1378">
        <v>50</v>
      </c>
      <c r="F1378">
        <v>49.975856780999997</v>
      </c>
      <c r="G1378">
        <v>1327.2860106999999</v>
      </c>
      <c r="H1378">
        <v>1325.3103027</v>
      </c>
      <c r="I1378">
        <v>1339.2725829999999</v>
      </c>
      <c r="J1378">
        <v>1336.6096190999999</v>
      </c>
      <c r="K1378">
        <v>0</v>
      </c>
      <c r="L1378">
        <v>2750</v>
      </c>
      <c r="M1378">
        <v>2750</v>
      </c>
      <c r="N1378">
        <v>0</v>
      </c>
    </row>
    <row r="1379" spans="1:14" x14ac:dyDescent="0.25">
      <c r="A1379">
        <v>591.53436899999997</v>
      </c>
      <c r="B1379" s="1">
        <f>DATE(2011,12,13) + TIME(12,49,29)</f>
        <v>40890.534363425926</v>
      </c>
      <c r="C1379">
        <v>80</v>
      </c>
      <c r="D1379">
        <v>76.209373474000003</v>
      </c>
      <c r="E1379">
        <v>50</v>
      </c>
      <c r="F1379">
        <v>49.975849152000002</v>
      </c>
      <c r="G1379">
        <v>1327.2438964999999</v>
      </c>
      <c r="H1379">
        <v>1325.2531738</v>
      </c>
      <c r="I1379">
        <v>1339.2667236</v>
      </c>
      <c r="J1379">
        <v>1336.6075439000001</v>
      </c>
      <c r="K1379">
        <v>0</v>
      </c>
      <c r="L1379">
        <v>2750</v>
      </c>
      <c r="M1379">
        <v>2750</v>
      </c>
      <c r="N1379">
        <v>0</v>
      </c>
    </row>
    <row r="1380" spans="1:14" x14ac:dyDescent="0.25">
      <c r="A1380">
        <v>592.84899800000005</v>
      </c>
      <c r="B1380" s="1">
        <f>DATE(2011,12,14) + TIME(20,22,33)</f>
        <v>40891.848993055559</v>
      </c>
      <c r="C1380">
        <v>80</v>
      </c>
      <c r="D1380">
        <v>76.107269286999994</v>
      </c>
      <c r="E1380">
        <v>50</v>
      </c>
      <c r="F1380">
        <v>49.975841522000003</v>
      </c>
      <c r="G1380">
        <v>1327.2012939000001</v>
      </c>
      <c r="H1380">
        <v>1325.1955565999999</v>
      </c>
      <c r="I1380">
        <v>1339.2608643000001</v>
      </c>
      <c r="J1380">
        <v>1336.6054687999999</v>
      </c>
      <c r="K1380">
        <v>0</v>
      </c>
      <c r="L1380">
        <v>2750</v>
      </c>
      <c r="M1380">
        <v>2750</v>
      </c>
      <c r="N1380">
        <v>0</v>
      </c>
    </row>
    <row r="1381" spans="1:14" x14ac:dyDescent="0.25">
      <c r="A1381">
        <v>594.19116399999996</v>
      </c>
      <c r="B1381" s="1">
        <f>DATE(2011,12,16) + TIME(4,35,16)</f>
        <v>40893.191157407404</v>
      </c>
      <c r="C1381">
        <v>80</v>
      </c>
      <c r="D1381">
        <v>76.002326964999995</v>
      </c>
      <c r="E1381">
        <v>50</v>
      </c>
      <c r="F1381">
        <v>49.975833893000001</v>
      </c>
      <c r="G1381">
        <v>1327.1584473</v>
      </c>
      <c r="H1381">
        <v>1325.1376952999999</v>
      </c>
      <c r="I1381">
        <v>1339.2550048999999</v>
      </c>
      <c r="J1381">
        <v>1336.6033935999999</v>
      </c>
      <c r="K1381">
        <v>0</v>
      </c>
      <c r="L1381">
        <v>2750</v>
      </c>
      <c r="M1381">
        <v>2750</v>
      </c>
      <c r="N1381">
        <v>0</v>
      </c>
    </row>
    <row r="1382" spans="1:14" x14ac:dyDescent="0.25">
      <c r="A1382">
        <v>595.57149900000002</v>
      </c>
      <c r="B1382" s="1">
        <f>DATE(2011,12,17) + TIME(13,42,57)</f>
        <v>40894.571493055555</v>
      </c>
      <c r="C1382">
        <v>80</v>
      </c>
      <c r="D1382">
        <v>75.894393921000002</v>
      </c>
      <c r="E1382">
        <v>50</v>
      </c>
      <c r="F1382">
        <v>49.975826263000002</v>
      </c>
      <c r="G1382">
        <v>1327.1153564000001</v>
      </c>
      <c r="H1382">
        <v>1325.0794678</v>
      </c>
      <c r="I1382">
        <v>1339.2492675999999</v>
      </c>
      <c r="J1382">
        <v>1336.6014404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597.00140299999998</v>
      </c>
      <c r="B1383" s="1">
        <f>DATE(2011,12,19) + TIME(0,2,1)</f>
        <v>40896.001400462963</v>
      </c>
      <c r="C1383">
        <v>80</v>
      </c>
      <c r="D1383">
        <v>75.782775878999999</v>
      </c>
      <c r="E1383">
        <v>50</v>
      </c>
      <c r="F1383">
        <v>49.975822448999999</v>
      </c>
      <c r="G1383">
        <v>1327.0718993999999</v>
      </c>
      <c r="H1383">
        <v>1325.020874</v>
      </c>
      <c r="I1383">
        <v>1339.2435303</v>
      </c>
      <c r="J1383">
        <v>1336.5994873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598.472892</v>
      </c>
      <c r="B1384" s="1">
        <f>DATE(2011,12,20) + TIME(11,20,57)</f>
        <v>40897.472881944443</v>
      </c>
      <c r="C1384">
        <v>80</v>
      </c>
      <c r="D1384">
        <v>75.666984557999996</v>
      </c>
      <c r="E1384">
        <v>50</v>
      </c>
      <c r="F1384">
        <v>49.975818633999999</v>
      </c>
      <c r="G1384">
        <v>1327.0277100000001</v>
      </c>
      <c r="H1384">
        <v>1324.9614257999999</v>
      </c>
      <c r="I1384">
        <v>1339.2376709</v>
      </c>
      <c r="J1384">
        <v>1336.5975341999999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599.95675600000004</v>
      </c>
      <c r="B1385" s="1">
        <f>DATE(2011,12,21) + TIME(22,57,43)</f>
        <v>40898.956747685188</v>
      </c>
      <c r="C1385">
        <v>80</v>
      </c>
      <c r="D1385">
        <v>75.547737122000001</v>
      </c>
      <c r="E1385">
        <v>50</v>
      </c>
      <c r="F1385">
        <v>49.975811004999997</v>
      </c>
      <c r="G1385">
        <v>1326.9830322</v>
      </c>
      <c r="H1385">
        <v>1324.9013672000001</v>
      </c>
      <c r="I1385">
        <v>1339.2318115</v>
      </c>
      <c r="J1385">
        <v>1336.5955810999999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601.46986200000003</v>
      </c>
      <c r="B1386" s="1">
        <f>DATE(2011,12,23) + TIME(11,16,36)</f>
        <v>40900.469861111109</v>
      </c>
      <c r="C1386">
        <v>80</v>
      </c>
      <c r="D1386">
        <v>75.425971985000004</v>
      </c>
      <c r="E1386">
        <v>50</v>
      </c>
      <c r="F1386">
        <v>49.975807189999998</v>
      </c>
      <c r="G1386">
        <v>1326.9385986</v>
      </c>
      <c r="H1386">
        <v>1324.8414307</v>
      </c>
      <c r="I1386">
        <v>1339.2260742000001</v>
      </c>
      <c r="J1386">
        <v>1336.5936279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603.02344500000004</v>
      </c>
      <c r="B1387" s="1">
        <f>DATE(2011,12,25) + TIME(0,33,45)</f>
        <v>40902.0234375</v>
      </c>
      <c r="C1387">
        <v>80</v>
      </c>
      <c r="D1387">
        <v>75.301040649000001</v>
      </c>
      <c r="E1387">
        <v>50</v>
      </c>
      <c r="F1387">
        <v>49.975803374999998</v>
      </c>
      <c r="G1387">
        <v>1326.894043</v>
      </c>
      <c r="H1387">
        <v>1324.7816161999999</v>
      </c>
      <c r="I1387">
        <v>1339.2204589999999</v>
      </c>
      <c r="J1387">
        <v>1336.5917969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604.615005</v>
      </c>
      <c r="B1388" s="1">
        <f>DATE(2011,12,26) + TIME(14,45,36)</f>
        <v>40903.614999999998</v>
      </c>
      <c r="C1388">
        <v>80</v>
      </c>
      <c r="D1388">
        <v>75.172363281000003</v>
      </c>
      <c r="E1388">
        <v>50</v>
      </c>
      <c r="F1388">
        <v>49.975799561000002</v>
      </c>
      <c r="G1388">
        <v>1326.8492432</v>
      </c>
      <c r="H1388">
        <v>1324.7214355000001</v>
      </c>
      <c r="I1388">
        <v>1339.2147216999999</v>
      </c>
      <c r="J1388">
        <v>1336.5899658000001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606.24645099999998</v>
      </c>
      <c r="B1389" s="1">
        <f>DATE(2011,12,28) + TIME(5,54,53)</f>
        <v>40905.246446759258</v>
      </c>
      <c r="C1389">
        <v>80</v>
      </c>
      <c r="D1389">
        <v>75.039810181000007</v>
      </c>
      <c r="E1389">
        <v>50</v>
      </c>
      <c r="F1389">
        <v>49.975795746000003</v>
      </c>
      <c r="G1389">
        <v>1326.8041992000001</v>
      </c>
      <c r="H1389">
        <v>1324.6610106999999</v>
      </c>
      <c r="I1389">
        <v>1339.2091064000001</v>
      </c>
      <c r="J1389">
        <v>1336.5881348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607.91510200000005</v>
      </c>
      <c r="B1390" s="1">
        <f>DATE(2011,12,29) + TIME(21,57,44)</f>
        <v>40906.915092592593</v>
      </c>
      <c r="C1390">
        <v>80</v>
      </c>
      <c r="D1390">
        <v>74.903144835999996</v>
      </c>
      <c r="E1390">
        <v>50</v>
      </c>
      <c r="F1390">
        <v>49.975795746000003</v>
      </c>
      <c r="G1390">
        <v>1326.7589111</v>
      </c>
      <c r="H1390">
        <v>1324.6002197</v>
      </c>
      <c r="I1390">
        <v>1339.2033690999999</v>
      </c>
      <c r="J1390">
        <v>1336.5861815999999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609.63476800000001</v>
      </c>
      <c r="B1391" s="1">
        <f>DATE(2011,12,31) + TIME(15,14,3)</f>
        <v>40908.634756944448</v>
      </c>
      <c r="C1391">
        <v>80</v>
      </c>
      <c r="D1391">
        <v>74.762214661000002</v>
      </c>
      <c r="E1391">
        <v>50</v>
      </c>
      <c r="F1391">
        <v>49.975795746000003</v>
      </c>
      <c r="G1391">
        <v>1326.7132568</v>
      </c>
      <c r="H1391">
        <v>1324.5393065999999</v>
      </c>
      <c r="I1391">
        <v>1339.1977539</v>
      </c>
      <c r="J1391">
        <v>1336.5844727000001</v>
      </c>
      <c r="K1391">
        <v>0</v>
      </c>
      <c r="L1391">
        <v>2750</v>
      </c>
      <c r="M1391">
        <v>2750</v>
      </c>
      <c r="N1391">
        <v>0</v>
      </c>
    </row>
    <row r="1392" spans="1:14" x14ac:dyDescent="0.25">
      <c r="A1392">
        <v>610</v>
      </c>
      <c r="B1392" s="1">
        <f>DATE(2012,1,1) + TIME(0,0,0)</f>
        <v>40909</v>
      </c>
      <c r="C1392">
        <v>80</v>
      </c>
      <c r="D1392">
        <v>74.683624268000003</v>
      </c>
      <c r="E1392">
        <v>50</v>
      </c>
      <c r="F1392">
        <v>49.975784302000001</v>
      </c>
      <c r="G1392">
        <v>1326.6697998</v>
      </c>
      <c r="H1392">
        <v>1324.4838867000001</v>
      </c>
      <c r="I1392">
        <v>1339.1918945</v>
      </c>
      <c r="J1392">
        <v>1336.5823975000001</v>
      </c>
      <c r="K1392">
        <v>0</v>
      </c>
      <c r="L1392">
        <v>2750</v>
      </c>
      <c r="M1392">
        <v>2750</v>
      </c>
      <c r="N1392">
        <v>0</v>
      </c>
    </row>
    <row r="1393" spans="1:14" x14ac:dyDescent="0.25">
      <c r="A1393">
        <v>611.78570300000001</v>
      </c>
      <c r="B1393" s="1">
        <f>DATE(2012,1,2) + TIME(18,51,24)</f>
        <v>40910.785694444443</v>
      </c>
      <c r="C1393">
        <v>80</v>
      </c>
      <c r="D1393">
        <v>74.574440002000003</v>
      </c>
      <c r="E1393">
        <v>50</v>
      </c>
      <c r="F1393">
        <v>49.975791931000003</v>
      </c>
      <c r="G1393">
        <v>1326.6522216999999</v>
      </c>
      <c r="H1393">
        <v>1324.4548339999999</v>
      </c>
      <c r="I1393">
        <v>1339.190918</v>
      </c>
      <c r="J1393">
        <v>1336.5821533000001</v>
      </c>
      <c r="K1393">
        <v>0</v>
      </c>
      <c r="L1393">
        <v>2750</v>
      </c>
      <c r="M1393">
        <v>2750</v>
      </c>
      <c r="N1393">
        <v>0</v>
      </c>
    </row>
    <row r="1394" spans="1:14" x14ac:dyDescent="0.25">
      <c r="A1394">
        <v>613.60584600000004</v>
      </c>
      <c r="B1394" s="1">
        <f>DATE(2012,1,4) + TIME(14,32,25)</f>
        <v>40912.605844907404</v>
      </c>
      <c r="C1394">
        <v>80</v>
      </c>
      <c r="D1394">
        <v>74.430778502999999</v>
      </c>
      <c r="E1394">
        <v>50</v>
      </c>
      <c r="F1394">
        <v>49.975795746000003</v>
      </c>
      <c r="G1394">
        <v>1326.6096190999999</v>
      </c>
      <c r="H1394">
        <v>1324.4001464999999</v>
      </c>
      <c r="I1394">
        <v>1339.1851807</v>
      </c>
      <c r="J1394">
        <v>1336.5803223</v>
      </c>
      <c r="K1394">
        <v>0</v>
      </c>
      <c r="L1394">
        <v>2750</v>
      </c>
      <c r="M1394">
        <v>2750</v>
      </c>
      <c r="N1394">
        <v>0</v>
      </c>
    </row>
    <row r="1395" spans="1:14" x14ac:dyDescent="0.25">
      <c r="A1395">
        <v>615.45676900000001</v>
      </c>
      <c r="B1395" s="1">
        <f>DATE(2012,1,6) + TIME(10,57,44)</f>
        <v>40914.456759259258</v>
      </c>
      <c r="C1395">
        <v>80</v>
      </c>
      <c r="D1395">
        <v>74.276420592999997</v>
      </c>
      <c r="E1395">
        <v>50</v>
      </c>
      <c r="F1395">
        <v>49.975795746000003</v>
      </c>
      <c r="G1395">
        <v>1326.5639647999999</v>
      </c>
      <c r="H1395">
        <v>1324.3393555</v>
      </c>
      <c r="I1395">
        <v>1339.1794434000001</v>
      </c>
      <c r="J1395">
        <v>1336.5784911999999</v>
      </c>
      <c r="K1395">
        <v>0</v>
      </c>
      <c r="L1395">
        <v>2750</v>
      </c>
      <c r="M1395">
        <v>2750</v>
      </c>
      <c r="N1395">
        <v>0</v>
      </c>
    </row>
    <row r="1396" spans="1:14" x14ac:dyDescent="0.25">
      <c r="A1396">
        <v>617.32974300000001</v>
      </c>
      <c r="B1396" s="1">
        <f>DATE(2012,1,8) + TIME(7,54,49)</f>
        <v>40916.329733796294</v>
      </c>
      <c r="C1396">
        <v>80</v>
      </c>
      <c r="D1396">
        <v>74.117149353000002</v>
      </c>
      <c r="E1396">
        <v>50</v>
      </c>
      <c r="F1396">
        <v>49.975795746000003</v>
      </c>
      <c r="G1396">
        <v>1326.5174560999999</v>
      </c>
      <c r="H1396">
        <v>1324.2774658000001</v>
      </c>
      <c r="I1396">
        <v>1339.1738281</v>
      </c>
      <c r="J1396">
        <v>1336.5766602000001</v>
      </c>
      <c r="K1396">
        <v>0</v>
      </c>
      <c r="L1396">
        <v>2750</v>
      </c>
      <c r="M1396">
        <v>2750</v>
      </c>
      <c r="N1396">
        <v>0</v>
      </c>
    </row>
    <row r="1397" spans="1:14" x14ac:dyDescent="0.25">
      <c r="A1397">
        <v>619.24013100000002</v>
      </c>
      <c r="B1397" s="1">
        <f>DATE(2012,1,10) + TIME(5,45,47)</f>
        <v>40918.240127314813</v>
      </c>
      <c r="C1397">
        <v>80</v>
      </c>
      <c r="D1397">
        <v>73.954368591000005</v>
      </c>
      <c r="E1397">
        <v>50</v>
      </c>
      <c r="F1397">
        <v>49.975799561000002</v>
      </c>
      <c r="G1397">
        <v>1326.4710693</v>
      </c>
      <c r="H1397">
        <v>1324.2155762</v>
      </c>
      <c r="I1397">
        <v>1339.1682129000001</v>
      </c>
      <c r="J1397">
        <v>1336.5749512</v>
      </c>
      <c r="K1397">
        <v>0</v>
      </c>
      <c r="L1397">
        <v>2750</v>
      </c>
      <c r="M1397">
        <v>2750</v>
      </c>
      <c r="N1397">
        <v>0</v>
      </c>
    </row>
    <row r="1398" spans="1:14" x14ac:dyDescent="0.25">
      <c r="A1398">
        <v>621.20398499999999</v>
      </c>
      <c r="B1398" s="1">
        <f>DATE(2012,1,12) + TIME(4,53,44)</f>
        <v>40920.203981481478</v>
      </c>
      <c r="C1398">
        <v>80</v>
      </c>
      <c r="D1398">
        <v>73.787307738999999</v>
      </c>
      <c r="E1398">
        <v>50</v>
      </c>
      <c r="F1398">
        <v>49.975803374999998</v>
      </c>
      <c r="G1398">
        <v>1326.4246826000001</v>
      </c>
      <c r="H1398">
        <v>1324.1536865</v>
      </c>
      <c r="I1398">
        <v>1339.1625977000001</v>
      </c>
      <c r="J1398">
        <v>1336.5731201000001</v>
      </c>
      <c r="K1398">
        <v>0</v>
      </c>
      <c r="L1398">
        <v>2750</v>
      </c>
      <c r="M1398">
        <v>2750</v>
      </c>
      <c r="N1398">
        <v>0</v>
      </c>
    </row>
    <row r="1399" spans="1:14" x14ac:dyDescent="0.25">
      <c r="A1399">
        <v>623.23893799999996</v>
      </c>
      <c r="B1399" s="1">
        <f>DATE(2012,1,14) + TIME(5,44,4)</f>
        <v>40922.238935185182</v>
      </c>
      <c r="C1399">
        <v>80</v>
      </c>
      <c r="D1399">
        <v>73.614654540999993</v>
      </c>
      <c r="E1399">
        <v>50</v>
      </c>
      <c r="F1399">
        <v>49.975807189999998</v>
      </c>
      <c r="G1399">
        <v>1326.3780518000001</v>
      </c>
      <c r="H1399">
        <v>1324.0915527</v>
      </c>
      <c r="I1399">
        <v>1339.1569824000001</v>
      </c>
      <c r="J1399">
        <v>1336.5712891000001</v>
      </c>
      <c r="K1399">
        <v>0</v>
      </c>
      <c r="L1399">
        <v>2750</v>
      </c>
      <c r="M1399">
        <v>2750</v>
      </c>
      <c r="N1399">
        <v>0</v>
      </c>
    </row>
    <row r="1400" spans="1:14" x14ac:dyDescent="0.25">
      <c r="A1400">
        <v>625.36320799999999</v>
      </c>
      <c r="B1400" s="1">
        <f>DATE(2012,1,16) + TIME(8,43,1)</f>
        <v>40924.363206018519</v>
      </c>
      <c r="C1400">
        <v>80</v>
      </c>
      <c r="D1400">
        <v>73.434875488000003</v>
      </c>
      <c r="E1400">
        <v>50</v>
      </c>
      <c r="F1400">
        <v>49.975811004999997</v>
      </c>
      <c r="G1400">
        <v>1326.3308105000001</v>
      </c>
      <c r="H1400">
        <v>1324.0285644999999</v>
      </c>
      <c r="I1400">
        <v>1339.1512451000001</v>
      </c>
      <c r="J1400">
        <v>1336.5694579999999</v>
      </c>
      <c r="K1400">
        <v>0</v>
      </c>
      <c r="L1400">
        <v>2750</v>
      </c>
      <c r="M1400">
        <v>2750</v>
      </c>
      <c r="N1400">
        <v>0</v>
      </c>
    </row>
    <row r="1401" spans="1:14" x14ac:dyDescent="0.25">
      <c r="A1401">
        <v>627.50552700000003</v>
      </c>
      <c r="B1401" s="1">
        <f>DATE(2012,1,18) + TIME(12,7,57)</f>
        <v>40926.505520833336</v>
      </c>
      <c r="C1401">
        <v>80</v>
      </c>
      <c r="D1401">
        <v>73.247734070000007</v>
      </c>
      <c r="E1401">
        <v>50</v>
      </c>
      <c r="F1401">
        <v>49.975818633999999</v>
      </c>
      <c r="G1401">
        <v>1326.2827147999999</v>
      </c>
      <c r="H1401">
        <v>1323.9645995999999</v>
      </c>
      <c r="I1401">
        <v>1339.1455077999999</v>
      </c>
      <c r="J1401">
        <v>1336.5676269999999</v>
      </c>
      <c r="K1401">
        <v>0</v>
      </c>
      <c r="L1401">
        <v>2750</v>
      </c>
      <c r="M1401">
        <v>2750</v>
      </c>
      <c r="N1401">
        <v>0</v>
      </c>
    </row>
    <row r="1402" spans="1:14" x14ac:dyDescent="0.25">
      <c r="A1402">
        <v>629.66100200000005</v>
      </c>
      <c r="B1402" s="1">
        <f>DATE(2012,1,20) + TIME(15,51,50)</f>
        <v>40928.660995370374</v>
      </c>
      <c r="C1402">
        <v>80</v>
      </c>
      <c r="D1402">
        <v>73.057212829999997</v>
      </c>
      <c r="E1402">
        <v>50</v>
      </c>
      <c r="F1402">
        <v>49.975822448999999</v>
      </c>
      <c r="G1402">
        <v>1326.2346190999999</v>
      </c>
      <c r="H1402">
        <v>1323.9006348</v>
      </c>
      <c r="I1402">
        <v>1339.1397704999999</v>
      </c>
      <c r="J1402">
        <v>1336.5656738</v>
      </c>
      <c r="K1402">
        <v>0</v>
      </c>
      <c r="L1402">
        <v>2750</v>
      </c>
      <c r="M1402">
        <v>2750</v>
      </c>
      <c r="N1402">
        <v>0</v>
      </c>
    </row>
    <row r="1403" spans="1:14" x14ac:dyDescent="0.25">
      <c r="A1403">
        <v>631.85213599999997</v>
      </c>
      <c r="B1403" s="1">
        <f>DATE(2012,1,22) + TIME(20,27,4)</f>
        <v>40930.852129629631</v>
      </c>
      <c r="C1403">
        <v>80</v>
      </c>
      <c r="D1403">
        <v>72.863998413000004</v>
      </c>
      <c r="E1403">
        <v>50</v>
      </c>
      <c r="F1403">
        <v>49.975830078000001</v>
      </c>
      <c r="G1403">
        <v>1326.1870117000001</v>
      </c>
      <c r="H1403">
        <v>1323.8372803</v>
      </c>
      <c r="I1403">
        <v>1339.1341553</v>
      </c>
      <c r="J1403">
        <v>1336.5638428</v>
      </c>
      <c r="K1403">
        <v>0</v>
      </c>
      <c r="L1403">
        <v>2750</v>
      </c>
      <c r="M1403">
        <v>2750</v>
      </c>
      <c r="N1403">
        <v>0</v>
      </c>
    </row>
    <row r="1404" spans="1:14" x14ac:dyDescent="0.25">
      <c r="A1404">
        <v>634.09809299999995</v>
      </c>
      <c r="B1404" s="1">
        <f>DATE(2012,1,25) + TIME(2,21,15)</f>
        <v>40933.098090277781</v>
      </c>
      <c r="C1404">
        <v>80</v>
      </c>
      <c r="D1404">
        <v>72.666633606000005</v>
      </c>
      <c r="E1404">
        <v>50</v>
      </c>
      <c r="F1404">
        <v>49.975837708</v>
      </c>
      <c r="G1404">
        <v>1326.1397704999999</v>
      </c>
      <c r="H1404">
        <v>1323.7744141000001</v>
      </c>
      <c r="I1404">
        <v>1339.1285399999999</v>
      </c>
      <c r="J1404">
        <v>1336.5620117000001</v>
      </c>
      <c r="K1404">
        <v>0</v>
      </c>
      <c r="L1404">
        <v>2750</v>
      </c>
      <c r="M1404">
        <v>2750</v>
      </c>
      <c r="N1404">
        <v>0</v>
      </c>
    </row>
    <row r="1405" spans="1:14" x14ac:dyDescent="0.25">
      <c r="A1405">
        <v>636.41959399999996</v>
      </c>
      <c r="B1405" s="1">
        <f>DATE(2012,1,27) + TIME(10,4,12)</f>
        <v>40935.419583333336</v>
      </c>
      <c r="C1405">
        <v>80</v>
      </c>
      <c r="D1405">
        <v>72.463432311999995</v>
      </c>
      <c r="E1405">
        <v>50</v>
      </c>
      <c r="F1405">
        <v>49.975849152000002</v>
      </c>
      <c r="G1405">
        <v>1326.0925293</v>
      </c>
      <c r="H1405">
        <v>1323.7114257999999</v>
      </c>
      <c r="I1405">
        <v>1339.1228027</v>
      </c>
      <c r="J1405">
        <v>1336.5600586</v>
      </c>
      <c r="K1405">
        <v>0</v>
      </c>
      <c r="L1405">
        <v>2750</v>
      </c>
      <c r="M1405">
        <v>2750</v>
      </c>
      <c r="N1405">
        <v>0</v>
      </c>
    </row>
    <row r="1406" spans="1:14" x14ac:dyDescent="0.25">
      <c r="A1406">
        <v>638.80303200000003</v>
      </c>
      <c r="B1406" s="1">
        <f>DATE(2012,1,29) + TIME(19,16,21)</f>
        <v>40937.803020833337</v>
      </c>
      <c r="C1406">
        <v>80</v>
      </c>
      <c r="D1406">
        <v>72.253021239999995</v>
      </c>
      <c r="E1406">
        <v>50</v>
      </c>
      <c r="F1406">
        <v>49.975856780999997</v>
      </c>
      <c r="G1406">
        <v>1326.0447998</v>
      </c>
      <c r="H1406">
        <v>1323.6480713000001</v>
      </c>
      <c r="I1406">
        <v>1339.1170654</v>
      </c>
      <c r="J1406">
        <v>1336.5581055</v>
      </c>
      <c r="K1406">
        <v>0</v>
      </c>
      <c r="L1406">
        <v>2750</v>
      </c>
      <c r="M1406">
        <v>2750</v>
      </c>
      <c r="N1406">
        <v>0</v>
      </c>
    </row>
    <row r="1407" spans="1:14" x14ac:dyDescent="0.25">
      <c r="A1407">
        <v>641</v>
      </c>
      <c r="B1407" s="1">
        <f>DATE(2012,2,1) + TIME(0,0,0)</f>
        <v>40940</v>
      </c>
      <c r="C1407">
        <v>80</v>
      </c>
      <c r="D1407">
        <v>72.039878845000004</v>
      </c>
      <c r="E1407">
        <v>50</v>
      </c>
      <c r="F1407">
        <v>49.97586441</v>
      </c>
      <c r="G1407">
        <v>1325.9967041</v>
      </c>
      <c r="H1407">
        <v>1323.5844727000001</v>
      </c>
      <c r="I1407">
        <v>1339.1113281</v>
      </c>
      <c r="J1407">
        <v>1336.5561522999999</v>
      </c>
      <c r="K1407">
        <v>0</v>
      </c>
      <c r="L1407">
        <v>2750</v>
      </c>
      <c r="M1407">
        <v>2750</v>
      </c>
      <c r="N1407">
        <v>0</v>
      </c>
    </row>
    <row r="1408" spans="1:14" x14ac:dyDescent="0.25">
      <c r="A1408">
        <v>643.46511299999997</v>
      </c>
      <c r="B1408" s="1">
        <f>DATE(2012,2,3) + TIME(11,9,45)</f>
        <v>40942.465104166666</v>
      </c>
      <c r="C1408">
        <v>80</v>
      </c>
      <c r="D1408">
        <v>71.832519531000003</v>
      </c>
      <c r="E1408">
        <v>50</v>
      </c>
      <c r="F1408">
        <v>49.975879669000001</v>
      </c>
      <c r="G1408">
        <v>1325.9517822</v>
      </c>
      <c r="H1408">
        <v>1323.5239257999999</v>
      </c>
      <c r="I1408">
        <v>1339.1060791</v>
      </c>
      <c r="J1408">
        <v>1336.5543213000001</v>
      </c>
      <c r="K1408">
        <v>0</v>
      </c>
      <c r="L1408">
        <v>2750</v>
      </c>
      <c r="M1408">
        <v>2750</v>
      </c>
      <c r="N1408">
        <v>0</v>
      </c>
    </row>
    <row r="1409" spans="1:14" x14ac:dyDescent="0.25">
      <c r="A1409">
        <v>645.98616300000003</v>
      </c>
      <c r="B1409" s="1">
        <f>DATE(2012,2,5) + TIME(23,40,4)</f>
        <v>40944.986157407409</v>
      </c>
      <c r="C1409">
        <v>80</v>
      </c>
      <c r="D1409">
        <v>71.608268738000007</v>
      </c>
      <c r="E1409">
        <v>50</v>
      </c>
      <c r="F1409">
        <v>49.975891113000003</v>
      </c>
      <c r="G1409">
        <v>1325.9049072</v>
      </c>
      <c r="H1409">
        <v>1323.4621582</v>
      </c>
      <c r="I1409">
        <v>1339.1003418</v>
      </c>
      <c r="J1409">
        <v>1336.5523682</v>
      </c>
      <c r="K1409">
        <v>0</v>
      </c>
      <c r="L1409">
        <v>2750</v>
      </c>
      <c r="M1409">
        <v>2750</v>
      </c>
      <c r="N1409">
        <v>0</v>
      </c>
    </row>
    <row r="1410" spans="1:14" x14ac:dyDescent="0.25">
      <c r="A1410">
        <v>648.56267000000003</v>
      </c>
      <c r="B1410" s="1">
        <f>DATE(2012,2,8) + TIME(13,30,14)</f>
        <v>40947.562662037039</v>
      </c>
      <c r="C1410">
        <v>80</v>
      </c>
      <c r="D1410">
        <v>71.376159668</v>
      </c>
      <c r="E1410">
        <v>50</v>
      </c>
      <c r="F1410">
        <v>49.975906371999997</v>
      </c>
      <c r="G1410">
        <v>1325.8571777</v>
      </c>
      <c r="H1410">
        <v>1323.3989257999999</v>
      </c>
      <c r="I1410">
        <v>1339.0946045000001</v>
      </c>
      <c r="J1410">
        <v>1336.550293</v>
      </c>
      <c r="K1410">
        <v>0</v>
      </c>
      <c r="L1410">
        <v>2750</v>
      </c>
      <c r="M1410">
        <v>2750</v>
      </c>
      <c r="N1410">
        <v>0</v>
      </c>
    </row>
    <row r="1411" spans="1:14" x14ac:dyDescent="0.25">
      <c r="A1411">
        <v>651.18966499999999</v>
      </c>
      <c r="B1411" s="1">
        <f>DATE(2012,2,11) + TIME(4,33,7)</f>
        <v>40950.189664351848</v>
      </c>
      <c r="C1411">
        <v>80</v>
      </c>
      <c r="D1411">
        <v>71.137809752999999</v>
      </c>
      <c r="E1411">
        <v>50</v>
      </c>
      <c r="F1411">
        <v>49.975921630999999</v>
      </c>
      <c r="G1411">
        <v>1325.8093262</v>
      </c>
      <c r="H1411">
        <v>1323.3353271000001</v>
      </c>
      <c r="I1411">
        <v>1339.0887451000001</v>
      </c>
      <c r="J1411">
        <v>1336.5482178</v>
      </c>
      <c r="K1411">
        <v>0</v>
      </c>
      <c r="L1411">
        <v>2750</v>
      </c>
      <c r="M1411">
        <v>2750</v>
      </c>
      <c r="N1411">
        <v>0</v>
      </c>
    </row>
    <row r="1412" spans="1:14" x14ac:dyDescent="0.25">
      <c r="A1412">
        <v>653.88100499999996</v>
      </c>
      <c r="B1412" s="1">
        <f>DATE(2012,2,13) + TIME(21,8,38)</f>
        <v>40952.880995370368</v>
      </c>
      <c r="C1412">
        <v>80</v>
      </c>
      <c r="D1412">
        <v>70.893501282000003</v>
      </c>
      <c r="E1412">
        <v>50</v>
      </c>
      <c r="F1412">
        <v>49.97593689</v>
      </c>
      <c r="G1412">
        <v>1325.7614745999999</v>
      </c>
      <c r="H1412">
        <v>1323.2718506000001</v>
      </c>
      <c r="I1412">
        <v>1339.0830077999999</v>
      </c>
      <c r="J1412">
        <v>1336.5460204999999</v>
      </c>
      <c r="K1412">
        <v>0</v>
      </c>
      <c r="L1412">
        <v>2750</v>
      </c>
      <c r="M1412">
        <v>2750</v>
      </c>
      <c r="N1412">
        <v>0</v>
      </c>
    </row>
    <row r="1413" spans="1:14" x14ac:dyDescent="0.25">
      <c r="A1413">
        <v>656.66713400000003</v>
      </c>
      <c r="B1413" s="1">
        <f>DATE(2012,2,16) + TIME(16,0,40)</f>
        <v>40955.667129629626</v>
      </c>
      <c r="C1413">
        <v>80</v>
      </c>
      <c r="D1413">
        <v>70.642051696999999</v>
      </c>
      <c r="E1413">
        <v>50</v>
      </c>
      <c r="F1413">
        <v>49.975952147999998</v>
      </c>
      <c r="G1413">
        <v>1325.713501</v>
      </c>
      <c r="H1413">
        <v>1323.2081298999999</v>
      </c>
      <c r="I1413">
        <v>1339.0771483999999</v>
      </c>
      <c r="J1413">
        <v>1336.5438231999999</v>
      </c>
      <c r="K1413">
        <v>0</v>
      </c>
      <c r="L1413">
        <v>2750</v>
      </c>
      <c r="M1413">
        <v>2750</v>
      </c>
      <c r="N1413">
        <v>0</v>
      </c>
    </row>
    <row r="1414" spans="1:14" x14ac:dyDescent="0.25">
      <c r="A1414">
        <v>659.56197099999997</v>
      </c>
      <c r="B1414" s="1">
        <f>DATE(2012,2,19) + TIME(13,29,14)</f>
        <v>40958.561967592592</v>
      </c>
      <c r="C1414">
        <v>80</v>
      </c>
      <c r="D1414">
        <v>70.381057738999999</v>
      </c>
      <c r="E1414">
        <v>50</v>
      </c>
      <c r="F1414">
        <v>49.975971221999998</v>
      </c>
      <c r="G1414">
        <v>1325.6651611</v>
      </c>
      <c r="H1414">
        <v>1323.144043</v>
      </c>
      <c r="I1414">
        <v>1339.0711670000001</v>
      </c>
      <c r="J1414">
        <v>1336.541626</v>
      </c>
      <c r="K1414">
        <v>0</v>
      </c>
      <c r="L1414">
        <v>2750</v>
      </c>
      <c r="M1414">
        <v>2750</v>
      </c>
      <c r="N1414">
        <v>0</v>
      </c>
    </row>
    <row r="1415" spans="1:14" x14ac:dyDescent="0.25">
      <c r="A1415">
        <v>662.47555999999997</v>
      </c>
      <c r="B1415" s="1">
        <f>DATE(2012,2,22) + TIME(11,24,48)</f>
        <v>40961.475555555553</v>
      </c>
      <c r="C1415">
        <v>80</v>
      </c>
      <c r="D1415">
        <v>70.110137938999998</v>
      </c>
      <c r="E1415">
        <v>50</v>
      </c>
      <c r="F1415">
        <v>49.975990295000003</v>
      </c>
      <c r="G1415">
        <v>1325.6160889</v>
      </c>
      <c r="H1415">
        <v>1323.0791016000001</v>
      </c>
      <c r="I1415">
        <v>1339.0650635</v>
      </c>
      <c r="J1415">
        <v>1336.5393065999999</v>
      </c>
      <c r="K1415">
        <v>0</v>
      </c>
      <c r="L1415">
        <v>2750</v>
      </c>
      <c r="M1415">
        <v>2750</v>
      </c>
      <c r="N1415">
        <v>0</v>
      </c>
    </row>
    <row r="1416" spans="1:14" x14ac:dyDescent="0.25">
      <c r="A1416">
        <v>665.45264599999996</v>
      </c>
      <c r="B1416" s="1">
        <f>DATE(2012,2,25) + TIME(10,51,48)</f>
        <v>40964.452638888892</v>
      </c>
      <c r="C1416">
        <v>80</v>
      </c>
      <c r="D1416">
        <v>69.834503174000005</v>
      </c>
      <c r="E1416">
        <v>50</v>
      </c>
      <c r="F1416">
        <v>49.976009369000003</v>
      </c>
      <c r="G1416">
        <v>1325.5673827999999</v>
      </c>
      <c r="H1416">
        <v>1323.0142822</v>
      </c>
      <c r="I1416">
        <v>1339.0589600000001</v>
      </c>
      <c r="J1416">
        <v>1336.5368652</v>
      </c>
      <c r="K1416">
        <v>0</v>
      </c>
      <c r="L1416">
        <v>2750</v>
      </c>
      <c r="M1416">
        <v>2750</v>
      </c>
      <c r="N1416">
        <v>0</v>
      </c>
    </row>
    <row r="1417" spans="1:14" x14ac:dyDescent="0.25">
      <c r="A1417">
        <v>668.46258599999999</v>
      </c>
      <c r="B1417" s="1">
        <f>DATE(2012,2,28) + TIME(11,6,7)</f>
        <v>40967.462581018517</v>
      </c>
      <c r="C1417">
        <v>80</v>
      </c>
      <c r="D1417">
        <v>69.552452087000006</v>
      </c>
      <c r="E1417">
        <v>50</v>
      </c>
      <c r="F1417">
        <v>49.976032257</v>
      </c>
      <c r="G1417">
        <v>1325.5189209</v>
      </c>
      <c r="H1417">
        <v>1322.9499512</v>
      </c>
      <c r="I1417">
        <v>1339.0529785000001</v>
      </c>
      <c r="J1417">
        <v>1336.5344238</v>
      </c>
      <c r="K1417">
        <v>0</v>
      </c>
      <c r="L1417">
        <v>2750</v>
      </c>
      <c r="M1417">
        <v>2750</v>
      </c>
      <c r="N1417">
        <v>0</v>
      </c>
    </row>
    <row r="1418" spans="1:14" x14ac:dyDescent="0.25">
      <c r="A1418">
        <v>670</v>
      </c>
      <c r="B1418" s="1">
        <f>DATE(2012,3,1) + TIME(0,0,0)</f>
        <v>40969</v>
      </c>
      <c r="C1418">
        <v>80</v>
      </c>
      <c r="D1418">
        <v>69.298118591000005</v>
      </c>
      <c r="E1418">
        <v>50</v>
      </c>
      <c r="F1418">
        <v>49.976028442</v>
      </c>
      <c r="G1418">
        <v>1325.4713135</v>
      </c>
      <c r="H1418">
        <v>1322.8878173999999</v>
      </c>
      <c r="I1418">
        <v>1339.046875</v>
      </c>
      <c r="J1418">
        <v>1336.5319824000001</v>
      </c>
      <c r="K1418">
        <v>0</v>
      </c>
      <c r="L1418">
        <v>2750</v>
      </c>
      <c r="M1418">
        <v>2750</v>
      </c>
      <c r="N1418">
        <v>0</v>
      </c>
    </row>
    <row r="1419" spans="1:14" x14ac:dyDescent="0.25">
      <c r="A1419">
        <v>673.07266600000003</v>
      </c>
      <c r="B1419" s="1">
        <f>DATE(2012,3,4) + TIME(1,44,38)</f>
        <v>40972.072662037041</v>
      </c>
      <c r="C1419">
        <v>80</v>
      </c>
      <c r="D1419">
        <v>69.103569031000006</v>
      </c>
      <c r="E1419">
        <v>50</v>
      </c>
      <c r="F1419">
        <v>49.976062775000003</v>
      </c>
      <c r="G1419">
        <v>1325.440918</v>
      </c>
      <c r="H1419">
        <v>1322.8428954999999</v>
      </c>
      <c r="I1419">
        <v>1339.0438231999999</v>
      </c>
      <c r="J1419">
        <v>1336.5307617000001</v>
      </c>
      <c r="K1419">
        <v>0</v>
      </c>
      <c r="L1419">
        <v>2750</v>
      </c>
      <c r="M1419">
        <v>2750</v>
      </c>
      <c r="N1419">
        <v>0</v>
      </c>
    </row>
    <row r="1420" spans="1:14" x14ac:dyDescent="0.25">
      <c r="A1420">
        <v>676.29719699999998</v>
      </c>
      <c r="B1420" s="1">
        <f>DATE(2012,3,7) + TIME(7,7,57)</f>
        <v>40975.2971875</v>
      </c>
      <c r="C1420">
        <v>80</v>
      </c>
      <c r="D1420">
        <v>68.819412231000001</v>
      </c>
      <c r="E1420">
        <v>50</v>
      </c>
      <c r="F1420">
        <v>49.976089477999999</v>
      </c>
      <c r="G1420">
        <v>1325.3985596</v>
      </c>
      <c r="H1420">
        <v>1322.7893065999999</v>
      </c>
      <c r="I1420">
        <v>1339.0378418</v>
      </c>
      <c r="J1420">
        <v>1336.5281981999999</v>
      </c>
      <c r="K1420">
        <v>0</v>
      </c>
      <c r="L1420">
        <v>2750</v>
      </c>
      <c r="M1420">
        <v>2750</v>
      </c>
      <c r="N1420">
        <v>0</v>
      </c>
    </row>
    <row r="1421" spans="1:14" x14ac:dyDescent="0.25">
      <c r="A1421">
        <v>679.56386199999997</v>
      </c>
      <c r="B1421" s="1">
        <f>DATE(2012,3,10) + TIME(13,31,57)</f>
        <v>40978.563854166663</v>
      </c>
      <c r="C1421">
        <v>80</v>
      </c>
      <c r="D1421">
        <v>68.511413574000002</v>
      </c>
      <c r="E1421">
        <v>50</v>
      </c>
      <c r="F1421">
        <v>49.976116179999998</v>
      </c>
      <c r="G1421">
        <v>1325.3513184000001</v>
      </c>
      <c r="H1421">
        <v>1322.7270507999999</v>
      </c>
      <c r="I1421">
        <v>1339.0316161999999</v>
      </c>
      <c r="J1421">
        <v>1336.5256348</v>
      </c>
      <c r="K1421">
        <v>0</v>
      </c>
      <c r="L1421">
        <v>2750</v>
      </c>
      <c r="M1421">
        <v>2750</v>
      </c>
      <c r="N1421">
        <v>0</v>
      </c>
    </row>
    <row r="1422" spans="1:14" x14ac:dyDescent="0.25">
      <c r="A1422">
        <v>682.90414399999997</v>
      </c>
      <c r="B1422" s="1">
        <f>DATE(2012,3,13) + TIME(21,41,58)</f>
        <v>40981.904143518521</v>
      </c>
      <c r="C1422">
        <v>80</v>
      </c>
      <c r="D1422">
        <v>68.195068359000004</v>
      </c>
      <c r="E1422">
        <v>50</v>
      </c>
      <c r="F1422">
        <v>49.976142883000001</v>
      </c>
      <c r="G1422">
        <v>1325.3035889</v>
      </c>
      <c r="H1422">
        <v>1322.6635742000001</v>
      </c>
      <c r="I1422">
        <v>1339.0253906</v>
      </c>
      <c r="J1422">
        <v>1336.5228271000001</v>
      </c>
      <c r="K1422">
        <v>0</v>
      </c>
      <c r="L1422">
        <v>2750</v>
      </c>
      <c r="M1422">
        <v>2750</v>
      </c>
      <c r="N1422">
        <v>0</v>
      </c>
    </row>
    <row r="1423" spans="1:14" x14ac:dyDescent="0.25">
      <c r="A1423">
        <v>686.32414000000006</v>
      </c>
      <c r="B1423" s="1">
        <f>DATE(2012,3,17) + TIME(7,46,45)</f>
        <v>40985.324131944442</v>
      </c>
      <c r="C1423">
        <v>80</v>
      </c>
      <c r="D1423">
        <v>67.869865417</v>
      </c>
      <c r="E1423">
        <v>50</v>
      </c>
      <c r="F1423">
        <v>49.976169585999997</v>
      </c>
      <c r="G1423">
        <v>1325.2559814000001</v>
      </c>
      <c r="H1423">
        <v>1322.6000977000001</v>
      </c>
      <c r="I1423">
        <v>1339.019043</v>
      </c>
      <c r="J1423">
        <v>1336.5201416</v>
      </c>
      <c r="K1423">
        <v>0</v>
      </c>
      <c r="L1423">
        <v>2750</v>
      </c>
      <c r="M1423">
        <v>2750</v>
      </c>
      <c r="N1423">
        <v>0</v>
      </c>
    </row>
    <row r="1424" spans="1:14" x14ac:dyDescent="0.25">
      <c r="A1424">
        <v>689.82218999999998</v>
      </c>
      <c r="B1424" s="1">
        <f>DATE(2012,3,20) + TIME(19,43,57)</f>
        <v>40988.822187500002</v>
      </c>
      <c r="C1424">
        <v>80</v>
      </c>
      <c r="D1424">
        <v>67.535255432</v>
      </c>
      <c r="E1424">
        <v>50</v>
      </c>
      <c r="F1424">
        <v>49.976196289000001</v>
      </c>
      <c r="G1424">
        <v>1325.2084961</v>
      </c>
      <c r="H1424">
        <v>1322.5368652</v>
      </c>
      <c r="I1424">
        <v>1339.0126952999999</v>
      </c>
      <c r="J1424">
        <v>1336.5172118999999</v>
      </c>
      <c r="K1424">
        <v>0</v>
      </c>
      <c r="L1424">
        <v>2750</v>
      </c>
      <c r="M1424">
        <v>2750</v>
      </c>
      <c r="N1424">
        <v>0</v>
      </c>
    </row>
    <row r="1425" spans="1:14" x14ac:dyDescent="0.25">
      <c r="A1425">
        <v>693.42700200000002</v>
      </c>
      <c r="B1425" s="1">
        <f>DATE(2012,3,24) + TIME(10,14,52)</f>
        <v>40992.426990740743</v>
      </c>
      <c r="C1425">
        <v>80</v>
      </c>
      <c r="D1425">
        <v>67.190803528000004</v>
      </c>
      <c r="E1425">
        <v>50</v>
      </c>
      <c r="F1425">
        <v>49.976226807000003</v>
      </c>
      <c r="G1425">
        <v>1325.1611327999999</v>
      </c>
      <c r="H1425">
        <v>1322.4736327999999</v>
      </c>
      <c r="I1425">
        <v>1339.0063477000001</v>
      </c>
      <c r="J1425">
        <v>1336.5142822</v>
      </c>
      <c r="K1425">
        <v>0</v>
      </c>
      <c r="L1425">
        <v>2750</v>
      </c>
      <c r="M1425">
        <v>2750</v>
      </c>
      <c r="N1425">
        <v>0</v>
      </c>
    </row>
    <row r="1426" spans="1:14" x14ac:dyDescent="0.25">
      <c r="A1426">
        <v>697.13551700000005</v>
      </c>
      <c r="B1426" s="1">
        <f>DATE(2012,3,28) + TIME(3,15,8)</f>
        <v>40996.135509259257</v>
      </c>
      <c r="C1426">
        <v>80</v>
      </c>
      <c r="D1426">
        <v>66.833808899000005</v>
      </c>
      <c r="E1426">
        <v>50</v>
      </c>
      <c r="F1426">
        <v>49.976261139000002</v>
      </c>
      <c r="G1426">
        <v>1325.1137695</v>
      </c>
      <c r="H1426">
        <v>1322.4104004000001</v>
      </c>
      <c r="I1426">
        <v>1338.9997559000001</v>
      </c>
      <c r="J1426">
        <v>1336.5112305</v>
      </c>
      <c r="K1426">
        <v>0</v>
      </c>
      <c r="L1426">
        <v>2750</v>
      </c>
      <c r="M1426">
        <v>2750</v>
      </c>
      <c r="N1426">
        <v>0</v>
      </c>
    </row>
    <row r="1427" spans="1:14" x14ac:dyDescent="0.25">
      <c r="A1427">
        <v>699.06775900000002</v>
      </c>
      <c r="B1427" s="1">
        <f>DATE(2012,3,30) + TIME(1,37,34)</f>
        <v>40998.067754629628</v>
      </c>
      <c r="C1427">
        <v>80</v>
      </c>
      <c r="D1427">
        <v>66.499740600999999</v>
      </c>
      <c r="E1427">
        <v>50</v>
      </c>
      <c r="F1427">
        <v>49.976264954000001</v>
      </c>
      <c r="G1427">
        <v>1325.0664062000001</v>
      </c>
      <c r="H1427">
        <v>1322.3485106999999</v>
      </c>
      <c r="I1427">
        <v>1338.9931641000001</v>
      </c>
      <c r="J1427">
        <v>1336.5080565999999</v>
      </c>
      <c r="K1427">
        <v>0</v>
      </c>
      <c r="L1427">
        <v>2750</v>
      </c>
      <c r="M1427">
        <v>2750</v>
      </c>
      <c r="N1427">
        <v>0</v>
      </c>
    </row>
    <row r="1428" spans="1:14" x14ac:dyDescent="0.25">
      <c r="A1428">
        <v>701</v>
      </c>
      <c r="B1428" s="1">
        <f>DATE(2012,4,1) + TIME(0,0,0)</f>
        <v>41000</v>
      </c>
      <c r="C1428">
        <v>80</v>
      </c>
      <c r="D1428">
        <v>66.278152465999995</v>
      </c>
      <c r="E1428">
        <v>50</v>
      </c>
      <c r="F1428">
        <v>49.976280211999999</v>
      </c>
      <c r="G1428">
        <v>1325.0363769999999</v>
      </c>
      <c r="H1428">
        <v>1322.3043213000001</v>
      </c>
      <c r="I1428">
        <v>1338.9897461</v>
      </c>
      <c r="J1428">
        <v>1336.5063477000001</v>
      </c>
      <c r="K1428">
        <v>0</v>
      </c>
      <c r="L1428">
        <v>2750</v>
      </c>
      <c r="M1428">
        <v>2750</v>
      </c>
      <c r="N1428">
        <v>0</v>
      </c>
    </row>
    <row r="1429" spans="1:14" x14ac:dyDescent="0.25">
      <c r="A1429">
        <v>704.80355999999995</v>
      </c>
      <c r="B1429" s="1">
        <f>DATE(2012,4,4) + TIME(19,17,7)</f>
        <v>41003.803553240738</v>
      </c>
      <c r="C1429">
        <v>80</v>
      </c>
      <c r="D1429">
        <v>66.057350158999995</v>
      </c>
      <c r="E1429">
        <v>50</v>
      </c>
      <c r="F1429">
        <v>49.976325989000003</v>
      </c>
      <c r="G1429">
        <v>1325.0111084</v>
      </c>
      <c r="H1429">
        <v>1322.2687988</v>
      </c>
      <c r="I1429">
        <v>1338.9864502</v>
      </c>
      <c r="J1429">
        <v>1336.5047606999999</v>
      </c>
      <c r="K1429">
        <v>0</v>
      </c>
      <c r="L1429">
        <v>2750</v>
      </c>
      <c r="M1429">
        <v>2750</v>
      </c>
      <c r="N1429">
        <v>0</v>
      </c>
    </row>
    <row r="1430" spans="1:14" x14ac:dyDescent="0.25">
      <c r="A1430">
        <v>708.66712299999995</v>
      </c>
      <c r="B1430" s="1">
        <f>DATE(2012,4,8) + TIME(16,0,39)</f>
        <v>41007.667118055557</v>
      </c>
      <c r="C1430">
        <v>80</v>
      </c>
      <c r="D1430">
        <v>65.689590453999998</v>
      </c>
      <c r="E1430">
        <v>50</v>
      </c>
      <c r="F1430">
        <v>49.976364136000001</v>
      </c>
      <c r="G1430">
        <v>1324.9713135</v>
      </c>
      <c r="H1430">
        <v>1322.2189940999999</v>
      </c>
      <c r="I1430">
        <v>1338.9797363</v>
      </c>
      <c r="J1430">
        <v>1336.5014647999999</v>
      </c>
      <c r="K1430">
        <v>0</v>
      </c>
      <c r="L1430">
        <v>2750</v>
      </c>
      <c r="M1430">
        <v>2750</v>
      </c>
      <c r="N1430">
        <v>0</v>
      </c>
    </row>
    <row r="1431" spans="1:14" x14ac:dyDescent="0.25">
      <c r="A1431">
        <v>712.66235200000006</v>
      </c>
      <c r="B1431" s="1">
        <f>DATE(2012,4,12) + TIME(15,53,47)</f>
        <v>41011.662349537037</v>
      </c>
      <c r="C1431">
        <v>80</v>
      </c>
      <c r="D1431">
        <v>65.299140929999993</v>
      </c>
      <c r="E1431">
        <v>50</v>
      </c>
      <c r="F1431">
        <v>49.976402282999999</v>
      </c>
      <c r="G1431">
        <v>1324.9268798999999</v>
      </c>
      <c r="H1431">
        <v>1322.159668</v>
      </c>
      <c r="I1431">
        <v>1338.9731445</v>
      </c>
      <c r="J1431">
        <v>1336.4981689000001</v>
      </c>
      <c r="K1431">
        <v>0</v>
      </c>
      <c r="L1431">
        <v>2750</v>
      </c>
      <c r="M1431">
        <v>2750</v>
      </c>
      <c r="N1431">
        <v>0</v>
      </c>
    </row>
    <row r="1432" spans="1:14" x14ac:dyDescent="0.25">
      <c r="A1432">
        <v>716.78222900000003</v>
      </c>
      <c r="B1432" s="1">
        <f>DATE(2012,4,16) + TIME(18,46,24)</f>
        <v>41015.782222222224</v>
      </c>
      <c r="C1432">
        <v>80</v>
      </c>
      <c r="D1432">
        <v>64.891601562000005</v>
      </c>
      <c r="E1432">
        <v>50</v>
      </c>
      <c r="F1432">
        <v>49.976440429999997</v>
      </c>
      <c r="G1432">
        <v>1324.8819579999999</v>
      </c>
      <c r="H1432">
        <v>1322.0996094</v>
      </c>
      <c r="I1432">
        <v>1338.9663086</v>
      </c>
      <c r="J1432">
        <v>1336.4946289</v>
      </c>
      <c r="K1432">
        <v>0</v>
      </c>
      <c r="L1432">
        <v>2750</v>
      </c>
      <c r="M1432">
        <v>2750</v>
      </c>
      <c r="N1432">
        <v>0</v>
      </c>
    </row>
    <row r="1433" spans="1:14" x14ac:dyDescent="0.25">
      <c r="A1433">
        <v>721.02114300000005</v>
      </c>
      <c r="B1433" s="1">
        <f>DATE(2012,4,21) + TIME(0,30,26)</f>
        <v>41020.021134259259</v>
      </c>
      <c r="C1433">
        <v>80</v>
      </c>
      <c r="D1433">
        <v>64.471496582</v>
      </c>
      <c r="E1433">
        <v>50</v>
      </c>
      <c r="F1433">
        <v>49.976482390999998</v>
      </c>
      <c r="G1433">
        <v>1324.8372803</v>
      </c>
      <c r="H1433">
        <v>1322.0394286999999</v>
      </c>
      <c r="I1433">
        <v>1338.9594727000001</v>
      </c>
      <c r="J1433">
        <v>1336.4909668</v>
      </c>
      <c r="K1433">
        <v>0</v>
      </c>
      <c r="L1433">
        <v>2750</v>
      </c>
      <c r="M1433">
        <v>2750</v>
      </c>
      <c r="N1433">
        <v>0</v>
      </c>
    </row>
    <row r="1434" spans="1:14" x14ac:dyDescent="0.25">
      <c r="A1434">
        <v>725.31632500000001</v>
      </c>
      <c r="B1434" s="1">
        <f>DATE(2012,4,25) + TIME(7,35,30)</f>
        <v>41024.316319444442</v>
      </c>
      <c r="C1434">
        <v>80</v>
      </c>
      <c r="D1434">
        <v>64.030693053999997</v>
      </c>
      <c r="E1434">
        <v>50</v>
      </c>
      <c r="F1434">
        <v>49.976520538000003</v>
      </c>
      <c r="G1434">
        <v>1324.7928466999999</v>
      </c>
      <c r="H1434">
        <v>1321.9794922000001</v>
      </c>
      <c r="I1434">
        <v>1338.9523925999999</v>
      </c>
      <c r="J1434">
        <v>1336.4871826000001</v>
      </c>
      <c r="K1434">
        <v>0</v>
      </c>
      <c r="L1434">
        <v>2750</v>
      </c>
      <c r="M1434">
        <v>2750</v>
      </c>
      <c r="N1434">
        <v>0</v>
      </c>
    </row>
    <row r="1435" spans="1:14" x14ac:dyDescent="0.25">
      <c r="A1435">
        <v>727.50423999999998</v>
      </c>
      <c r="B1435" s="1">
        <f>DATE(2012,4,27) + TIME(12,6,6)</f>
        <v>41026.504236111112</v>
      </c>
      <c r="C1435">
        <v>80</v>
      </c>
      <c r="D1435">
        <v>63.636539458999998</v>
      </c>
      <c r="E1435">
        <v>50</v>
      </c>
      <c r="F1435">
        <v>49.976531981999997</v>
      </c>
      <c r="G1435">
        <v>1324.7487793</v>
      </c>
      <c r="H1435">
        <v>1321.9213867000001</v>
      </c>
      <c r="I1435">
        <v>1338.9453125</v>
      </c>
      <c r="J1435">
        <v>1336.4833983999999</v>
      </c>
      <c r="K1435">
        <v>0</v>
      </c>
      <c r="L1435">
        <v>2750</v>
      </c>
      <c r="M1435">
        <v>2750</v>
      </c>
      <c r="N1435">
        <v>0</v>
      </c>
    </row>
    <row r="1436" spans="1:14" x14ac:dyDescent="0.25">
      <c r="A1436">
        <v>729.25211999999999</v>
      </c>
      <c r="B1436" s="1">
        <f>DATE(2012,4,29) + TIME(6,3,3)</f>
        <v>41028.252118055556</v>
      </c>
      <c r="C1436">
        <v>80</v>
      </c>
      <c r="D1436">
        <v>63.375061035000002</v>
      </c>
      <c r="E1436">
        <v>50</v>
      </c>
      <c r="F1436">
        <v>49.976543427000003</v>
      </c>
      <c r="G1436">
        <v>1324.7225341999999</v>
      </c>
      <c r="H1436">
        <v>1321.8825684000001</v>
      </c>
      <c r="I1436">
        <v>1338.9417725000001</v>
      </c>
      <c r="J1436">
        <v>1336.4813231999999</v>
      </c>
      <c r="K1436">
        <v>0</v>
      </c>
      <c r="L1436">
        <v>2750</v>
      </c>
      <c r="M1436">
        <v>2750</v>
      </c>
      <c r="N1436">
        <v>0</v>
      </c>
    </row>
    <row r="1437" spans="1:14" x14ac:dyDescent="0.25">
      <c r="A1437">
        <v>731</v>
      </c>
      <c r="B1437" s="1">
        <f>DATE(2012,5,1) + TIME(0,0,0)</f>
        <v>41030</v>
      </c>
      <c r="C1437">
        <v>80</v>
      </c>
      <c r="D1437">
        <v>63.185165404999999</v>
      </c>
      <c r="E1437">
        <v>50</v>
      </c>
      <c r="F1437">
        <v>49.976558685000001</v>
      </c>
      <c r="G1437">
        <v>1324.7043457</v>
      </c>
      <c r="H1437">
        <v>1321.8565673999999</v>
      </c>
      <c r="I1437">
        <v>1338.9389647999999</v>
      </c>
      <c r="J1437">
        <v>1336.4797363</v>
      </c>
      <c r="K1437">
        <v>0</v>
      </c>
      <c r="L1437">
        <v>2750</v>
      </c>
      <c r="M1437">
        <v>2750</v>
      </c>
      <c r="N1437">
        <v>0</v>
      </c>
    </row>
    <row r="1438" spans="1:14" x14ac:dyDescent="0.25">
      <c r="A1438">
        <v>731.000001</v>
      </c>
      <c r="B1438" s="1">
        <f>DATE(2012,5,1) + TIME(0,0,0)</f>
        <v>41030</v>
      </c>
      <c r="C1438">
        <v>80</v>
      </c>
      <c r="D1438">
        <v>63.185348511000001</v>
      </c>
      <c r="E1438">
        <v>50</v>
      </c>
      <c r="F1438">
        <v>49.976463318</v>
      </c>
      <c r="G1438">
        <v>1328.5422363</v>
      </c>
      <c r="H1438">
        <v>1325.8115233999999</v>
      </c>
      <c r="I1438">
        <v>1335.7296143000001</v>
      </c>
      <c r="J1438">
        <v>1333.7944336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731.00000399999999</v>
      </c>
      <c r="B1439" s="1">
        <f>DATE(2012,5,1) + TIME(0,0,0)</f>
        <v>41030</v>
      </c>
      <c r="C1439">
        <v>80</v>
      </c>
      <c r="D1439">
        <v>63.185657501000001</v>
      </c>
      <c r="E1439">
        <v>50</v>
      </c>
      <c r="F1439">
        <v>49.976318358999997</v>
      </c>
      <c r="G1439">
        <v>1329.9438477000001</v>
      </c>
      <c r="H1439">
        <v>1327.3572998</v>
      </c>
      <c r="I1439">
        <v>1334.5578613</v>
      </c>
      <c r="J1439">
        <v>1332.6228027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731.00001299999997</v>
      </c>
      <c r="B1440" s="1">
        <f>DATE(2012,5,1) + TIME(0,0,1)</f>
        <v>41030.000011574077</v>
      </c>
      <c r="C1440">
        <v>80</v>
      </c>
      <c r="D1440">
        <v>63.186183929000002</v>
      </c>
      <c r="E1440">
        <v>50</v>
      </c>
      <c r="F1440">
        <v>49.976150513</v>
      </c>
      <c r="G1440">
        <v>1331.6450195</v>
      </c>
      <c r="H1440">
        <v>1329.0300293</v>
      </c>
      <c r="I1440">
        <v>1333.2293701000001</v>
      </c>
      <c r="J1440">
        <v>1331.2949219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731.00004000000001</v>
      </c>
      <c r="B1441" s="1">
        <f>DATE(2012,5,1) + TIME(0,0,3)</f>
        <v>41030.000034722223</v>
      </c>
      <c r="C1441">
        <v>80</v>
      </c>
      <c r="D1441">
        <v>63.187347412000001</v>
      </c>
      <c r="E1441">
        <v>50</v>
      </c>
      <c r="F1441">
        <v>49.975982666</v>
      </c>
      <c r="G1441">
        <v>1333.3735352000001</v>
      </c>
      <c r="H1441">
        <v>1330.6855469</v>
      </c>
      <c r="I1441">
        <v>1331.9287108999999</v>
      </c>
      <c r="J1441">
        <v>1329.9946289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731.00012100000004</v>
      </c>
      <c r="B1442" s="1">
        <f>DATE(2012,5,1) + TIME(0,0,10)</f>
        <v>41030.000115740739</v>
      </c>
      <c r="C1442">
        <v>80</v>
      </c>
      <c r="D1442">
        <v>63.190460205000001</v>
      </c>
      <c r="E1442">
        <v>50</v>
      </c>
      <c r="F1442">
        <v>49.975811004999997</v>
      </c>
      <c r="G1442">
        <v>1335.0678711</v>
      </c>
      <c r="H1442">
        <v>1332.3100586</v>
      </c>
      <c r="I1442">
        <v>1330.6496582</v>
      </c>
      <c r="J1442">
        <v>1328.7097168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731.00036399999999</v>
      </c>
      <c r="B1443" s="1">
        <f>DATE(2012,5,1) + TIME(0,0,31)</f>
        <v>41030.000358796293</v>
      </c>
      <c r="C1443">
        <v>80</v>
      </c>
      <c r="D1443">
        <v>63.199584960999999</v>
      </c>
      <c r="E1443">
        <v>50</v>
      </c>
      <c r="F1443">
        <v>49.975616455000001</v>
      </c>
      <c r="G1443">
        <v>1336.7327881000001</v>
      </c>
      <c r="H1443">
        <v>1333.9042969</v>
      </c>
      <c r="I1443">
        <v>1329.347168</v>
      </c>
      <c r="J1443">
        <v>1327.3829346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731.00109299999997</v>
      </c>
      <c r="B1444" s="1">
        <f>DATE(2012,5,1) + TIME(0,1,34)</f>
        <v>41030.001087962963</v>
      </c>
      <c r="C1444">
        <v>80</v>
      </c>
      <c r="D1444">
        <v>63.227100372000002</v>
      </c>
      <c r="E1444">
        <v>50</v>
      </c>
      <c r="F1444">
        <v>49.975364685000002</v>
      </c>
      <c r="G1444">
        <v>1338.2554932</v>
      </c>
      <c r="H1444">
        <v>1335.3608397999999</v>
      </c>
      <c r="I1444">
        <v>1328.0517577999999</v>
      </c>
      <c r="J1444">
        <v>1326.0504149999999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731.00328000000002</v>
      </c>
      <c r="B1445" s="1">
        <f>DATE(2012,5,1) + TIME(0,4,43)</f>
        <v>41030.003275462965</v>
      </c>
      <c r="C1445">
        <v>80</v>
      </c>
      <c r="D1445">
        <v>63.310020446999999</v>
      </c>
      <c r="E1445">
        <v>50</v>
      </c>
      <c r="F1445">
        <v>49.974964141999997</v>
      </c>
      <c r="G1445">
        <v>1339.3775635</v>
      </c>
      <c r="H1445">
        <v>1336.4431152</v>
      </c>
      <c r="I1445">
        <v>1326.9860839999999</v>
      </c>
      <c r="J1445">
        <v>1324.9597168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731.00984100000005</v>
      </c>
      <c r="B1446" s="1">
        <f>DATE(2012,5,1) + TIME(0,14,10)</f>
        <v>41030.009837962964</v>
      </c>
      <c r="C1446">
        <v>80</v>
      </c>
      <c r="D1446">
        <v>63.555858612000002</v>
      </c>
      <c r="E1446">
        <v>50</v>
      </c>
      <c r="F1446">
        <v>49.974086761000002</v>
      </c>
      <c r="G1446">
        <v>1339.9471435999999</v>
      </c>
      <c r="H1446">
        <v>1337.0097656</v>
      </c>
      <c r="I1446">
        <v>1326.4112548999999</v>
      </c>
      <c r="J1446">
        <v>1324.3760986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731.02641900000003</v>
      </c>
      <c r="B1447" s="1">
        <f>DATE(2012,5,1) + TIME(0,38,2)</f>
        <v>41030.026412037034</v>
      </c>
      <c r="C1447">
        <v>80</v>
      </c>
      <c r="D1447">
        <v>64.153732300000001</v>
      </c>
      <c r="E1447">
        <v>50</v>
      </c>
      <c r="F1447">
        <v>49.972068786999998</v>
      </c>
      <c r="G1447">
        <v>1340.0743408000001</v>
      </c>
      <c r="H1447">
        <v>1337.1641846</v>
      </c>
      <c r="I1447">
        <v>1326.2706298999999</v>
      </c>
      <c r="J1447">
        <v>1324.2337646000001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731.04328799999996</v>
      </c>
      <c r="B1448" s="1">
        <f>DATE(2012,5,1) + TIME(1,2,20)</f>
        <v>41030.043287037035</v>
      </c>
      <c r="C1448">
        <v>80</v>
      </c>
      <c r="D1448">
        <v>64.741523743000002</v>
      </c>
      <c r="E1448">
        <v>50</v>
      </c>
      <c r="F1448">
        <v>49.970046996999997</v>
      </c>
      <c r="G1448">
        <v>1340.0875243999999</v>
      </c>
      <c r="H1448">
        <v>1337.1918945</v>
      </c>
      <c r="I1448">
        <v>1326.2589111</v>
      </c>
      <c r="J1448">
        <v>1324.2216797000001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731.060475</v>
      </c>
      <c r="B1449" s="1">
        <f>DATE(2012,5,1) + TIME(1,27,5)</f>
        <v>41030.060474537036</v>
      </c>
      <c r="C1449">
        <v>80</v>
      </c>
      <c r="D1449">
        <v>65.319869995000005</v>
      </c>
      <c r="E1449">
        <v>50</v>
      </c>
      <c r="F1449">
        <v>49.967998504999997</v>
      </c>
      <c r="G1449">
        <v>1340.0812988</v>
      </c>
      <c r="H1449">
        <v>1337.1992187999999</v>
      </c>
      <c r="I1449">
        <v>1326.2589111</v>
      </c>
      <c r="J1449">
        <v>1324.2216797000001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731.07799499999999</v>
      </c>
      <c r="B1450" s="1">
        <f>DATE(2012,5,1) + TIME(1,52,18)</f>
        <v>41030.077986111108</v>
      </c>
      <c r="C1450">
        <v>80</v>
      </c>
      <c r="D1450">
        <v>65.888786315999994</v>
      </c>
      <c r="E1450">
        <v>50</v>
      </c>
      <c r="F1450">
        <v>49.965927123999997</v>
      </c>
      <c r="G1450">
        <v>1340.0740966999999</v>
      </c>
      <c r="H1450">
        <v>1337.2042236</v>
      </c>
      <c r="I1450">
        <v>1326.2593993999999</v>
      </c>
      <c r="J1450">
        <v>1324.222168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731.09586300000001</v>
      </c>
      <c r="B1451" s="1">
        <f>DATE(2012,5,1) + TIME(2,18,2)</f>
        <v>41030.095856481479</v>
      </c>
      <c r="C1451">
        <v>80</v>
      </c>
      <c r="D1451">
        <v>66.448249817000004</v>
      </c>
      <c r="E1451">
        <v>50</v>
      </c>
      <c r="F1451">
        <v>49.963832855</v>
      </c>
      <c r="G1451">
        <v>1340.0686035000001</v>
      </c>
      <c r="H1451">
        <v>1337.2098389</v>
      </c>
      <c r="I1451">
        <v>1326.2596435999999</v>
      </c>
      <c r="J1451">
        <v>1324.2222899999999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731.11409500000002</v>
      </c>
      <c r="B1452" s="1">
        <f>DATE(2012,5,1) + TIME(2,44,17)</f>
        <v>41030.114085648151</v>
      </c>
      <c r="C1452">
        <v>80</v>
      </c>
      <c r="D1452">
        <v>66.998275757000002</v>
      </c>
      <c r="E1452">
        <v>50</v>
      </c>
      <c r="F1452">
        <v>49.961708068999997</v>
      </c>
      <c r="G1452">
        <v>1340.0654297000001</v>
      </c>
      <c r="H1452">
        <v>1337.2165527</v>
      </c>
      <c r="I1452">
        <v>1326.2597656</v>
      </c>
      <c r="J1452">
        <v>1324.2224120999999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731.13270899999998</v>
      </c>
      <c r="B1453" s="1">
        <f>DATE(2012,5,1) + TIME(3,11,6)</f>
        <v>41030.132708333331</v>
      </c>
      <c r="C1453">
        <v>80</v>
      </c>
      <c r="D1453">
        <v>67.538848877000007</v>
      </c>
      <c r="E1453">
        <v>50</v>
      </c>
      <c r="F1453">
        <v>49.959552764999998</v>
      </c>
      <c r="G1453">
        <v>1340.0646973</v>
      </c>
      <c r="H1453">
        <v>1337.2244873</v>
      </c>
      <c r="I1453">
        <v>1326.2598877</v>
      </c>
      <c r="J1453">
        <v>1324.2224120999999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731.15172099999995</v>
      </c>
      <c r="B1454" s="1">
        <f>DATE(2012,5,1) + TIME(3,38,28)</f>
        <v>41030.151712962965</v>
      </c>
      <c r="C1454">
        <v>80</v>
      </c>
      <c r="D1454">
        <v>68.069923400999997</v>
      </c>
      <c r="E1454">
        <v>50</v>
      </c>
      <c r="F1454">
        <v>49.957370758000003</v>
      </c>
      <c r="G1454">
        <v>1340.0661620999999</v>
      </c>
      <c r="H1454">
        <v>1337.2336425999999</v>
      </c>
      <c r="I1454">
        <v>1326.2600098</v>
      </c>
      <c r="J1454">
        <v>1324.2225341999999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731.17115000000001</v>
      </c>
      <c r="B1455" s="1">
        <f>DATE(2012,5,1) + TIME(4,6,27)</f>
        <v>41030.17114583333</v>
      </c>
      <c r="C1455">
        <v>80</v>
      </c>
      <c r="D1455">
        <v>68.591461182000003</v>
      </c>
      <c r="E1455">
        <v>50</v>
      </c>
      <c r="F1455">
        <v>49.955154419000003</v>
      </c>
      <c r="G1455">
        <v>1340.0699463000001</v>
      </c>
      <c r="H1455">
        <v>1337.2440185999999</v>
      </c>
      <c r="I1455">
        <v>1326.2600098</v>
      </c>
      <c r="J1455">
        <v>1324.2225341999999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731.19101899999998</v>
      </c>
      <c r="B1456" s="1">
        <f>DATE(2012,5,1) + TIME(4,35,4)</f>
        <v>41030.191018518519</v>
      </c>
      <c r="C1456">
        <v>80</v>
      </c>
      <c r="D1456">
        <v>69.103378296000002</v>
      </c>
      <c r="E1456">
        <v>50</v>
      </c>
      <c r="F1456">
        <v>49.952907562</v>
      </c>
      <c r="G1456">
        <v>1340.0758057</v>
      </c>
      <c r="H1456">
        <v>1337.2553711</v>
      </c>
      <c r="I1456">
        <v>1326.2601318</v>
      </c>
      <c r="J1456">
        <v>1324.2225341999999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731.21134500000005</v>
      </c>
      <c r="B1457" s="1">
        <f>DATE(2012,5,1) + TIME(5,4,20)</f>
        <v>41030.211342592593</v>
      </c>
      <c r="C1457">
        <v>80</v>
      </c>
      <c r="D1457">
        <v>69.605545043999996</v>
      </c>
      <c r="E1457">
        <v>50</v>
      </c>
      <c r="F1457">
        <v>49.950622559000003</v>
      </c>
      <c r="G1457">
        <v>1340.0836182</v>
      </c>
      <c r="H1457">
        <v>1337.2679443</v>
      </c>
      <c r="I1457">
        <v>1326.2601318</v>
      </c>
      <c r="J1457">
        <v>1324.2224120999999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731.23215100000004</v>
      </c>
      <c r="B1458" s="1">
        <f>DATE(2012,5,1) + TIME(5,34,17)</f>
        <v>41030.232141203705</v>
      </c>
      <c r="C1458">
        <v>80</v>
      </c>
      <c r="D1458">
        <v>70.097747803000004</v>
      </c>
      <c r="E1458">
        <v>50</v>
      </c>
      <c r="F1458">
        <v>49.948303223000003</v>
      </c>
      <c r="G1458">
        <v>1340.0935059000001</v>
      </c>
      <c r="H1458">
        <v>1337.2814940999999</v>
      </c>
      <c r="I1458">
        <v>1326.2601318</v>
      </c>
      <c r="J1458">
        <v>1324.2224120999999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731.25346500000001</v>
      </c>
      <c r="B1459" s="1">
        <f>DATE(2012,5,1) + TIME(6,4,59)</f>
        <v>41030.253460648149</v>
      </c>
      <c r="C1459">
        <v>80</v>
      </c>
      <c r="D1459">
        <v>70.579727172999995</v>
      </c>
      <c r="E1459">
        <v>50</v>
      </c>
      <c r="F1459">
        <v>49.945945739999999</v>
      </c>
      <c r="G1459">
        <v>1340.1052245999999</v>
      </c>
      <c r="H1459">
        <v>1337.2960204999999</v>
      </c>
      <c r="I1459">
        <v>1326.2601318</v>
      </c>
      <c r="J1459">
        <v>1324.2224120999999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731.27531299999998</v>
      </c>
      <c r="B1460" s="1">
        <f>DATE(2012,5,1) + TIME(6,36,27)</f>
        <v>41030.275312500002</v>
      </c>
      <c r="C1460">
        <v>80</v>
      </c>
      <c r="D1460">
        <v>71.051589965999995</v>
      </c>
      <c r="E1460">
        <v>50</v>
      </c>
      <c r="F1460">
        <v>49.943546294999997</v>
      </c>
      <c r="G1460">
        <v>1340.1186522999999</v>
      </c>
      <c r="H1460">
        <v>1337.3115233999999</v>
      </c>
      <c r="I1460">
        <v>1326.2601318</v>
      </c>
      <c r="J1460">
        <v>1324.2222899999999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731.29772300000002</v>
      </c>
      <c r="B1461" s="1">
        <f>DATE(2012,5,1) + TIME(7,8,43)</f>
        <v>41030.297719907408</v>
      </c>
      <c r="C1461">
        <v>80</v>
      </c>
      <c r="D1461">
        <v>71.513198853000006</v>
      </c>
      <c r="E1461">
        <v>50</v>
      </c>
      <c r="F1461">
        <v>49.941104889000002</v>
      </c>
      <c r="G1461">
        <v>1340.1339111</v>
      </c>
      <c r="H1461">
        <v>1337.3278809000001</v>
      </c>
      <c r="I1461">
        <v>1326.2601318</v>
      </c>
      <c r="J1461">
        <v>1324.222168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731.32072700000003</v>
      </c>
      <c r="B1462" s="1">
        <f>DATE(2012,5,1) + TIME(7,41,50)</f>
        <v>41030.320717592593</v>
      </c>
      <c r="C1462">
        <v>80</v>
      </c>
      <c r="D1462">
        <v>71.964370728000006</v>
      </c>
      <c r="E1462">
        <v>50</v>
      </c>
      <c r="F1462">
        <v>49.938617706000002</v>
      </c>
      <c r="G1462">
        <v>1340.1506348</v>
      </c>
      <c r="H1462">
        <v>1337.3450928</v>
      </c>
      <c r="I1462">
        <v>1326.2601318</v>
      </c>
      <c r="J1462">
        <v>1324.222168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731.34435599999995</v>
      </c>
      <c r="B1463" s="1">
        <f>DATE(2012,5,1) + TIME(8,15,52)</f>
        <v>41030.344351851854</v>
      </c>
      <c r="C1463">
        <v>80</v>
      </c>
      <c r="D1463">
        <v>72.404922485</v>
      </c>
      <c r="E1463">
        <v>50</v>
      </c>
      <c r="F1463">
        <v>49.936084747000002</v>
      </c>
      <c r="G1463">
        <v>1340.1689452999999</v>
      </c>
      <c r="H1463">
        <v>1337.3630370999999</v>
      </c>
      <c r="I1463">
        <v>1326.2601318</v>
      </c>
      <c r="J1463">
        <v>1324.2220459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731.36863000000005</v>
      </c>
      <c r="B1464" s="1">
        <f>DATE(2012,5,1) + TIME(8,50,49)</f>
        <v>41030.368622685186</v>
      </c>
      <c r="C1464">
        <v>80</v>
      </c>
      <c r="D1464">
        <v>72.834365844999994</v>
      </c>
      <c r="E1464">
        <v>50</v>
      </c>
      <c r="F1464">
        <v>49.933498383</v>
      </c>
      <c r="G1464">
        <v>1340.1888428</v>
      </c>
      <c r="H1464">
        <v>1337.3818358999999</v>
      </c>
      <c r="I1464">
        <v>1326.2601318</v>
      </c>
      <c r="J1464">
        <v>1324.2219238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731.39354300000002</v>
      </c>
      <c r="B1465" s="1">
        <f>DATE(2012,5,1) + TIME(9,26,42)</f>
        <v>41030.393541666665</v>
      </c>
      <c r="C1465">
        <v>80</v>
      </c>
      <c r="D1465">
        <v>73.251869201999995</v>
      </c>
      <c r="E1465">
        <v>50</v>
      </c>
      <c r="F1465">
        <v>49.930870056000003</v>
      </c>
      <c r="G1465">
        <v>1340.2100829999999</v>
      </c>
      <c r="H1465">
        <v>1337.4013672000001</v>
      </c>
      <c r="I1465">
        <v>1326.2600098</v>
      </c>
      <c r="J1465">
        <v>1324.2218018000001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731.41913499999998</v>
      </c>
      <c r="B1466" s="1">
        <f>DATE(2012,5,1) + TIME(10,3,33)</f>
        <v>41030.419131944444</v>
      </c>
      <c r="C1466">
        <v>80</v>
      </c>
      <c r="D1466">
        <v>73.657333374000004</v>
      </c>
      <c r="E1466">
        <v>50</v>
      </c>
      <c r="F1466">
        <v>49.928192138999997</v>
      </c>
      <c r="G1466">
        <v>1340.2326660000001</v>
      </c>
      <c r="H1466">
        <v>1337.4215088000001</v>
      </c>
      <c r="I1466">
        <v>1326.2600098</v>
      </c>
      <c r="J1466">
        <v>1324.2216797000001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731.44544199999996</v>
      </c>
      <c r="B1467" s="1">
        <f>DATE(2012,5,1) + TIME(10,41,26)</f>
        <v>41030.445439814815</v>
      </c>
      <c r="C1467">
        <v>80</v>
      </c>
      <c r="D1467">
        <v>74.050590514999996</v>
      </c>
      <c r="E1467">
        <v>50</v>
      </c>
      <c r="F1467">
        <v>49.925457000999998</v>
      </c>
      <c r="G1467">
        <v>1340.2563477000001</v>
      </c>
      <c r="H1467">
        <v>1337.4421387</v>
      </c>
      <c r="I1467">
        <v>1326.2598877</v>
      </c>
      <c r="J1467">
        <v>1324.2214355000001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731.47250599999995</v>
      </c>
      <c r="B1468" s="1">
        <f>DATE(2012,5,1) + TIME(11,20,24)</f>
        <v>41030.472500000003</v>
      </c>
      <c r="C1468">
        <v>80</v>
      </c>
      <c r="D1468">
        <v>74.431465149000005</v>
      </c>
      <c r="E1468">
        <v>50</v>
      </c>
      <c r="F1468">
        <v>49.922672272</v>
      </c>
      <c r="G1468">
        <v>1340.2811279</v>
      </c>
      <c r="H1468">
        <v>1337.4633789</v>
      </c>
      <c r="I1468">
        <v>1326.2598877</v>
      </c>
      <c r="J1468">
        <v>1324.2213135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731.50036999999998</v>
      </c>
      <c r="B1469" s="1">
        <f>DATE(2012,5,1) + TIME(12,0,31)</f>
        <v>41030.500358796293</v>
      </c>
      <c r="C1469">
        <v>80</v>
      </c>
      <c r="D1469">
        <v>74.799781799000002</v>
      </c>
      <c r="E1469">
        <v>50</v>
      </c>
      <c r="F1469">
        <v>49.919826508</v>
      </c>
      <c r="G1469">
        <v>1340.3068848</v>
      </c>
      <c r="H1469">
        <v>1337.4851074000001</v>
      </c>
      <c r="I1469">
        <v>1326.2597656</v>
      </c>
      <c r="J1469">
        <v>1324.2210693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731.52907900000002</v>
      </c>
      <c r="B1470" s="1">
        <f>DATE(2012,5,1) + TIME(12,41,52)</f>
        <v>41030.529074074075</v>
      </c>
      <c r="C1470">
        <v>80</v>
      </c>
      <c r="D1470">
        <v>75.155250549000002</v>
      </c>
      <c r="E1470">
        <v>50</v>
      </c>
      <c r="F1470">
        <v>49.916915893999999</v>
      </c>
      <c r="G1470">
        <v>1340.3336182</v>
      </c>
      <c r="H1470">
        <v>1337.5072021000001</v>
      </c>
      <c r="I1470">
        <v>1326.2596435999999</v>
      </c>
      <c r="J1470">
        <v>1324.2209473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731.55868499999997</v>
      </c>
      <c r="B1471" s="1">
        <f>DATE(2012,5,1) + TIME(13,24,30)</f>
        <v>41030.558680555558</v>
      </c>
      <c r="C1471">
        <v>80</v>
      </c>
      <c r="D1471">
        <v>75.497673035000005</v>
      </c>
      <c r="E1471">
        <v>50</v>
      </c>
      <c r="F1471">
        <v>49.913944244</v>
      </c>
      <c r="G1471">
        <v>1340.3610839999999</v>
      </c>
      <c r="H1471">
        <v>1337.5296631000001</v>
      </c>
      <c r="I1471">
        <v>1326.2595214999999</v>
      </c>
      <c r="J1471">
        <v>1324.2207031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731.58924100000002</v>
      </c>
      <c r="B1472" s="1">
        <f>DATE(2012,5,1) + TIME(14,8,30)</f>
        <v>41030.589236111111</v>
      </c>
      <c r="C1472">
        <v>80</v>
      </c>
      <c r="D1472">
        <v>75.827041625999996</v>
      </c>
      <c r="E1472">
        <v>50</v>
      </c>
      <c r="F1472">
        <v>49.910900116000001</v>
      </c>
      <c r="G1472">
        <v>1340.3894043</v>
      </c>
      <c r="H1472">
        <v>1337.5524902</v>
      </c>
      <c r="I1472">
        <v>1326.2593993999999</v>
      </c>
      <c r="J1472">
        <v>1324.2205810999999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731.62080800000001</v>
      </c>
      <c r="B1473" s="1">
        <f>DATE(2012,5,1) + TIME(14,53,57)</f>
        <v>41030.620798611111</v>
      </c>
      <c r="C1473">
        <v>80</v>
      </c>
      <c r="D1473">
        <v>76.143203735</v>
      </c>
      <c r="E1473">
        <v>50</v>
      </c>
      <c r="F1473">
        <v>49.907783508000001</v>
      </c>
      <c r="G1473">
        <v>1340.4183350000001</v>
      </c>
      <c r="H1473">
        <v>1337.5755615</v>
      </c>
      <c r="I1473">
        <v>1326.2592772999999</v>
      </c>
      <c r="J1473">
        <v>1324.2203368999999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731.65345000000002</v>
      </c>
      <c r="B1474" s="1">
        <f>DATE(2012,5,1) + TIME(15,40,58)</f>
        <v>41030.653449074074</v>
      </c>
      <c r="C1474">
        <v>80</v>
      </c>
      <c r="D1474">
        <v>76.446044921999999</v>
      </c>
      <c r="E1474">
        <v>50</v>
      </c>
      <c r="F1474">
        <v>49.904586792000003</v>
      </c>
      <c r="G1474">
        <v>1340.4479980000001</v>
      </c>
      <c r="H1474">
        <v>1337.5987548999999</v>
      </c>
      <c r="I1474">
        <v>1326.2591553</v>
      </c>
      <c r="J1474">
        <v>1324.2200928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731.68725199999994</v>
      </c>
      <c r="B1475" s="1">
        <f>DATE(2012,5,1) + TIME(16,29,38)</f>
        <v>41030.687245370369</v>
      </c>
      <c r="C1475">
        <v>80</v>
      </c>
      <c r="D1475">
        <v>76.735565186000002</v>
      </c>
      <c r="E1475">
        <v>50</v>
      </c>
      <c r="F1475">
        <v>49.901309967000003</v>
      </c>
      <c r="G1475">
        <v>1340.4780272999999</v>
      </c>
      <c r="H1475">
        <v>1337.6221923999999</v>
      </c>
      <c r="I1475">
        <v>1326.2590332</v>
      </c>
      <c r="J1475">
        <v>1324.2198486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731.72227899999996</v>
      </c>
      <c r="B1476" s="1">
        <f>DATE(2012,5,1) + TIME(17,20,4)</f>
        <v>41030.722268518519</v>
      </c>
      <c r="C1476">
        <v>80</v>
      </c>
      <c r="D1476">
        <v>77.011550903</v>
      </c>
      <c r="E1476">
        <v>50</v>
      </c>
      <c r="F1476">
        <v>49.897941588999998</v>
      </c>
      <c r="G1476">
        <v>1340.5085449000001</v>
      </c>
      <c r="H1476">
        <v>1337.6457519999999</v>
      </c>
      <c r="I1476">
        <v>1326.2589111</v>
      </c>
      <c r="J1476">
        <v>1324.2196045000001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731.75861599999996</v>
      </c>
      <c r="B1477" s="1">
        <f>DATE(2012,5,1) + TIME(18,12,24)</f>
        <v>41030.758611111109</v>
      </c>
      <c r="C1477">
        <v>80</v>
      </c>
      <c r="D1477">
        <v>77.273941039999997</v>
      </c>
      <c r="E1477">
        <v>50</v>
      </c>
      <c r="F1477">
        <v>49.894481659</v>
      </c>
      <c r="G1477">
        <v>1340.5394286999999</v>
      </c>
      <c r="H1477">
        <v>1337.6694336</v>
      </c>
      <c r="I1477">
        <v>1326.2587891000001</v>
      </c>
      <c r="J1477">
        <v>1324.2193603999999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731.79635399999995</v>
      </c>
      <c r="B1478" s="1">
        <f>DATE(2012,5,1) + TIME(19,6,45)</f>
        <v>41030.796354166669</v>
      </c>
      <c r="C1478">
        <v>80</v>
      </c>
      <c r="D1478">
        <v>77.522682189999998</v>
      </c>
      <c r="E1478">
        <v>50</v>
      </c>
      <c r="F1478">
        <v>49.890918732000003</v>
      </c>
      <c r="G1478">
        <v>1340.5704346</v>
      </c>
      <c r="H1478">
        <v>1337.6929932</v>
      </c>
      <c r="I1478">
        <v>1326.2585449000001</v>
      </c>
      <c r="J1478">
        <v>1324.2189940999999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731.835599</v>
      </c>
      <c r="B1479" s="1">
        <f>DATE(2012,5,1) + TIME(20,3,15)</f>
        <v>41030.835590277777</v>
      </c>
      <c r="C1479">
        <v>80</v>
      </c>
      <c r="D1479">
        <v>77.757781981999997</v>
      </c>
      <c r="E1479">
        <v>50</v>
      </c>
      <c r="F1479">
        <v>49.887245178000001</v>
      </c>
      <c r="G1479">
        <v>1340.6018065999999</v>
      </c>
      <c r="H1479">
        <v>1337.7165527</v>
      </c>
      <c r="I1479">
        <v>1326.2584228999999</v>
      </c>
      <c r="J1479">
        <v>1324.21875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731.87646500000005</v>
      </c>
      <c r="B1480" s="1">
        <f>DATE(2012,5,1) + TIME(21,2,6)</f>
        <v>41030.876458333332</v>
      </c>
      <c r="C1480">
        <v>80</v>
      </c>
      <c r="D1480">
        <v>77.979255675999994</v>
      </c>
      <c r="E1480">
        <v>50</v>
      </c>
      <c r="F1480">
        <v>49.883460999</v>
      </c>
      <c r="G1480">
        <v>1340.6331786999999</v>
      </c>
      <c r="H1480">
        <v>1337.7401123</v>
      </c>
      <c r="I1480">
        <v>1326.2581786999999</v>
      </c>
      <c r="J1480">
        <v>1324.2185059000001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731.91908000000001</v>
      </c>
      <c r="B1481" s="1">
        <f>DATE(2012,5,1) + TIME(22,3,28)</f>
        <v>41030.919074074074</v>
      </c>
      <c r="C1481">
        <v>80</v>
      </c>
      <c r="D1481">
        <v>78.187156677000004</v>
      </c>
      <c r="E1481">
        <v>50</v>
      </c>
      <c r="F1481">
        <v>49.879550934000001</v>
      </c>
      <c r="G1481">
        <v>1340.6645507999999</v>
      </c>
      <c r="H1481">
        <v>1337.7634277</v>
      </c>
      <c r="I1481">
        <v>1326.2580565999999</v>
      </c>
      <c r="J1481">
        <v>1324.2181396000001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731.96358699999996</v>
      </c>
      <c r="B1482" s="1">
        <f>DATE(2012,5,1) + TIME(23,7,33)</f>
        <v>41030.963576388887</v>
      </c>
      <c r="C1482">
        <v>80</v>
      </c>
      <c r="D1482">
        <v>78.381599425999994</v>
      </c>
      <c r="E1482">
        <v>50</v>
      </c>
      <c r="F1482">
        <v>49.875503539999997</v>
      </c>
      <c r="G1482">
        <v>1340.6959228999999</v>
      </c>
      <c r="H1482">
        <v>1337.7866211</v>
      </c>
      <c r="I1482">
        <v>1326.2578125</v>
      </c>
      <c r="J1482">
        <v>1324.2177733999999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732.01014799999996</v>
      </c>
      <c r="B1483" s="1">
        <f>DATE(2012,5,2) + TIME(0,14,36)</f>
        <v>41031.010138888887</v>
      </c>
      <c r="C1483">
        <v>80</v>
      </c>
      <c r="D1483">
        <v>78.562698363999999</v>
      </c>
      <c r="E1483">
        <v>50</v>
      </c>
      <c r="F1483">
        <v>49.871315002000003</v>
      </c>
      <c r="G1483">
        <v>1340.7271728999999</v>
      </c>
      <c r="H1483">
        <v>1337.8094481999999</v>
      </c>
      <c r="I1483">
        <v>1326.2575684000001</v>
      </c>
      <c r="J1483">
        <v>1324.2175293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732.05894499999999</v>
      </c>
      <c r="B1484" s="1">
        <f>DATE(2012,5,2) + TIME(1,24,52)</f>
        <v>41031.058935185189</v>
      </c>
      <c r="C1484">
        <v>80</v>
      </c>
      <c r="D1484">
        <v>78.730651855000005</v>
      </c>
      <c r="E1484">
        <v>50</v>
      </c>
      <c r="F1484">
        <v>49.866966247999997</v>
      </c>
      <c r="G1484">
        <v>1340.7581786999999</v>
      </c>
      <c r="H1484">
        <v>1337.8321533000001</v>
      </c>
      <c r="I1484">
        <v>1326.2574463000001</v>
      </c>
      <c r="J1484">
        <v>1324.2171631000001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732.11020699999995</v>
      </c>
      <c r="B1485" s="1">
        <f>DATE(2012,5,2) + TIME(2,38,41)</f>
        <v>41031.110196759262</v>
      </c>
      <c r="C1485">
        <v>80</v>
      </c>
      <c r="D1485">
        <v>78.885734557999996</v>
      </c>
      <c r="E1485">
        <v>50</v>
      </c>
      <c r="F1485">
        <v>49.862445831000002</v>
      </c>
      <c r="G1485">
        <v>1340.7888184000001</v>
      </c>
      <c r="H1485">
        <v>1337.8544922000001</v>
      </c>
      <c r="I1485">
        <v>1326.2572021000001</v>
      </c>
      <c r="J1485">
        <v>1324.2167969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732.16417100000001</v>
      </c>
      <c r="B1486" s="1">
        <f>DATE(2012,5,2) + TIME(3,56,24)</f>
        <v>41031.164166666669</v>
      </c>
      <c r="C1486">
        <v>80</v>
      </c>
      <c r="D1486">
        <v>79.028190613000007</v>
      </c>
      <c r="E1486">
        <v>50</v>
      </c>
      <c r="F1486">
        <v>49.857738495</v>
      </c>
      <c r="G1486">
        <v>1340.8189697</v>
      </c>
      <c r="H1486">
        <v>1337.8763428</v>
      </c>
      <c r="I1486">
        <v>1326.2569579999999</v>
      </c>
      <c r="J1486">
        <v>1324.2164307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732.22109599999999</v>
      </c>
      <c r="B1487" s="1">
        <f>DATE(2012,5,2) + TIME(5,18,22)</f>
        <v>41031.221087962964</v>
      </c>
      <c r="C1487">
        <v>80</v>
      </c>
      <c r="D1487">
        <v>79.158279418999996</v>
      </c>
      <c r="E1487">
        <v>50</v>
      </c>
      <c r="F1487">
        <v>49.852821349999999</v>
      </c>
      <c r="G1487">
        <v>1340.8488769999999</v>
      </c>
      <c r="H1487">
        <v>1337.8979492000001</v>
      </c>
      <c r="I1487">
        <v>1326.2565918</v>
      </c>
      <c r="J1487">
        <v>1324.2159423999999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732.28123500000004</v>
      </c>
      <c r="B1488" s="1">
        <f>DATE(2012,5,2) + TIME(6,44,58)</f>
        <v>41031.281226851854</v>
      </c>
      <c r="C1488">
        <v>80</v>
      </c>
      <c r="D1488">
        <v>79.276252747000001</v>
      </c>
      <c r="E1488">
        <v>50</v>
      </c>
      <c r="F1488">
        <v>49.847682953000003</v>
      </c>
      <c r="G1488">
        <v>1340.8780518000001</v>
      </c>
      <c r="H1488">
        <v>1337.9189452999999</v>
      </c>
      <c r="I1488">
        <v>1326.2563477000001</v>
      </c>
      <c r="J1488">
        <v>1324.2155762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732.34464600000001</v>
      </c>
      <c r="B1489" s="1">
        <f>DATE(2012,5,2) + TIME(8,16,17)</f>
        <v>41031.344641203701</v>
      </c>
      <c r="C1489">
        <v>80</v>
      </c>
      <c r="D1489">
        <v>79.382125853999995</v>
      </c>
      <c r="E1489">
        <v>50</v>
      </c>
      <c r="F1489">
        <v>49.842327118</v>
      </c>
      <c r="G1489">
        <v>1340.9067382999999</v>
      </c>
      <c r="H1489">
        <v>1337.9394531</v>
      </c>
      <c r="I1489">
        <v>1326.2561035000001</v>
      </c>
      <c r="J1489">
        <v>1324.2150879000001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732.41163800000004</v>
      </c>
      <c r="B1490" s="1">
        <f>DATE(2012,5,2) + TIME(9,52,45)</f>
        <v>41031.411631944444</v>
      </c>
      <c r="C1490">
        <v>80</v>
      </c>
      <c r="D1490">
        <v>79.476440429999997</v>
      </c>
      <c r="E1490">
        <v>50</v>
      </c>
      <c r="F1490">
        <v>49.836723327999998</v>
      </c>
      <c r="G1490">
        <v>1340.9344481999999</v>
      </c>
      <c r="H1490">
        <v>1337.9593506000001</v>
      </c>
      <c r="I1490">
        <v>1326.2557373</v>
      </c>
      <c r="J1490">
        <v>1324.2147216999999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732.48055599999998</v>
      </c>
      <c r="B1491" s="1">
        <f>DATE(2012,5,2) + TIME(11,32,0)</f>
        <v>41031.480555555558</v>
      </c>
      <c r="C1491">
        <v>80</v>
      </c>
      <c r="D1491">
        <v>79.557830811000002</v>
      </c>
      <c r="E1491">
        <v>50</v>
      </c>
      <c r="F1491">
        <v>49.831012725999997</v>
      </c>
      <c r="G1491">
        <v>1340.9616699000001</v>
      </c>
      <c r="H1491">
        <v>1337.9787598</v>
      </c>
      <c r="I1491">
        <v>1326.2553711</v>
      </c>
      <c r="J1491">
        <v>1324.2142334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732.55063500000006</v>
      </c>
      <c r="B1492" s="1">
        <f>DATE(2012,5,2) + TIME(13,12,54)</f>
        <v>41031.550625000003</v>
      </c>
      <c r="C1492">
        <v>80</v>
      </c>
      <c r="D1492">
        <v>79.627021790000001</v>
      </c>
      <c r="E1492">
        <v>50</v>
      </c>
      <c r="F1492">
        <v>49.825248717999997</v>
      </c>
      <c r="G1492">
        <v>1340.9871826000001</v>
      </c>
      <c r="H1492">
        <v>1337.9969481999999</v>
      </c>
      <c r="I1492">
        <v>1326.2551269999999</v>
      </c>
      <c r="J1492">
        <v>1324.2137451000001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732.62108599999999</v>
      </c>
      <c r="B1493" s="1">
        <f>DATE(2012,5,2) + TIME(14,54,21)</f>
        <v>41031.621076388888</v>
      </c>
      <c r="C1493">
        <v>80</v>
      </c>
      <c r="D1493">
        <v>79.685073853000006</v>
      </c>
      <c r="E1493">
        <v>50</v>
      </c>
      <c r="F1493">
        <v>49.819492339999996</v>
      </c>
      <c r="G1493">
        <v>1341.0107422000001</v>
      </c>
      <c r="H1493">
        <v>1338.0136719</v>
      </c>
      <c r="I1493">
        <v>1326.2547606999999</v>
      </c>
      <c r="J1493">
        <v>1324.2132568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732.692004</v>
      </c>
      <c r="B1494" s="1">
        <f>DATE(2012,5,2) + TIME(16,36,29)</f>
        <v>41031.692002314812</v>
      </c>
      <c r="C1494">
        <v>80</v>
      </c>
      <c r="D1494">
        <v>79.733772278000004</v>
      </c>
      <c r="E1494">
        <v>50</v>
      </c>
      <c r="F1494">
        <v>49.813732147000003</v>
      </c>
      <c r="G1494">
        <v>1341.0321045000001</v>
      </c>
      <c r="H1494">
        <v>1338.0290527</v>
      </c>
      <c r="I1494">
        <v>1326.2543945</v>
      </c>
      <c r="J1494">
        <v>1324.2127685999999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732.76354300000003</v>
      </c>
      <c r="B1495" s="1">
        <f>DATE(2012,5,2) + TIME(18,19,30)</f>
        <v>41031.763541666667</v>
      </c>
      <c r="C1495">
        <v>80</v>
      </c>
      <c r="D1495">
        <v>79.774620056000003</v>
      </c>
      <c r="E1495">
        <v>50</v>
      </c>
      <c r="F1495">
        <v>49.807960510000001</v>
      </c>
      <c r="G1495">
        <v>1341.0515137</v>
      </c>
      <c r="H1495">
        <v>1338.0429687999999</v>
      </c>
      <c r="I1495">
        <v>1326.2540283000001</v>
      </c>
      <c r="J1495">
        <v>1324.2122803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732.83585100000005</v>
      </c>
      <c r="B1496" s="1">
        <f>DATE(2012,5,2) + TIME(20,3,37)</f>
        <v>41031.835844907408</v>
      </c>
      <c r="C1496">
        <v>80</v>
      </c>
      <c r="D1496">
        <v>79.808876037999994</v>
      </c>
      <c r="E1496">
        <v>50</v>
      </c>
      <c r="F1496">
        <v>49.802158356</v>
      </c>
      <c r="G1496">
        <v>1341.0690918</v>
      </c>
      <c r="H1496">
        <v>1338.0556641000001</v>
      </c>
      <c r="I1496">
        <v>1326.2536620999999</v>
      </c>
      <c r="J1496">
        <v>1324.2117920000001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732.90908100000001</v>
      </c>
      <c r="B1497" s="1">
        <f>DATE(2012,5,2) + TIME(21,49,4)</f>
        <v>41031.909074074072</v>
      </c>
      <c r="C1497">
        <v>80</v>
      </c>
      <c r="D1497">
        <v>79.837593079000001</v>
      </c>
      <c r="E1497">
        <v>50</v>
      </c>
      <c r="F1497">
        <v>49.796321869000003</v>
      </c>
      <c r="G1497">
        <v>1341.0849608999999</v>
      </c>
      <c r="H1497">
        <v>1338.0671387</v>
      </c>
      <c r="I1497">
        <v>1326.2532959</v>
      </c>
      <c r="J1497">
        <v>1324.2113036999999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732.98341900000003</v>
      </c>
      <c r="B1498" s="1">
        <f>DATE(2012,5,2) + TIME(23,36,7)</f>
        <v>41031.983414351853</v>
      </c>
      <c r="C1498">
        <v>80</v>
      </c>
      <c r="D1498">
        <v>79.861656189000001</v>
      </c>
      <c r="E1498">
        <v>50</v>
      </c>
      <c r="F1498">
        <v>49.790435791</v>
      </c>
      <c r="G1498">
        <v>1341.0993652</v>
      </c>
      <c r="H1498">
        <v>1338.0776367000001</v>
      </c>
      <c r="I1498">
        <v>1326.2529297000001</v>
      </c>
      <c r="J1498">
        <v>1324.2106934000001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733.05899399999998</v>
      </c>
      <c r="B1499" s="1">
        <f>DATE(2012,5,3) + TIME(1,24,57)</f>
        <v>41032.058993055558</v>
      </c>
      <c r="C1499">
        <v>80</v>
      </c>
      <c r="D1499">
        <v>79.881782532000003</v>
      </c>
      <c r="E1499">
        <v>50</v>
      </c>
      <c r="F1499">
        <v>49.784488678000002</v>
      </c>
      <c r="G1499">
        <v>1341.1121826000001</v>
      </c>
      <c r="H1499">
        <v>1338.0872803</v>
      </c>
      <c r="I1499">
        <v>1326.2524414</v>
      </c>
      <c r="J1499">
        <v>1324.2102050999999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733.13597600000003</v>
      </c>
      <c r="B1500" s="1">
        <f>DATE(2012,5,3) + TIME(3,15,48)</f>
        <v>41032.135972222219</v>
      </c>
      <c r="C1500">
        <v>80</v>
      </c>
      <c r="D1500">
        <v>79.898597717000001</v>
      </c>
      <c r="E1500">
        <v>50</v>
      </c>
      <c r="F1500">
        <v>49.778469086000001</v>
      </c>
      <c r="G1500">
        <v>1341.1237793</v>
      </c>
      <c r="H1500">
        <v>1338.0959473</v>
      </c>
      <c r="I1500">
        <v>1326.2520752</v>
      </c>
      <c r="J1500">
        <v>1324.2097168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733.21454500000004</v>
      </c>
      <c r="B1501" s="1">
        <f>DATE(2012,5,3) + TIME(5,8,56)</f>
        <v>41032.214537037034</v>
      </c>
      <c r="C1501">
        <v>80</v>
      </c>
      <c r="D1501">
        <v>79.912612914999997</v>
      </c>
      <c r="E1501">
        <v>50</v>
      </c>
      <c r="F1501">
        <v>49.772361754999999</v>
      </c>
      <c r="G1501">
        <v>1341.1341553</v>
      </c>
      <c r="H1501">
        <v>1338.1037598</v>
      </c>
      <c r="I1501">
        <v>1326.2517089999999</v>
      </c>
      <c r="J1501">
        <v>1324.2092285000001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733.294893</v>
      </c>
      <c r="B1502" s="1">
        <f>DATE(2012,5,3) + TIME(7,4,38)</f>
        <v>41032.29488425926</v>
      </c>
      <c r="C1502">
        <v>80</v>
      </c>
      <c r="D1502">
        <v>79.924285889000004</v>
      </c>
      <c r="E1502">
        <v>50</v>
      </c>
      <c r="F1502">
        <v>49.766155243</v>
      </c>
      <c r="G1502">
        <v>1341.1431885</v>
      </c>
      <c r="H1502">
        <v>1338.1108397999999</v>
      </c>
      <c r="I1502">
        <v>1326.2512207</v>
      </c>
      <c r="J1502">
        <v>1324.2086182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733.37724600000001</v>
      </c>
      <c r="B1503" s="1">
        <f>DATE(2012,5,3) + TIME(9,3,14)</f>
        <v>41032.377245370371</v>
      </c>
      <c r="C1503">
        <v>80</v>
      </c>
      <c r="D1503">
        <v>79.933975219999994</v>
      </c>
      <c r="E1503">
        <v>50</v>
      </c>
      <c r="F1503">
        <v>49.759838104000004</v>
      </c>
      <c r="G1503">
        <v>1341.1512451000001</v>
      </c>
      <c r="H1503">
        <v>1338.1171875</v>
      </c>
      <c r="I1503">
        <v>1326.2508545000001</v>
      </c>
      <c r="J1503">
        <v>1324.2080077999999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733.46192099999996</v>
      </c>
      <c r="B1504" s="1">
        <f>DATE(2012,5,3) + TIME(11,5,9)</f>
        <v>41032.461909722224</v>
      </c>
      <c r="C1504">
        <v>80</v>
      </c>
      <c r="D1504">
        <v>79.942008971999996</v>
      </c>
      <c r="E1504">
        <v>50</v>
      </c>
      <c r="F1504">
        <v>49.753383636000002</v>
      </c>
      <c r="G1504">
        <v>1341.1582031</v>
      </c>
      <c r="H1504">
        <v>1338.1229248</v>
      </c>
      <c r="I1504">
        <v>1326.2503661999999</v>
      </c>
      <c r="J1504">
        <v>1324.2075195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733.54918399999997</v>
      </c>
      <c r="B1505" s="1">
        <f>DATE(2012,5,3) + TIME(13,10,49)</f>
        <v>41032.549178240741</v>
      </c>
      <c r="C1505">
        <v>80</v>
      </c>
      <c r="D1505">
        <v>79.948646545000003</v>
      </c>
      <c r="E1505">
        <v>50</v>
      </c>
      <c r="F1505">
        <v>49.746776580999999</v>
      </c>
      <c r="G1505">
        <v>1341.1643065999999</v>
      </c>
      <c r="H1505">
        <v>1338.1280518000001</v>
      </c>
      <c r="I1505">
        <v>1326.2498779</v>
      </c>
      <c r="J1505">
        <v>1324.2069091999999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733.63933599999996</v>
      </c>
      <c r="B1506" s="1">
        <f>DATE(2012,5,3) + TIME(15,20,38)</f>
        <v>41032.639328703706</v>
      </c>
      <c r="C1506">
        <v>80</v>
      </c>
      <c r="D1506">
        <v>79.954116821</v>
      </c>
      <c r="E1506">
        <v>50</v>
      </c>
      <c r="F1506">
        <v>49.739994049000003</v>
      </c>
      <c r="G1506">
        <v>1341.1694336</v>
      </c>
      <c r="H1506">
        <v>1338.1326904</v>
      </c>
      <c r="I1506">
        <v>1326.2495117000001</v>
      </c>
      <c r="J1506">
        <v>1324.2062988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733.73196700000005</v>
      </c>
      <c r="B1507" s="1">
        <f>DATE(2012,5,3) + TIME(17,34,1)</f>
        <v>41032.731956018521</v>
      </c>
      <c r="C1507">
        <v>80</v>
      </c>
      <c r="D1507">
        <v>79.958580017000003</v>
      </c>
      <c r="E1507">
        <v>50</v>
      </c>
      <c r="F1507">
        <v>49.733070374</v>
      </c>
      <c r="G1507">
        <v>1341.1738281</v>
      </c>
      <c r="H1507">
        <v>1338.1367187999999</v>
      </c>
      <c r="I1507">
        <v>1326.2490233999999</v>
      </c>
      <c r="J1507">
        <v>1324.2056885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733.82623699999999</v>
      </c>
      <c r="B1508" s="1">
        <f>DATE(2012,5,3) + TIME(19,49,46)</f>
        <v>41032.826226851852</v>
      </c>
      <c r="C1508">
        <v>80</v>
      </c>
      <c r="D1508">
        <v>79.962173461999996</v>
      </c>
      <c r="E1508">
        <v>50</v>
      </c>
      <c r="F1508">
        <v>49.726058960000003</v>
      </c>
      <c r="G1508">
        <v>1341.177124</v>
      </c>
      <c r="H1508">
        <v>1338.1401367000001</v>
      </c>
      <c r="I1508">
        <v>1326.2484131000001</v>
      </c>
      <c r="J1508">
        <v>1324.2050781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733.92239400000005</v>
      </c>
      <c r="B1509" s="1">
        <f>DATE(2012,5,3) + TIME(22,8,14)</f>
        <v>41032.922384259262</v>
      </c>
      <c r="C1509">
        <v>80</v>
      </c>
      <c r="D1509">
        <v>79.965065002000003</v>
      </c>
      <c r="E1509">
        <v>50</v>
      </c>
      <c r="F1509">
        <v>49.718944550000003</v>
      </c>
      <c r="G1509">
        <v>1341.1796875</v>
      </c>
      <c r="H1509">
        <v>1338.1430664</v>
      </c>
      <c r="I1509">
        <v>1326.2479248</v>
      </c>
      <c r="J1509">
        <v>1324.2043457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734.02058099999999</v>
      </c>
      <c r="B1510" s="1">
        <f>DATE(2012,5,4) + TIME(0,29,38)</f>
        <v>41033.020578703705</v>
      </c>
      <c r="C1510">
        <v>80</v>
      </c>
      <c r="D1510">
        <v>79.967384338000002</v>
      </c>
      <c r="E1510">
        <v>50</v>
      </c>
      <c r="F1510">
        <v>49.711719512999998</v>
      </c>
      <c r="G1510">
        <v>1341.1813964999999</v>
      </c>
      <c r="H1510">
        <v>1338.1455077999999</v>
      </c>
      <c r="I1510">
        <v>1326.2474365</v>
      </c>
      <c r="J1510">
        <v>1324.2037353999999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734.120994</v>
      </c>
      <c r="B1511" s="1">
        <f>DATE(2012,5,4) + TIME(2,54,13)</f>
        <v>41033.120983796296</v>
      </c>
      <c r="C1511">
        <v>80</v>
      </c>
      <c r="D1511">
        <v>79.969245911000002</v>
      </c>
      <c r="E1511">
        <v>50</v>
      </c>
      <c r="F1511">
        <v>49.704368590999998</v>
      </c>
      <c r="G1511">
        <v>1341.1816406</v>
      </c>
      <c r="H1511">
        <v>1338.1469727000001</v>
      </c>
      <c r="I1511">
        <v>1326.2468262</v>
      </c>
      <c r="J1511">
        <v>1324.2030029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734.22386800000004</v>
      </c>
      <c r="B1512" s="1">
        <f>DATE(2012,5,4) + TIME(5,22,22)</f>
        <v>41033.223865740743</v>
      </c>
      <c r="C1512">
        <v>80</v>
      </c>
      <c r="D1512">
        <v>79.970733643000003</v>
      </c>
      <c r="E1512">
        <v>50</v>
      </c>
      <c r="F1512">
        <v>49.696876525999997</v>
      </c>
      <c r="G1512">
        <v>1341.1804199000001</v>
      </c>
      <c r="H1512">
        <v>1338.1474608999999</v>
      </c>
      <c r="I1512">
        <v>1326.2463379000001</v>
      </c>
      <c r="J1512">
        <v>1324.2022704999999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734.32946700000002</v>
      </c>
      <c r="B1513" s="1">
        <f>DATE(2012,5,4) + TIME(7,54,25)</f>
        <v>41033.329456018517</v>
      </c>
      <c r="C1513">
        <v>80</v>
      </c>
      <c r="D1513">
        <v>79.971923828000001</v>
      </c>
      <c r="E1513">
        <v>50</v>
      </c>
      <c r="F1513">
        <v>49.689231872999997</v>
      </c>
      <c r="G1513">
        <v>1341.1785889</v>
      </c>
      <c r="H1513">
        <v>1338.1475829999999</v>
      </c>
      <c r="I1513">
        <v>1326.2457274999999</v>
      </c>
      <c r="J1513">
        <v>1324.2015381000001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734.43804499999999</v>
      </c>
      <c r="B1514" s="1">
        <f>DATE(2012,5,4) + TIME(10,30,47)</f>
        <v>41033.438043981485</v>
      </c>
      <c r="C1514">
        <v>80</v>
      </c>
      <c r="D1514">
        <v>79.972869872999993</v>
      </c>
      <c r="E1514">
        <v>50</v>
      </c>
      <c r="F1514">
        <v>49.681415557999998</v>
      </c>
      <c r="G1514">
        <v>1341.1762695</v>
      </c>
      <c r="H1514">
        <v>1338.1474608999999</v>
      </c>
      <c r="I1514">
        <v>1326.2451172000001</v>
      </c>
      <c r="J1514">
        <v>1324.2008057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734.54988800000001</v>
      </c>
      <c r="B1515" s="1">
        <f>DATE(2012,5,4) + TIME(13,11,50)</f>
        <v>41033.549884259257</v>
      </c>
      <c r="C1515">
        <v>80</v>
      </c>
      <c r="D1515">
        <v>79.973625182999996</v>
      </c>
      <c r="E1515">
        <v>50</v>
      </c>
      <c r="F1515">
        <v>49.673408508000001</v>
      </c>
      <c r="G1515">
        <v>1341.1734618999999</v>
      </c>
      <c r="H1515">
        <v>1338.1470947</v>
      </c>
      <c r="I1515">
        <v>1326.2445068</v>
      </c>
      <c r="J1515">
        <v>1324.2000731999999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734.66531199999997</v>
      </c>
      <c r="B1516" s="1">
        <f>DATE(2012,5,4) + TIME(15,58,2)</f>
        <v>41033.665300925924</v>
      </c>
      <c r="C1516">
        <v>80</v>
      </c>
      <c r="D1516">
        <v>79.974227905000006</v>
      </c>
      <c r="E1516">
        <v>50</v>
      </c>
      <c r="F1516">
        <v>49.665199280000003</v>
      </c>
      <c r="G1516">
        <v>1341.1701660000001</v>
      </c>
      <c r="H1516">
        <v>1338.1464844</v>
      </c>
      <c r="I1516">
        <v>1326.2438964999999</v>
      </c>
      <c r="J1516">
        <v>1324.1993408000001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734.78477499999997</v>
      </c>
      <c r="B1517" s="1">
        <f>DATE(2012,5,4) + TIME(18,50,4)</f>
        <v>41033.784768518519</v>
      </c>
      <c r="C1517">
        <v>80</v>
      </c>
      <c r="D1517">
        <v>79.974700928000004</v>
      </c>
      <c r="E1517">
        <v>50</v>
      </c>
      <c r="F1517">
        <v>49.656753539999997</v>
      </c>
      <c r="G1517">
        <v>1341.1663818</v>
      </c>
      <c r="H1517">
        <v>1338.1455077999999</v>
      </c>
      <c r="I1517">
        <v>1326.2431641000001</v>
      </c>
      <c r="J1517">
        <v>1324.1984863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734.90887599999996</v>
      </c>
      <c r="B1518" s="1">
        <f>DATE(2012,5,4) + TIME(21,48,46)</f>
        <v>41033.908865740741</v>
      </c>
      <c r="C1518">
        <v>80</v>
      </c>
      <c r="D1518">
        <v>79.975074767999999</v>
      </c>
      <c r="E1518">
        <v>50</v>
      </c>
      <c r="F1518">
        <v>49.648040770999998</v>
      </c>
      <c r="G1518">
        <v>1341.1622314000001</v>
      </c>
      <c r="H1518">
        <v>1338.1444091999999</v>
      </c>
      <c r="I1518">
        <v>1326.2425536999999</v>
      </c>
      <c r="J1518">
        <v>1324.1976318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735.03666699999997</v>
      </c>
      <c r="B1519" s="1">
        <f>DATE(2012,5,5) + TIME(0,52,48)</f>
        <v>41034.036666666667</v>
      </c>
      <c r="C1519">
        <v>80</v>
      </c>
      <c r="D1519">
        <v>79.975364685000002</v>
      </c>
      <c r="E1519">
        <v>50</v>
      </c>
      <c r="F1519">
        <v>49.639118195000002</v>
      </c>
      <c r="G1519">
        <v>1341.1575928</v>
      </c>
      <c r="H1519">
        <v>1338.1430664</v>
      </c>
      <c r="I1519">
        <v>1326.2418213000001</v>
      </c>
      <c r="J1519">
        <v>1324.1967772999999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735.16802399999995</v>
      </c>
      <c r="B1520" s="1">
        <f>DATE(2012,5,5) + TIME(4,1,57)</f>
        <v>41034.168020833335</v>
      </c>
      <c r="C1520">
        <v>80</v>
      </c>
      <c r="D1520">
        <v>79.975585937999995</v>
      </c>
      <c r="E1520">
        <v>50</v>
      </c>
      <c r="F1520">
        <v>49.629989623999997</v>
      </c>
      <c r="G1520">
        <v>1341.1525879000001</v>
      </c>
      <c r="H1520">
        <v>1338.1413574000001</v>
      </c>
      <c r="I1520">
        <v>1326.2410889</v>
      </c>
      <c r="J1520">
        <v>1324.1958007999999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735.30330200000003</v>
      </c>
      <c r="B1521" s="1">
        <f>DATE(2012,5,5) + TIME(7,16,45)</f>
        <v>41034.303298611114</v>
      </c>
      <c r="C1521">
        <v>80</v>
      </c>
      <c r="D1521">
        <v>79.975761414000004</v>
      </c>
      <c r="E1521">
        <v>50</v>
      </c>
      <c r="F1521">
        <v>49.620639801000003</v>
      </c>
      <c r="G1521">
        <v>1341.1470947</v>
      </c>
      <c r="H1521">
        <v>1338.1395264</v>
      </c>
      <c r="I1521">
        <v>1326.2403564000001</v>
      </c>
      <c r="J1521">
        <v>1324.1948242000001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735.44244900000001</v>
      </c>
      <c r="B1522" s="1">
        <f>DATE(2012,5,5) + TIME(10,37,7)</f>
        <v>41034.442442129628</v>
      </c>
      <c r="C1522">
        <v>80</v>
      </c>
      <c r="D1522">
        <v>79.975891113000003</v>
      </c>
      <c r="E1522">
        <v>50</v>
      </c>
      <c r="F1522">
        <v>49.611076355000002</v>
      </c>
      <c r="G1522">
        <v>1341.1413574000001</v>
      </c>
      <c r="H1522">
        <v>1338.1375731999999</v>
      </c>
      <c r="I1522">
        <v>1326.2395019999999</v>
      </c>
      <c r="J1522">
        <v>1324.1938477000001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735.58313499999997</v>
      </c>
      <c r="B1523" s="1">
        <f>DATE(2012,5,5) + TIME(13,59,42)</f>
        <v>41034.583124999997</v>
      </c>
      <c r="C1523">
        <v>80</v>
      </c>
      <c r="D1523">
        <v>79.975990295000003</v>
      </c>
      <c r="E1523">
        <v>50</v>
      </c>
      <c r="F1523">
        <v>49.601428986000002</v>
      </c>
      <c r="G1523">
        <v>1341.1352539</v>
      </c>
      <c r="H1523">
        <v>1338.135376</v>
      </c>
      <c r="I1523">
        <v>1326.2386475000001</v>
      </c>
      <c r="J1523">
        <v>1324.1928711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735.72574499999996</v>
      </c>
      <c r="B1524" s="1">
        <f>DATE(2012,5,5) + TIME(17,25,4)</f>
        <v>41034.725740740738</v>
      </c>
      <c r="C1524">
        <v>80</v>
      </c>
      <c r="D1524">
        <v>79.976058960000003</v>
      </c>
      <c r="E1524">
        <v>50</v>
      </c>
      <c r="F1524">
        <v>49.591678619</v>
      </c>
      <c r="G1524">
        <v>1341.1289062000001</v>
      </c>
      <c r="H1524">
        <v>1338.1330565999999</v>
      </c>
      <c r="I1524">
        <v>1326.237793</v>
      </c>
      <c r="J1524">
        <v>1324.1917725000001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735.87064199999998</v>
      </c>
      <c r="B1525" s="1">
        <f>DATE(2012,5,5) + TIME(20,53,43)</f>
        <v>41034.870636574073</v>
      </c>
      <c r="C1525">
        <v>80</v>
      </c>
      <c r="D1525">
        <v>79.976112365999995</v>
      </c>
      <c r="E1525">
        <v>50</v>
      </c>
      <c r="F1525">
        <v>49.581813812</v>
      </c>
      <c r="G1525">
        <v>1341.1224365</v>
      </c>
      <c r="H1525">
        <v>1338.1307373</v>
      </c>
      <c r="I1525">
        <v>1326.2369385</v>
      </c>
      <c r="J1525">
        <v>1324.1906738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736.01820699999996</v>
      </c>
      <c r="B1526" s="1">
        <f>DATE(2012,5,6) + TIME(0,26,13)</f>
        <v>41035.018206018518</v>
      </c>
      <c r="C1526">
        <v>80</v>
      </c>
      <c r="D1526">
        <v>79.976150512999993</v>
      </c>
      <c r="E1526">
        <v>50</v>
      </c>
      <c r="F1526">
        <v>49.571811676000003</v>
      </c>
      <c r="G1526">
        <v>1341.1157227000001</v>
      </c>
      <c r="H1526">
        <v>1338.1281738</v>
      </c>
      <c r="I1526">
        <v>1326.2360839999999</v>
      </c>
      <c r="J1526">
        <v>1324.1895752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736.16884000000005</v>
      </c>
      <c r="B1527" s="1">
        <f>DATE(2012,5,6) + TIME(4,3,7)</f>
        <v>41035.16883101852</v>
      </c>
      <c r="C1527">
        <v>80</v>
      </c>
      <c r="D1527">
        <v>79.976173400999997</v>
      </c>
      <c r="E1527">
        <v>50</v>
      </c>
      <c r="F1527">
        <v>49.561653137</v>
      </c>
      <c r="G1527">
        <v>1341.1087646000001</v>
      </c>
      <c r="H1527">
        <v>1338.1256103999999</v>
      </c>
      <c r="I1527">
        <v>1326.2352295000001</v>
      </c>
      <c r="J1527">
        <v>1324.1884766000001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736.32292099999995</v>
      </c>
      <c r="B1528" s="1">
        <f>DATE(2012,5,6) + TIME(7,45,0)</f>
        <v>41035.322916666664</v>
      </c>
      <c r="C1528">
        <v>80</v>
      </c>
      <c r="D1528">
        <v>79.976181030000006</v>
      </c>
      <c r="E1528">
        <v>50</v>
      </c>
      <c r="F1528">
        <v>49.551311493</v>
      </c>
      <c r="G1528">
        <v>1341.1018065999999</v>
      </c>
      <c r="H1528">
        <v>1338.1229248</v>
      </c>
      <c r="I1528">
        <v>1326.2342529</v>
      </c>
      <c r="J1528">
        <v>1324.1873779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736.47944800000005</v>
      </c>
      <c r="B1529" s="1">
        <f>DATE(2012,5,6) + TIME(11,30,24)</f>
        <v>41035.479444444441</v>
      </c>
      <c r="C1529">
        <v>80</v>
      </c>
      <c r="D1529">
        <v>79.976188660000005</v>
      </c>
      <c r="E1529">
        <v>50</v>
      </c>
      <c r="F1529">
        <v>49.540851592999999</v>
      </c>
      <c r="G1529">
        <v>1341.0946045000001</v>
      </c>
      <c r="H1529">
        <v>1338.1201172000001</v>
      </c>
      <c r="I1529">
        <v>1326.2332764</v>
      </c>
      <c r="J1529">
        <v>1324.1861572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736.63880400000005</v>
      </c>
      <c r="B1530" s="1">
        <f>DATE(2012,5,6) + TIME(15,19,52)</f>
        <v>41035.638796296298</v>
      </c>
      <c r="C1530">
        <v>80</v>
      </c>
      <c r="D1530">
        <v>79.976181030000006</v>
      </c>
      <c r="E1530">
        <v>50</v>
      </c>
      <c r="F1530">
        <v>49.530246734999999</v>
      </c>
      <c r="G1530">
        <v>1341.0871582</v>
      </c>
      <c r="H1530">
        <v>1338.1173096</v>
      </c>
      <c r="I1530">
        <v>1326.2322998</v>
      </c>
      <c r="J1530">
        <v>1324.1849365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736.80137100000002</v>
      </c>
      <c r="B1531" s="1">
        <f>DATE(2012,5,6) + TIME(19,13,58)</f>
        <v>41035.801365740743</v>
      </c>
      <c r="C1531">
        <v>80</v>
      </c>
      <c r="D1531">
        <v>79.976173400999997</v>
      </c>
      <c r="E1531">
        <v>50</v>
      </c>
      <c r="F1531">
        <v>49.519485474</v>
      </c>
      <c r="G1531">
        <v>1341.0797118999999</v>
      </c>
      <c r="H1531">
        <v>1338.1143798999999</v>
      </c>
      <c r="I1531">
        <v>1326.2313231999999</v>
      </c>
      <c r="J1531">
        <v>1324.1837158000001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736.96756300000004</v>
      </c>
      <c r="B1532" s="1">
        <f>DATE(2012,5,6) + TIME(23,13,17)</f>
        <v>41035.967557870368</v>
      </c>
      <c r="C1532">
        <v>80</v>
      </c>
      <c r="D1532">
        <v>79.976165770999998</v>
      </c>
      <c r="E1532">
        <v>50</v>
      </c>
      <c r="F1532">
        <v>49.508541106999999</v>
      </c>
      <c r="G1532">
        <v>1341.0721435999999</v>
      </c>
      <c r="H1532">
        <v>1338.1114502</v>
      </c>
      <c r="I1532">
        <v>1326.2302245999999</v>
      </c>
      <c r="J1532">
        <v>1324.1823730000001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737.13628200000005</v>
      </c>
      <c r="B1533" s="1">
        <f>DATE(2012,5,7) + TIME(3,16,14)</f>
        <v>41036.136273148149</v>
      </c>
      <c r="C1533">
        <v>80</v>
      </c>
      <c r="D1533">
        <v>79.976142882999994</v>
      </c>
      <c r="E1533">
        <v>50</v>
      </c>
      <c r="F1533">
        <v>49.497478485000002</v>
      </c>
      <c r="G1533">
        <v>1341.0644531</v>
      </c>
      <c r="H1533">
        <v>1338.1083983999999</v>
      </c>
      <c r="I1533">
        <v>1326.2292480000001</v>
      </c>
      <c r="J1533">
        <v>1324.1810303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737.30693799999995</v>
      </c>
      <c r="B1534" s="1">
        <f>DATE(2012,5,7) + TIME(7,21,59)</f>
        <v>41036.306932870371</v>
      </c>
      <c r="C1534">
        <v>80</v>
      </c>
      <c r="D1534">
        <v>79.976127625000004</v>
      </c>
      <c r="E1534">
        <v>50</v>
      </c>
      <c r="F1534">
        <v>49.486328125</v>
      </c>
      <c r="G1534">
        <v>1341.0567627</v>
      </c>
      <c r="H1534">
        <v>1338.1054687999999</v>
      </c>
      <c r="I1534">
        <v>1326.2281493999999</v>
      </c>
      <c r="J1534">
        <v>1324.1796875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737.47994600000004</v>
      </c>
      <c r="B1535" s="1">
        <f>DATE(2012,5,7) + TIME(11,31,7)</f>
        <v>41036.479942129627</v>
      </c>
      <c r="C1535">
        <v>80</v>
      </c>
      <c r="D1535">
        <v>79.976104735999996</v>
      </c>
      <c r="E1535">
        <v>50</v>
      </c>
      <c r="F1535">
        <v>49.475070952999999</v>
      </c>
      <c r="G1535">
        <v>1341.0489502</v>
      </c>
      <c r="H1535">
        <v>1338.1024170000001</v>
      </c>
      <c r="I1535">
        <v>1326.2270507999999</v>
      </c>
      <c r="J1535">
        <v>1324.1783447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737.65559599999995</v>
      </c>
      <c r="B1536" s="1">
        <f>DATE(2012,5,7) + TIME(15,44,3)</f>
        <v>41036.655590277776</v>
      </c>
      <c r="C1536">
        <v>80</v>
      </c>
      <c r="D1536">
        <v>79.976074218999997</v>
      </c>
      <c r="E1536">
        <v>50</v>
      </c>
      <c r="F1536">
        <v>49.463695526000002</v>
      </c>
      <c r="G1536">
        <v>1341.0411377</v>
      </c>
      <c r="H1536">
        <v>1338.0993652</v>
      </c>
      <c r="I1536">
        <v>1326.2258300999999</v>
      </c>
      <c r="J1536">
        <v>1324.1768798999999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737.83425599999998</v>
      </c>
      <c r="B1537" s="1">
        <f>DATE(2012,5,7) + TIME(20,1,19)</f>
        <v>41036.834247685183</v>
      </c>
      <c r="C1537">
        <v>80</v>
      </c>
      <c r="D1537">
        <v>79.976051330999994</v>
      </c>
      <c r="E1537">
        <v>50</v>
      </c>
      <c r="F1537">
        <v>49.45218277</v>
      </c>
      <c r="G1537">
        <v>1341.0332031</v>
      </c>
      <c r="H1537">
        <v>1338.0963135</v>
      </c>
      <c r="I1537">
        <v>1326.2247314000001</v>
      </c>
      <c r="J1537">
        <v>1324.1754149999999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738.01632199999995</v>
      </c>
      <c r="B1538" s="1">
        <f>DATE(2012,5,8) + TIME(0,23,30)</f>
        <v>41037.016319444447</v>
      </c>
      <c r="C1538">
        <v>80</v>
      </c>
      <c r="D1538">
        <v>79.976020813000005</v>
      </c>
      <c r="E1538">
        <v>50</v>
      </c>
      <c r="F1538">
        <v>49.440513611</v>
      </c>
      <c r="G1538">
        <v>1341.0252685999999</v>
      </c>
      <c r="H1538">
        <v>1338.0932617000001</v>
      </c>
      <c r="I1538">
        <v>1326.2235106999999</v>
      </c>
      <c r="J1538">
        <v>1324.1739502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738.20221600000002</v>
      </c>
      <c r="B1539" s="1">
        <f>DATE(2012,5,8) + TIME(4,51,11)</f>
        <v>41037.202210648145</v>
      </c>
      <c r="C1539">
        <v>80</v>
      </c>
      <c r="D1539">
        <v>79.975990295000003</v>
      </c>
      <c r="E1539">
        <v>50</v>
      </c>
      <c r="F1539">
        <v>49.428668975999997</v>
      </c>
      <c r="G1539">
        <v>1341.0173339999999</v>
      </c>
      <c r="H1539">
        <v>1338.0900879000001</v>
      </c>
      <c r="I1539">
        <v>1326.2222899999999</v>
      </c>
      <c r="J1539">
        <v>1324.1723632999999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738.39239699999996</v>
      </c>
      <c r="B1540" s="1">
        <f>DATE(2012,5,8) + TIME(9,25,3)</f>
        <v>41037.392395833333</v>
      </c>
      <c r="C1540">
        <v>80</v>
      </c>
      <c r="D1540">
        <v>79.975952148000005</v>
      </c>
      <c r="E1540">
        <v>50</v>
      </c>
      <c r="F1540">
        <v>49.416622162000003</v>
      </c>
      <c r="G1540">
        <v>1341.0092772999999</v>
      </c>
      <c r="H1540">
        <v>1338.0870361</v>
      </c>
      <c r="I1540">
        <v>1326.2210693</v>
      </c>
      <c r="J1540">
        <v>1324.1707764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738.58736299999998</v>
      </c>
      <c r="B1541" s="1">
        <f>DATE(2012,5,8) + TIME(14,5,48)</f>
        <v>41037.587361111109</v>
      </c>
      <c r="C1541">
        <v>80</v>
      </c>
      <c r="D1541">
        <v>79.975921631000006</v>
      </c>
      <c r="E1541">
        <v>50</v>
      </c>
      <c r="F1541">
        <v>49.404350280999999</v>
      </c>
      <c r="G1541">
        <v>1341.0012207</v>
      </c>
      <c r="H1541">
        <v>1338.0838623</v>
      </c>
      <c r="I1541">
        <v>1326.2197266000001</v>
      </c>
      <c r="J1541">
        <v>1324.1691894999999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738.78788599999996</v>
      </c>
      <c r="B1542" s="1">
        <f>DATE(2012,5,8) + TIME(18,54,33)</f>
        <v>41037.787881944445</v>
      </c>
      <c r="C1542">
        <v>80</v>
      </c>
      <c r="D1542">
        <v>79.975883483999993</v>
      </c>
      <c r="E1542">
        <v>50</v>
      </c>
      <c r="F1542">
        <v>49.391815186000002</v>
      </c>
      <c r="G1542">
        <v>1340.9930420000001</v>
      </c>
      <c r="H1542">
        <v>1338.0806885</v>
      </c>
      <c r="I1542">
        <v>1326.2183838000001</v>
      </c>
      <c r="J1542">
        <v>1324.1673584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738.99440800000002</v>
      </c>
      <c r="B1543" s="1">
        <f>DATE(2012,5,8) + TIME(23,51,56)</f>
        <v>41037.994398148148</v>
      </c>
      <c r="C1543">
        <v>80</v>
      </c>
      <c r="D1543">
        <v>79.975852966000005</v>
      </c>
      <c r="E1543">
        <v>50</v>
      </c>
      <c r="F1543">
        <v>49.378993987999998</v>
      </c>
      <c r="G1543">
        <v>1340.9847411999999</v>
      </c>
      <c r="H1543">
        <v>1338.0775146000001</v>
      </c>
      <c r="I1543">
        <v>1326.2170410000001</v>
      </c>
      <c r="J1543">
        <v>1324.1656493999999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739.20447999999999</v>
      </c>
      <c r="B1544" s="1">
        <f>DATE(2012,5,9) + TIME(4,54,27)</f>
        <v>41038.204479166663</v>
      </c>
      <c r="C1544">
        <v>80</v>
      </c>
      <c r="D1544">
        <v>79.975814818999993</v>
      </c>
      <c r="E1544">
        <v>50</v>
      </c>
      <c r="F1544">
        <v>49.366004943999997</v>
      </c>
      <c r="G1544">
        <v>1340.9763184000001</v>
      </c>
      <c r="H1544">
        <v>1338.0742187999999</v>
      </c>
      <c r="I1544">
        <v>1326.2155762</v>
      </c>
      <c r="J1544">
        <v>1324.1638184000001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739.41858999999999</v>
      </c>
      <c r="B1545" s="1">
        <f>DATE(2012,5,9) + TIME(10,2,46)</f>
        <v>41038.418587962966</v>
      </c>
      <c r="C1545">
        <v>80</v>
      </c>
      <c r="D1545">
        <v>79.975776671999995</v>
      </c>
      <c r="E1545">
        <v>50</v>
      </c>
      <c r="F1545">
        <v>49.352825164999999</v>
      </c>
      <c r="G1545">
        <v>1340.9678954999999</v>
      </c>
      <c r="H1545">
        <v>1338.0710449000001</v>
      </c>
      <c r="I1545">
        <v>1326.2139893000001</v>
      </c>
      <c r="J1545">
        <v>1324.1618652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739.63720799999999</v>
      </c>
      <c r="B1546" s="1">
        <f>DATE(2012,5,9) + TIME(15,17,34)</f>
        <v>41038.637199074074</v>
      </c>
      <c r="C1546">
        <v>80</v>
      </c>
      <c r="D1546">
        <v>79.975730896000002</v>
      </c>
      <c r="E1546">
        <v>50</v>
      </c>
      <c r="F1546">
        <v>49.339439392000003</v>
      </c>
      <c r="G1546">
        <v>1340.9594727000001</v>
      </c>
      <c r="H1546">
        <v>1338.067749</v>
      </c>
      <c r="I1546">
        <v>1326.2125243999999</v>
      </c>
      <c r="J1546">
        <v>1324.1599120999999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739.86083599999995</v>
      </c>
      <c r="B1547" s="1">
        <f>DATE(2012,5,9) + TIME(20,39,36)</f>
        <v>41038.860833333332</v>
      </c>
      <c r="C1547">
        <v>80</v>
      </c>
      <c r="D1547">
        <v>79.975692749000004</v>
      </c>
      <c r="E1547">
        <v>50</v>
      </c>
      <c r="F1547">
        <v>49.325828551999997</v>
      </c>
      <c r="G1547">
        <v>1340.9509277</v>
      </c>
      <c r="H1547">
        <v>1338.0645752</v>
      </c>
      <c r="I1547">
        <v>1326.2109375</v>
      </c>
      <c r="J1547">
        <v>1324.1578368999999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740.09002699999996</v>
      </c>
      <c r="B1548" s="1">
        <f>DATE(2012,5,10) + TIME(2,9,38)</f>
        <v>41039.09002314815</v>
      </c>
      <c r="C1548">
        <v>80</v>
      </c>
      <c r="D1548">
        <v>79.975654602000006</v>
      </c>
      <c r="E1548">
        <v>50</v>
      </c>
      <c r="F1548">
        <v>49.311962127999998</v>
      </c>
      <c r="G1548">
        <v>1340.9423827999999</v>
      </c>
      <c r="H1548">
        <v>1338.0612793</v>
      </c>
      <c r="I1548">
        <v>1326.2092285000001</v>
      </c>
      <c r="J1548">
        <v>1324.1557617000001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740.32539599999996</v>
      </c>
      <c r="B1549" s="1">
        <f>DATE(2012,5,10) + TIME(7,48,34)</f>
        <v>41039.32539351852</v>
      </c>
      <c r="C1549">
        <v>80</v>
      </c>
      <c r="D1549">
        <v>79.975616454999994</v>
      </c>
      <c r="E1549">
        <v>50</v>
      </c>
      <c r="F1549">
        <v>49.29781723</v>
      </c>
      <c r="G1549">
        <v>1340.9338379000001</v>
      </c>
      <c r="H1549">
        <v>1338.0581055</v>
      </c>
      <c r="I1549">
        <v>1326.2075195</v>
      </c>
      <c r="J1549">
        <v>1324.1535644999999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740.56762400000002</v>
      </c>
      <c r="B1550" s="1">
        <f>DATE(2012,5,10) + TIME(13,37,22)</f>
        <v>41039.567615740743</v>
      </c>
      <c r="C1550">
        <v>80</v>
      </c>
      <c r="D1550">
        <v>79.975570679</v>
      </c>
      <c r="E1550">
        <v>50</v>
      </c>
      <c r="F1550">
        <v>49.283355712999999</v>
      </c>
      <c r="G1550">
        <v>1340.9251709</v>
      </c>
      <c r="H1550">
        <v>1338.0548096</v>
      </c>
      <c r="I1550">
        <v>1326.2058105000001</v>
      </c>
      <c r="J1550">
        <v>1324.1512451000001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740.81676400000003</v>
      </c>
      <c r="B1551" s="1">
        <f>DATE(2012,5,10) + TIME(19,36,8)</f>
        <v>41039.816759259258</v>
      </c>
      <c r="C1551">
        <v>80</v>
      </c>
      <c r="D1551">
        <v>79.975532532000003</v>
      </c>
      <c r="E1551">
        <v>50</v>
      </c>
      <c r="F1551">
        <v>49.268581390000001</v>
      </c>
      <c r="G1551">
        <v>1340.9165039</v>
      </c>
      <c r="H1551">
        <v>1338.0515137</v>
      </c>
      <c r="I1551">
        <v>1326.2039795000001</v>
      </c>
      <c r="J1551">
        <v>1324.1489257999999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741.06904499999996</v>
      </c>
      <c r="B1552" s="1">
        <f>DATE(2012,5,11) + TIME(1,39,25)</f>
        <v>41040.069039351853</v>
      </c>
      <c r="C1552">
        <v>80</v>
      </c>
      <c r="D1552">
        <v>79.975486755000006</v>
      </c>
      <c r="E1552">
        <v>50</v>
      </c>
      <c r="F1552">
        <v>49.253662108999997</v>
      </c>
      <c r="G1552">
        <v>1340.9075928</v>
      </c>
      <c r="H1552">
        <v>1338.0482178</v>
      </c>
      <c r="I1552">
        <v>1326.2020264</v>
      </c>
      <c r="J1552">
        <v>1324.1463623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741.32513200000005</v>
      </c>
      <c r="B1553" s="1">
        <f>DATE(2012,5,11) + TIME(7,48,11)</f>
        <v>41040.325127314813</v>
      </c>
      <c r="C1553">
        <v>80</v>
      </c>
      <c r="D1553">
        <v>79.975440978999998</v>
      </c>
      <c r="E1553">
        <v>50</v>
      </c>
      <c r="F1553">
        <v>49.238578795999999</v>
      </c>
      <c r="G1553">
        <v>1340.8989257999999</v>
      </c>
      <c r="H1553">
        <v>1338.0450439000001</v>
      </c>
      <c r="I1553">
        <v>1326.2000731999999</v>
      </c>
      <c r="J1553">
        <v>1324.1439209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741.58523200000002</v>
      </c>
      <c r="B1554" s="1">
        <f>DATE(2012,5,11) + TIME(14,2,44)</f>
        <v>41040.585231481484</v>
      </c>
      <c r="C1554">
        <v>80</v>
      </c>
      <c r="D1554">
        <v>79.975395203000005</v>
      </c>
      <c r="E1554">
        <v>50</v>
      </c>
      <c r="F1554">
        <v>49.223327636999997</v>
      </c>
      <c r="G1554">
        <v>1340.8901367000001</v>
      </c>
      <c r="H1554">
        <v>1338.0417480000001</v>
      </c>
      <c r="I1554">
        <v>1326.1979980000001</v>
      </c>
      <c r="J1554">
        <v>1324.1412353999999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741.84724800000004</v>
      </c>
      <c r="B1555" s="1">
        <f>DATE(2012,5,11) + TIME(20,20,2)</f>
        <v>41040.847245370373</v>
      </c>
      <c r="C1555">
        <v>80</v>
      </c>
      <c r="D1555">
        <v>79.975357056000007</v>
      </c>
      <c r="E1555">
        <v>50</v>
      </c>
      <c r="F1555">
        <v>49.208007811999998</v>
      </c>
      <c r="G1555">
        <v>1340.8814697</v>
      </c>
      <c r="H1555">
        <v>1338.0385742000001</v>
      </c>
      <c r="I1555">
        <v>1326.1959228999999</v>
      </c>
      <c r="J1555">
        <v>1324.1385498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742.11184800000001</v>
      </c>
      <c r="B1556" s="1">
        <f>DATE(2012,5,12) + TIME(2,41,3)</f>
        <v>41041.111840277779</v>
      </c>
      <c r="C1556">
        <v>80</v>
      </c>
      <c r="D1556">
        <v>79.975311278999996</v>
      </c>
      <c r="E1556">
        <v>50</v>
      </c>
      <c r="F1556">
        <v>49.192600249999998</v>
      </c>
      <c r="G1556">
        <v>1340.8729248</v>
      </c>
      <c r="H1556">
        <v>1338.0355225000001</v>
      </c>
      <c r="I1556">
        <v>1326.1938477000001</v>
      </c>
      <c r="J1556">
        <v>1324.1357422000001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742.37966200000005</v>
      </c>
      <c r="B1557" s="1">
        <f>DATE(2012,5,12) + TIME(9,6,42)</f>
        <v>41041.379652777781</v>
      </c>
      <c r="C1557">
        <v>80</v>
      </c>
      <c r="D1557">
        <v>79.975273131999998</v>
      </c>
      <c r="E1557">
        <v>50</v>
      </c>
      <c r="F1557">
        <v>49.177089690999999</v>
      </c>
      <c r="G1557">
        <v>1340.8645019999999</v>
      </c>
      <c r="H1557">
        <v>1338.0323486</v>
      </c>
      <c r="I1557">
        <v>1326.1916504000001</v>
      </c>
      <c r="J1557">
        <v>1324.1329346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742.65125499999999</v>
      </c>
      <c r="B1558" s="1">
        <f>DATE(2012,5,12) + TIME(15,37,48)</f>
        <v>41041.651250000003</v>
      </c>
      <c r="C1558">
        <v>80</v>
      </c>
      <c r="D1558">
        <v>79.975227356000005</v>
      </c>
      <c r="E1558">
        <v>50</v>
      </c>
      <c r="F1558">
        <v>49.161449431999998</v>
      </c>
      <c r="G1558">
        <v>1340.8560791</v>
      </c>
      <c r="H1558">
        <v>1338.0292969</v>
      </c>
      <c r="I1558">
        <v>1326.1894531</v>
      </c>
      <c r="J1558">
        <v>1324.1300048999999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742.92728</v>
      </c>
      <c r="B1559" s="1">
        <f>DATE(2012,5,12) + TIME(22,15,16)</f>
        <v>41041.927268518521</v>
      </c>
      <c r="C1559">
        <v>80</v>
      </c>
      <c r="D1559">
        <v>79.975181579999997</v>
      </c>
      <c r="E1559">
        <v>50</v>
      </c>
      <c r="F1559">
        <v>49.145656586000001</v>
      </c>
      <c r="G1559">
        <v>1340.8477783000001</v>
      </c>
      <c r="H1559">
        <v>1338.0263672000001</v>
      </c>
      <c r="I1559">
        <v>1326.1872559000001</v>
      </c>
      <c r="J1559">
        <v>1324.1270752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743.20843100000002</v>
      </c>
      <c r="B1560" s="1">
        <f>DATE(2012,5,13) + TIME(5,0,8)</f>
        <v>41042.208425925928</v>
      </c>
      <c r="C1560">
        <v>80</v>
      </c>
      <c r="D1560">
        <v>79.975143433</v>
      </c>
      <c r="E1560">
        <v>50</v>
      </c>
      <c r="F1560">
        <v>49.129680634000003</v>
      </c>
      <c r="G1560">
        <v>1340.8394774999999</v>
      </c>
      <c r="H1560">
        <v>1338.0233154</v>
      </c>
      <c r="I1560">
        <v>1326.1848144999999</v>
      </c>
      <c r="J1560">
        <v>1324.1239014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743.49547600000005</v>
      </c>
      <c r="B1561" s="1">
        <f>DATE(2012,5,13) + TIME(11,53,29)</f>
        <v>41042.495474537034</v>
      </c>
      <c r="C1561">
        <v>80</v>
      </c>
      <c r="D1561">
        <v>79.975097656000003</v>
      </c>
      <c r="E1561">
        <v>50</v>
      </c>
      <c r="F1561">
        <v>49.113487243999998</v>
      </c>
      <c r="G1561">
        <v>1340.8311768000001</v>
      </c>
      <c r="H1561">
        <v>1338.0203856999999</v>
      </c>
      <c r="I1561">
        <v>1326.1824951000001</v>
      </c>
      <c r="J1561">
        <v>1324.1207274999999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743.78865800000005</v>
      </c>
      <c r="B1562" s="1">
        <f>DATE(2012,5,13) + TIME(18,55,40)</f>
        <v>41042.788657407407</v>
      </c>
      <c r="C1562">
        <v>80</v>
      </c>
      <c r="D1562">
        <v>79.975051879999995</v>
      </c>
      <c r="E1562">
        <v>50</v>
      </c>
      <c r="F1562">
        <v>49.097068786999998</v>
      </c>
      <c r="G1562">
        <v>1340.8229980000001</v>
      </c>
      <c r="H1562">
        <v>1338.0174560999999</v>
      </c>
      <c r="I1562">
        <v>1326.1799315999999</v>
      </c>
      <c r="J1562">
        <v>1324.1174315999999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744.08835899999997</v>
      </c>
      <c r="B1563" s="1">
        <f>DATE(2012,5,14) + TIME(2,7,14)</f>
        <v>41043.088356481479</v>
      </c>
      <c r="C1563">
        <v>80</v>
      </c>
      <c r="D1563">
        <v>79.975013732999997</v>
      </c>
      <c r="E1563">
        <v>50</v>
      </c>
      <c r="F1563">
        <v>49.080402374000002</v>
      </c>
      <c r="G1563">
        <v>1340.8146973</v>
      </c>
      <c r="H1563">
        <v>1338.0144043</v>
      </c>
      <c r="I1563">
        <v>1326.1773682</v>
      </c>
      <c r="J1563">
        <v>1324.1140137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744.39730099999997</v>
      </c>
      <c r="B1564" s="1">
        <f>DATE(2012,5,14) + TIME(9,32,6)</f>
        <v>41043.397291666668</v>
      </c>
      <c r="C1564">
        <v>80</v>
      </c>
      <c r="D1564">
        <v>79.974967957000004</v>
      </c>
      <c r="E1564">
        <v>50</v>
      </c>
      <c r="F1564">
        <v>49.063381194999998</v>
      </c>
      <c r="G1564">
        <v>1340.8063964999999</v>
      </c>
      <c r="H1564">
        <v>1338.0114745999999</v>
      </c>
      <c r="I1564">
        <v>1326.1746826000001</v>
      </c>
      <c r="J1564">
        <v>1324.1104736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744.71672000000001</v>
      </c>
      <c r="B1565" s="1">
        <f>DATE(2012,5,14) + TIME(17,12,4)</f>
        <v>41043.71671296296</v>
      </c>
      <c r="C1565">
        <v>80</v>
      </c>
      <c r="D1565">
        <v>79.974922179999993</v>
      </c>
      <c r="E1565">
        <v>50</v>
      </c>
      <c r="F1565">
        <v>49.045948029000002</v>
      </c>
      <c r="G1565">
        <v>1340.7980957</v>
      </c>
      <c r="H1565">
        <v>1338.0085449000001</v>
      </c>
      <c r="I1565">
        <v>1326.1719971</v>
      </c>
      <c r="J1565">
        <v>1324.1068115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745.04679599999997</v>
      </c>
      <c r="B1566" s="1">
        <f>DATE(2012,5,15) + TIME(1,7,23)</f>
        <v>41044.046793981484</v>
      </c>
      <c r="C1566">
        <v>80</v>
      </c>
      <c r="D1566">
        <v>79.974884032999995</v>
      </c>
      <c r="E1566">
        <v>50</v>
      </c>
      <c r="F1566">
        <v>49.028087616000001</v>
      </c>
      <c r="G1566">
        <v>1340.7895507999999</v>
      </c>
      <c r="H1566">
        <v>1338.0056152</v>
      </c>
      <c r="I1566">
        <v>1326.1690673999999</v>
      </c>
      <c r="J1566">
        <v>1324.1029053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745.37968699999999</v>
      </c>
      <c r="B1567" s="1">
        <f>DATE(2012,5,15) + TIME(9,6,44)</f>
        <v>41044.379675925928</v>
      </c>
      <c r="C1567">
        <v>80</v>
      </c>
      <c r="D1567">
        <v>79.974838257000002</v>
      </c>
      <c r="E1567">
        <v>50</v>
      </c>
      <c r="F1567">
        <v>49.010086059999999</v>
      </c>
      <c r="G1567">
        <v>1340.7810059000001</v>
      </c>
      <c r="H1567">
        <v>1338.0026855000001</v>
      </c>
      <c r="I1567">
        <v>1326.1660156</v>
      </c>
      <c r="J1567">
        <v>1324.0988769999999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745.71614399999999</v>
      </c>
      <c r="B1568" s="1">
        <f>DATE(2012,5,15) + TIME(17,11,14)</f>
        <v>41044.716134259259</v>
      </c>
      <c r="C1568">
        <v>80</v>
      </c>
      <c r="D1568">
        <v>79.974792480000005</v>
      </c>
      <c r="E1568">
        <v>50</v>
      </c>
      <c r="F1568">
        <v>48.991954802999999</v>
      </c>
      <c r="G1568">
        <v>1340.7725829999999</v>
      </c>
      <c r="H1568">
        <v>1337.9997559000001</v>
      </c>
      <c r="I1568">
        <v>1326.1629639</v>
      </c>
      <c r="J1568">
        <v>1324.0947266000001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746.05699500000003</v>
      </c>
      <c r="B1569" s="1">
        <f>DATE(2012,5,16) + TIME(1,22,4)</f>
        <v>41045.056990740741</v>
      </c>
      <c r="C1569">
        <v>80</v>
      </c>
      <c r="D1569">
        <v>79.974746703999998</v>
      </c>
      <c r="E1569">
        <v>50</v>
      </c>
      <c r="F1569">
        <v>48.973670959000003</v>
      </c>
      <c r="G1569">
        <v>1340.7642822</v>
      </c>
      <c r="H1569">
        <v>1337.9968262</v>
      </c>
      <c r="I1569">
        <v>1326.1597899999999</v>
      </c>
      <c r="J1569">
        <v>1324.0904541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746.40294800000004</v>
      </c>
      <c r="B1570" s="1">
        <f>DATE(2012,5,16) + TIME(9,40,14)</f>
        <v>41045.402939814812</v>
      </c>
      <c r="C1570">
        <v>80</v>
      </c>
      <c r="D1570">
        <v>79.974700928000004</v>
      </c>
      <c r="E1570">
        <v>50</v>
      </c>
      <c r="F1570">
        <v>48.955226897999999</v>
      </c>
      <c r="G1570">
        <v>1340.7559814000001</v>
      </c>
      <c r="H1570">
        <v>1337.9940185999999</v>
      </c>
      <c r="I1570">
        <v>1326.1564940999999</v>
      </c>
      <c r="J1570">
        <v>1324.0860596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746.75475500000005</v>
      </c>
      <c r="B1571" s="1">
        <f>DATE(2012,5,16) + TIME(18,6,50)</f>
        <v>41045.754745370374</v>
      </c>
      <c r="C1571">
        <v>80</v>
      </c>
      <c r="D1571">
        <v>79.974662781000006</v>
      </c>
      <c r="E1571">
        <v>50</v>
      </c>
      <c r="F1571">
        <v>48.936595916999998</v>
      </c>
      <c r="G1571">
        <v>1340.7478027</v>
      </c>
      <c r="H1571">
        <v>1337.9912108999999</v>
      </c>
      <c r="I1571">
        <v>1326.1531981999999</v>
      </c>
      <c r="J1571">
        <v>1324.081543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747.11325999999997</v>
      </c>
      <c r="B1572" s="1">
        <f>DATE(2012,5,17) + TIME(2,43,5)</f>
        <v>41046.113252314812</v>
      </c>
      <c r="C1572">
        <v>80</v>
      </c>
      <c r="D1572">
        <v>79.974617003999995</v>
      </c>
      <c r="E1572">
        <v>50</v>
      </c>
      <c r="F1572">
        <v>48.917751312</v>
      </c>
      <c r="G1572">
        <v>1340.739624</v>
      </c>
      <c r="H1572">
        <v>1337.9884033000001</v>
      </c>
      <c r="I1572">
        <v>1326.1497803</v>
      </c>
      <c r="J1572">
        <v>1324.0769043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747.47937400000001</v>
      </c>
      <c r="B1573" s="1">
        <f>DATE(2012,5,17) + TIME(11,30,17)</f>
        <v>41046.479363425926</v>
      </c>
      <c r="C1573">
        <v>80</v>
      </c>
      <c r="D1573">
        <v>79.974571228000002</v>
      </c>
      <c r="E1573">
        <v>50</v>
      </c>
      <c r="F1573">
        <v>48.898658752000003</v>
      </c>
      <c r="G1573">
        <v>1340.7314452999999</v>
      </c>
      <c r="H1573">
        <v>1337.9855957</v>
      </c>
      <c r="I1573">
        <v>1326.1462402</v>
      </c>
      <c r="J1573">
        <v>1324.0721435999999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747.848885</v>
      </c>
      <c r="B1574" s="1">
        <f>DATE(2012,5,17) + TIME(20,22,23)</f>
        <v>41046.848877314813</v>
      </c>
      <c r="C1574">
        <v>80</v>
      </c>
      <c r="D1574">
        <v>79.974533081000004</v>
      </c>
      <c r="E1574">
        <v>50</v>
      </c>
      <c r="F1574">
        <v>48.879463196000003</v>
      </c>
      <c r="G1574">
        <v>1340.7233887</v>
      </c>
      <c r="H1574">
        <v>1337.9829102000001</v>
      </c>
      <c r="I1574">
        <v>1326.1425781</v>
      </c>
      <c r="J1574">
        <v>1324.0671387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748.22078299999998</v>
      </c>
      <c r="B1575" s="1">
        <f>DATE(2012,5,18) + TIME(5,17,55)</f>
        <v>41047.220775462964</v>
      </c>
      <c r="C1575">
        <v>80</v>
      </c>
      <c r="D1575">
        <v>79.974487304999997</v>
      </c>
      <c r="E1575">
        <v>50</v>
      </c>
      <c r="F1575">
        <v>48.860221863</v>
      </c>
      <c r="G1575">
        <v>1340.715332</v>
      </c>
      <c r="H1575">
        <v>1337.9802245999999</v>
      </c>
      <c r="I1575">
        <v>1326.1387939000001</v>
      </c>
      <c r="J1575">
        <v>1324.0621338000001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748.59606699999995</v>
      </c>
      <c r="B1576" s="1">
        <f>DATE(2012,5,18) + TIME(14,18,20)</f>
        <v>41047.596064814818</v>
      </c>
      <c r="C1576">
        <v>80</v>
      </c>
      <c r="D1576">
        <v>79.974441528</v>
      </c>
      <c r="E1576">
        <v>50</v>
      </c>
      <c r="F1576">
        <v>48.840911865000002</v>
      </c>
      <c r="G1576">
        <v>1340.7073975000001</v>
      </c>
      <c r="H1576">
        <v>1337.9775391000001</v>
      </c>
      <c r="I1576">
        <v>1326.1350098</v>
      </c>
      <c r="J1576">
        <v>1324.0568848</v>
      </c>
      <c r="K1576">
        <v>2750</v>
      </c>
      <c r="L1576">
        <v>0</v>
      </c>
      <c r="M1576">
        <v>0</v>
      </c>
      <c r="N1576">
        <v>2750</v>
      </c>
    </row>
    <row r="1577" spans="1:14" x14ac:dyDescent="0.25">
      <c r="A1577">
        <v>748.97584900000004</v>
      </c>
      <c r="B1577" s="1">
        <f>DATE(2012,5,18) + TIME(23,25,13)</f>
        <v>41047.975844907407</v>
      </c>
      <c r="C1577">
        <v>80</v>
      </c>
      <c r="D1577">
        <v>79.974403381000002</v>
      </c>
      <c r="E1577">
        <v>50</v>
      </c>
      <c r="F1577">
        <v>48.821510314999998</v>
      </c>
      <c r="G1577">
        <v>1340.6995850000001</v>
      </c>
      <c r="H1577">
        <v>1337.9748535000001</v>
      </c>
      <c r="I1577">
        <v>1326.1311035000001</v>
      </c>
      <c r="J1577">
        <v>1324.0516356999999</v>
      </c>
      <c r="K1577">
        <v>2750</v>
      </c>
      <c r="L1577">
        <v>0</v>
      </c>
      <c r="M1577">
        <v>0</v>
      </c>
      <c r="N1577">
        <v>2750</v>
      </c>
    </row>
    <row r="1578" spans="1:14" x14ac:dyDescent="0.25">
      <c r="A1578">
        <v>749.36101099999996</v>
      </c>
      <c r="B1578" s="1">
        <f>DATE(2012,5,19) + TIME(8,39,51)</f>
        <v>41048.361006944448</v>
      </c>
      <c r="C1578">
        <v>80</v>
      </c>
      <c r="D1578">
        <v>79.974357604999994</v>
      </c>
      <c r="E1578">
        <v>50</v>
      </c>
      <c r="F1578">
        <v>48.801979064999998</v>
      </c>
      <c r="G1578">
        <v>1340.6917725000001</v>
      </c>
      <c r="H1578">
        <v>1337.9722899999999</v>
      </c>
      <c r="I1578">
        <v>1326.1271973</v>
      </c>
      <c r="J1578">
        <v>1324.0461425999999</v>
      </c>
      <c r="K1578">
        <v>2750</v>
      </c>
      <c r="L1578">
        <v>0</v>
      </c>
      <c r="M1578">
        <v>0</v>
      </c>
      <c r="N1578">
        <v>2750</v>
      </c>
    </row>
    <row r="1579" spans="1:14" x14ac:dyDescent="0.25">
      <c r="A1579">
        <v>749.75264100000004</v>
      </c>
      <c r="B1579" s="1">
        <f>DATE(2012,5,19) + TIME(18,3,48)</f>
        <v>41048.752638888887</v>
      </c>
      <c r="C1579">
        <v>80</v>
      </c>
      <c r="D1579">
        <v>79.974319457999997</v>
      </c>
      <c r="E1579">
        <v>50</v>
      </c>
      <c r="F1579">
        <v>48.782287598000003</v>
      </c>
      <c r="G1579">
        <v>1340.684082</v>
      </c>
      <c r="H1579">
        <v>1337.9697266000001</v>
      </c>
      <c r="I1579">
        <v>1326.1230469</v>
      </c>
      <c r="J1579">
        <v>1324.0405272999999</v>
      </c>
      <c r="K1579">
        <v>2750</v>
      </c>
      <c r="L1579">
        <v>0</v>
      </c>
      <c r="M1579">
        <v>0</v>
      </c>
      <c r="N1579">
        <v>2750</v>
      </c>
    </row>
    <row r="1580" spans="1:14" x14ac:dyDescent="0.25">
      <c r="A1580">
        <v>750.152019</v>
      </c>
      <c r="B1580" s="1">
        <f>DATE(2012,5,20) + TIME(3,38,54)</f>
        <v>41049.152013888888</v>
      </c>
      <c r="C1580">
        <v>80</v>
      </c>
      <c r="D1580">
        <v>79.974273682000003</v>
      </c>
      <c r="E1580">
        <v>50</v>
      </c>
      <c r="F1580">
        <v>48.762386321999998</v>
      </c>
      <c r="G1580">
        <v>1340.6763916</v>
      </c>
      <c r="H1580">
        <v>1337.9670410000001</v>
      </c>
      <c r="I1580">
        <v>1326.1188964999999</v>
      </c>
      <c r="J1580">
        <v>1324.0347899999999</v>
      </c>
      <c r="K1580">
        <v>2750</v>
      </c>
      <c r="L1580">
        <v>0</v>
      </c>
      <c r="M1580">
        <v>0</v>
      </c>
      <c r="N1580">
        <v>2750</v>
      </c>
    </row>
    <row r="1581" spans="1:14" x14ac:dyDescent="0.25">
      <c r="A1581">
        <v>750.56380899999999</v>
      </c>
      <c r="B1581" s="1">
        <f>DATE(2012,5,20) + TIME(13,31,53)</f>
        <v>41049.563807870371</v>
      </c>
      <c r="C1581">
        <v>80</v>
      </c>
      <c r="D1581">
        <v>79.974235535000005</v>
      </c>
      <c r="E1581">
        <v>50</v>
      </c>
      <c r="F1581">
        <v>48.742107390999998</v>
      </c>
      <c r="G1581">
        <v>1340.6687012</v>
      </c>
      <c r="H1581">
        <v>1337.9644774999999</v>
      </c>
      <c r="I1581">
        <v>1326.114624</v>
      </c>
      <c r="J1581">
        <v>1324.0288086</v>
      </c>
      <c r="K1581">
        <v>2750</v>
      </c>
      <c r="L1581">
        <v>0</v>
      </c>
      <c r="M1581">
        <v>0</v>
      </c>
      <c r="N1581">
        <v>2750</v>
      </c>
    </row>
    <row r="1582" spans="1:14" x14ac:dyDescent="0.25">
      <c r="A1582">
        <v>750.98998099999994</v>
      </c>
      <c r="B1582" s="1">
        <f>DATE(2012,5,20) + TIME(23,45,34)</f>
        <v>41049.989976851852</v>
      </c>
      <c r="C1582">
        <v>80</v>
      </c>
      <c r="D1582">
        <v>79.974197387999993</v>
      </c>
      <c r="E1582">
        <v>50</v>
      </c>
      <c r="F1582">
        <v>48.721374511999997</v>
      </c>
      <c r="G1582">
        <v>1340.6608887</v>
      </c>
      <c r="H1582">
        <v>1337.9619141000001</v>
      </c>
      <c r="I1582">
        <v>1326.1101074000001</v>
      </c>
      <c r="J1582">
        <v>1324.0227050999999</v>
      </c>
      <c r="K1582">
        <v>2750</v>
      </c>
      <c r="L1582">
        <v>0</v>
      </c>
      <c r="M1582">
        <v>0</v>
      </c>
      <c r="N1582">
        <v>2750</v>
      </c>
    </row>
    <row r="1583" spans="1:14" x14ac:dyDescent="0.25">
      <c r="A1583">
        <v>751.43276900000001</v>
      </c>
      <c r="B1583" s="1">
        <f>DATE(2012,5,21) + TIME(10,23,11)</f>
        <v>41050.432766203703</v>
      </c>
      <c r="C1583">
        <v>80</v>
      </c>
      <c r="D1583">
        <v>79.974151610999996</v>
      </c>
      <c r="E1583">
        <v>50</v>
      </c>
      <c r="F1583">
        <v>48.700084685999997</v>
      </c>
      <c r="G1583">
        <v>1340.6530762</v>
      </c>
      <c r="H1583">
        <v>1337.9592285000001</v>
      </c>
      <c r="I1583">
        <v>1326.1053466999999</v>
      </c>
      <c r="J1583">
        <v>1324.0162353999999</v>
      </c>
      <c r="K1583">
        <v>2750</v>
      </c>
      <c r="L1583">
        <v>0</v>
      </c>
      <c r="M1583">
        <v>0</v>
      </c>
      <c r="N1583">
        <v>2750</v>
      </c>
    </row>
    <row r="1584" spans="1:14" x14ac:dyDescent="0.25">
      <c r="A1584">
        <v>751.89476500000001</v>
      </c>
      <c r="B1584" s="1">
        <f>DATE(2012,5,21) + TIME(21,28,27)</f>
        <v>41050.894756944443</v>
      </c>
      <c r="C1584">
        <v>80</v>
      </c>
      <c r="D1584">
        <v>79.974105835000003</v>
      </c>
      <c r="E1584">
        <v>50</v>
      </c>
      <c r="F1584">
        <v>48.678138732999997</v>
      </c>
      <c r="G1584">
        <v>1340.6451416</v>
      </c>
      <c r="H1584">
        <v>1337.9566649999999</v>
      </c>
      <c r="I1584">
        <v>1326.1004639</v>
      </c>
      <c r="J1584">
        <v>1324.0093993999999</v>
      </c>
      <c r="K1584">
        <v>2750</v>
      </c>
      <c r="L1584">
        <v>0</v>
      </c>
      <c r="M1584">
        <v>0</v>
      </c>
      <c r="N1584">
        <v>2750</v>
      </c>
    </row>
    <row r="1585" spans="1:14" x14ac:dyDescent="0.25">
      <c r="A1585">
        <v>752.37053900000001</v>
      </c>
      <c r="B1585" s="1">
        <f>DATE(2012,5,22) + TIME(8,53,34)</f>
        <v>41051.370532407411</v>
      </c>
      <c r="C1585">
        <v>80</v>
      </c>
      <c r="D1585">
        <v>79.974067688000005</v>
      </c>
      <c r="E1585">
        <v>50</v>
      </c>
      <c r="F1585">
        <v>48.655666351000001</v>
      </c>
      <c r="G1585">
        <v>1340.6369629000001</v>
      </c>
      <c r="H1585">
        <v>1337.9538574000001</v>
      </c>
      <c r="I1585">
        <v>1326.0953368999999</v>
      </c>
      <c r="J1585">
        <v>1324.0021973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752.85765400000003</v>
      </c>
      <c r="B1586" s="1">
        <f>DATE(2012,5,22) + TIME(20,35,1)</f>
        <v>41051.85765046296</v>
      </c>
      <c r="C1586">
        <v>80</v>
      </c>
      <c r="D1586">
        <v>79.974021911999998</v>
      </c>
      <c r="E1586">
        <v>50</v>
      </c>
      <c r="F1586">
        <v>48.632762909</v>
      </c>
      <c r="G1586">
        <v>1340.6286620999999</v>
      </c>
      <c r="H1586">
        <v>1337.9511719</v>
      </c>
      <c r="I1586">
        <v>1326.0899658000001</v>
      </c>
      <c r="J1586">
        <v>1323.994751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753.34529899999995</v>
      </c>
      <c r="B1587" s="1">
        <f>DATE(2012,5,23) + TIME(8,17,13)</f>
        <v>41052.345289351855</v>
      </c>
      <c r="C1587">
        <v>80</v>
      </c>
      <c r="D1587">
        <v>79.973976135000001</v>
      </c>
      <c r="E1587">
        <v>50</v>
      </c>
      <c r="F1587">
        <v>48.609767914000003</v>
      </c>
      <c r="G1587">
        <v>1340.6204834</v>
      </c>
      <c r="H1587">
        <v>1337.9483643000001</v>
      </c>
      <c r="I1587">
        <v>1326.0843506000001</v>
      </c>
      <c r="J1587">
        <v>1323.9870605000001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753.83475499999997</v>
      </c>
      <c r="B1588" s="1">
        <f>DATE(2012,5,23) + TIME(20,2,2)</f>
        <v>41052.834745370368</v>
      </c>
      <c r="C1588">
        <v>80</v>
      </c>
      <c r="D1588">
        <v>79.973937988000003</v>
      </c>
      <c r="E1588">
        <v>50</v>
      </c>
      <c r="F1588">
        <v>48.586742401000002</v>
      </c>
      <c r="G1588">
        <v>1340.6124268000001</v>
      </c>
      <c r="H1588">
        <v>1337.9456786999999</v>
      </c>
      <c r="I1588">
        <v>1326.0787353999999</v>
      </c>
      <c r="J1588">
        <v>1323.979126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754.32730000000004</v>
      </c>
      <c r="B1589" s="1">
        <f>DATE(2012,5,24) + TIME(7,51,18)</f>
        <v>41053.327291666668</v>
      </c>
      <c r="C1589">
        <v>80</v>
      </c>
      <c r="D1589">
        <v>79.973892211999996</v>
      </c>
      <c r="E1589">
        <v>50</v>
      </c>
      <c r="F1589">
        <v>48.563701629999997</v>
      </c>
      <c r="G1589">
        <v>1340.6044922000001</v>
      </c>
      <c r="H1589">
        <v>1337.9431152</v>
      </c>
      <c r="I1589">
        <v>1326.0729980000001</v>
      </c>
      <c r="J1589">
        <v>1323.9711914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754.82422399999996</v>
      </c>
      <c r="B1590" s="1">
        <f>DATE(2012,5,24) + TIME(19,46,52)</f>
        <v>41053.824212962965</v>
      </c>
      <c r="C1590">
        <v>80</v>
      </c>
      <c r="D1590">
        <v>79.973854064999998</v>
      </c>
      <c r="E1590">
        <v>50</v>
      </c>
      <c r="F1590">
        <v>48.540622710999997</v>
      </c>
      <c r="G1590">
        <v>1340.5966797000001</v>
      </c>
      <c r="H1590">
        <v>1337.9405518000001</v>
      </c>
      <c r="I1590">
        <v>1326.0671387</v>
      </c>
      <c r="J1590">
        <v>1323.9630127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755.32686999999999</v>
      </c>
      <c r="B1591" s="1">
        <f>DATE(2012,5,25) + TIME(7,50,41)</f>
        <v>41054.326863425929</v>
      </c>
      <c r="C1591">
        <v>80</v>
      </c>
      <c r="D1591">
        <v>79.973808289000004</v>
      </c>
      <c r="E1591">
        <v>50</v>
      </c>
      <c r="F1591">
        <v>48.517482758</v>
      </c>
      <c r="G1591">
        <v>1340.5888672000001</v>
      </c>
      <c r="H1591">
        <v>1337.9379882999999</v>
      </c>
      <c r="I1591">
        <v>1326.0611572</v>
      </c>
      <c r="J1591">
        <v>1323.9547118999999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755.83406400000001</v>
      </c>
      <c r="B1592" s="1">
        <f>DATE(2012,5,25) + TIME(20,1,3)</f>
        <v>41054.834062499998</v>
      </c>
      <c r="C1592">
        <v>80</v>
      </c>
      <c r="D1592">
        <v>79.973770142000006</v>
      </c>
      <c r="E1592">
        <v>50</v>
      </c>
      <c r="F1592">
        <v>48.494308472</v>
      </c>
      <c r="G1592">
        <v>1340.5812988</v>
      </c>
      <c r="H1592">
        <v>1337.9354248</v>
      </c>
      <c r="I1592">
        <v>1326.0550536999999</v>
      </c>
      <c r="J1592">
        <v>1323.9461670000001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756.34652300000005</v>
      </c>
      <c r="B1593" s="1">
        <f>DATE(2012,5,26) + TIME(8,18,59)</f>
        <v>41055.346516203703</v>
      </c>
      <c r="C1593">
        <v>80</v>
      </c>
      <c r="D1593">
        <v>79.973731994999994</v>
      </c>
      <c r="E1593">
        <v>50</v>
      </c>
      <c r="F1593">
        <v>48.471084595000001</v>
      </c>
      <c r="G1593">
        <v>1340.5737305</v>
      </c>
      <c r="H1593">
        <v>1337.9328613</v>
      </c>
      <c r="I1593">
        <v>1326.0489502</v>
      </c>
      <c r="J1593">
        <v>1323.9375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756.86607700000002</v>
      </c>
      <c r="B1594" s="1">
        <f>DATE(2012,5,26) + TIME(20,47,9)</f>
        <v>41055.866076388891</v>
      </c>
      <c r="C1594">
        <v>80</v>
      </c>
      <c r="D1594">
        <v>79.973686217999997</v>
      </c>
      <c r="E1594">
        <v>50</v>
      </c>
      <c r="F1594">
        <v>48.447765349999997</v>
      </c>
      <c r="G1594">
        <v>1340.5661620999999</v>
      </c>
      <c r="H1594">
        <v>1337.9304199000001</v>
      </c>
      <c r="I1594">
        <v>1326.0426024999999</v>
      </c>
      <c r="J1594">
        <v>1323.9287108999999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757.39449000000002</v>
      </c>
      <c r="B1595" s="1">
        <f>DATE(2012,5,27) + TIME(9,28,3)</f>
        <v>41056.394479166665</v>
      </c>
      <c r="C1595">
        <v>80</v>
      </c>
      <c r="D1595">
        <v>79.973648071</v>
      </c>
      <c r="E1595">
        <v>50</v>
      </c>
      <c r="F1595">
        <v>48.424285888999997</v>
      </c>
      <c r="G1595">
        <v>1340.5587158000001</v>
      </c>
      <c r="H1595">
        <v>1337.9278564000001</v>
      </c>
      <c r="I1595">
        <v>1326.0362548999999</v>
      </c>
      <c r="J1595">
        <v>1323.9196777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757.93510900000001</v>
      </c>
      <c r="B1596" s="1">
        <f>DATE(2012,5,27) + TIME(22,26,33)</f>
        <v>41056.935104166667</v>
      </c>
      <c r="C1596">
        <v>80</v>
      </c>
      <c r="D1596">
        <v>79.973609924000002</v>
      </c>
      <c r="E1596">
        <v>50</v>
      </c>
      <c r="F1596">
        <v>48.400550842000001</v>
      </c>
      <c r="G1596">
        <v>1340.5512695</v>
      </c>
      <c r="H1596">
        <v>1337.9254149999999</v>
      </c>
      <c r="I1596">
        <v>1326.0296631000001</v>
      </c>
      <c r="J1596">
        <v>1323.9104004000001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758.49404600000003</v>
      </c>
      <c r="B1597" s="1">
        <f>DATE(2012,5,28) + TIME(11,51,25)</f>
        <v>41057.494039351855</v>
      </c>
      <c r="C1597">
        <v>80</v>
      </c>
      <c r="D1597">
        <v>79.973571777000004</v>
      </c>
      <c r="E1597">
        <v>50</v>
      </c>
      <c r="F1597">
        <v>48.376373291</v>
      </c>
      <c r="G1597">
        <v>1340.5438231999999</v>
      </c>
      <c r="H1597">
        <v>1337.9228516000001</v>
      </c>
      <c r="I1597">
        <v>1326.0228271000001</v>
      </c>
      <c r="J1597">
        <v>1323.9007568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759.06246599999997</v>
      </c>
      <c r="B1598" s="1">
        <f>DATE(2012,5,29) + TIME(1,29,57)</f>
        <v>41058.062465277777</v>
      </c>
      <c r="C1598">
        <v>80</v>
      </c>
      <c r="D1598">
        <v>79.973533630000006</v>
      </c>
      <c r="E1598">
        <v>50</v>
      </c>
      <c r="F1598">
        <v>48.351917266999997</v>
      </c>
      <c r="G1598">
        <v>1340.5362548999999</v>
      </c>
      <c r="H1598">
        <v>1337.9202881000001</v>
      </c>
      <c r="I1598">
        <v>1326.0157471</v>
      </c>
      <c r="J1598">
        <v>1323.8907471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759.64243799999997</v>
      </c>
      <c r="B1599" s="1">
        <f>DATE(2012,5,29) + TIME(15,25,6)</f>
        <v>41058.642430555556</v>
      </c>
      <c r="C1599">
        <v>80</v>
      </c>
      <c r="D1599">
        <v>79.973495482999994</v>
      </c>
      <c r="E1599">
        <v>50</v>
      </c>
      <c r="F1599">
        <v>48.327167510999999</v>
      </c>
      <c r="G1599">
        <v>1340.5288086</v>
      </c>
      <c r="H1599">
        <v>1337.9177245999999</v>
      </c>
      <c r="I1599">
        <v>1326.0084228999999</v>
      </c>
      <c r="J1599">
        <v>1323.8804932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760.24199999999996</v>
      </c>
      <c r="B1600" s="1">
        <f>DATE(2012,5,30) + TIME(5,48,28)</f>
        <v>41059.241990740738</v>
      </c>
      <c r="C1600">
        <v>80</v>
      </c>
      <c r="D1600">
        <v>79.973457335999996</v>
      </c>
      <c r="E1600">
        <v>50</v>
      </c>
      <c r="F1600">
        <v>48.301937103</v>
      </c>
      <c r="G1600">
        <v>1340.5212402</v>
      </c>
      <c r="H1600">
        <v>1337.9151611</v>
      </c>
      <c r="I1600">
        <v>1326.0009766000001</v>
      </c>
      <c r="J1600">
        <v>1323.8699951000001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760.86487499999998</v>
      </c>
      <c r="B1601" s="1">
        <f>DATE(2012,5,30) + TIME(20,45,25)</f>
        <v>41059.864872685182</v>
      </c>
      <c r="C1601">
        <v>80</v>
      </c>
      <c r="D1601">
        <v>79.973419188999998</v>
      </c>
      <c r="E1601">
        <v>50</v>
      </c>
      <c r="F1601">
        <v>48.276096344000003</v>
      </c>
      <c r="G1601">
        <v>1340.5135498</v>
      </c>
      <c r="H1601">
        <v>1337.9124756000001</v>
      </c>
      <c r="I1601">
        <v>1325.9932861</v>
      </c>
      <c r="J1601">
        <v>1323.8590088000001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761.51501599999995</v>
      </c>
      <c r="B1602" s="1">
        <f>DATE(2012,5,31) + TIME(12,21,37)</f>
        <v>41060.515011574076</v>
      </c>
      <c r="C1602">
        <v>80</v>
      </c>
      <c r="D1602">
        <v>79.973381042</v>
      </c>
      <c r="E1602">
        <v>50</v>
      </c>
      <c r="F1602">
        <v>48.249500275000003</v>
      </c>
      <c r="G1602">
        <v>1340.5058594</v>
      </c>
      <c r="H1602">
        <v>1337.9097899999999</v>
      </c>
      <c r="I1602">
        <v>1325.9851074000001</v>
      </c>
      <c r="J1602">
        <v>1323.8474120999999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762</v>
      </c>
      <c r="B1603" s="1">
        <f>DATE(2012,6,1) + TIME(0,0,0)</f>
        <v>41061</v>
      </c>
      <c r="C1603">
        <v>80</v>
      </c>
      <c r="D1603">
        <v>79.973342896000005</v>
      </c>
      <c r="E1603">
        <v>50</v>
      </c>
      <c r="F1603">
        <v>48.226886749000002</v>
      </c>
      <c r="G1603">
        <v>1340.4978027</v>
      </c>
      <c r="H1603">
        <v>1337.9071045000001</v>
      </c>
      <c r="I1603">
        <v>1325.9768065999999</v>
      </c>
      <c r="J1603">
        <v>1323.8358154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762.66136200000005</v>
      </c>
      <c r="B1604" s="1">
        <f>DATE(2012,6,1) + TIME(15,52,21)</f>
        <v>41061.661354166667</v>
      </c>
      <c r="C1604">
        <v>80</v>
      </c>
      <c r="D1604">
        <v>79.973304748999993</v>
      </c>
      <c r="E1604">
        <v>50</v>
      </c>
      <c r="F1604">
        <v>48.201049804999997</v>
      </c>
      <c r="G1604">
        <v>1340.4920654</v>
      </c>
      <c r="H1604">
        <v>1337.9050293</v>
      </c>
      <c r="I1604">
        <v>1325.9699707</v>
      </c>
      <c r="J1604">
        <v>1323.8258057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763.32739800000002</v>
      </c>
      <c r="B1605" s="1">
        <f>DATE(2012,6,2) + TIME(7,51,27)</f>
        <v>41062.32739583333</v>
      </c>
      <c r="C1605">
        <v>80</v>
      </c>
      <c r="D1605">
        <v>79.973274231000005</v>
      </c>
      <c r="E1605">
        <v>50</v>
      </c>
      <c r="F1605">
        <v>48.174541472999998</v>
      </c>
      <c r="G1605">
        <v>1340.4842529</v>
      </c>
      <c r="H1605">
        <v>1337.9023437999999</v>
      </c>
      <c r="I1605">
        <v>1325.9613036999999</v>
      </c>
      <c r="J1605">
        <v>1323.8134766000001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763.999821</v>
      </c>
      <c r="B1606" s="1">
        <f>DATE(2012,6,2) + TIME(23,59,44)</f>
        <v>41062.999814814815</v>
      </c>
      <c r="C1606">
        <v>80</v>
      </c>
      <c r="D1606">
        <v>79.973236084000007</v>
      </c>
      <c r="E1606">
        <v>50</v>
      </c>
      <c r="F1606">
        <v>48.147666931000003</v>
      </c>
      <c r="G1606">
        <v>1340.4764404</v>
      </c>
      <c r="H1606">
        <v>1337.8996582</v>
      </c>
      <c r="I1606">
        <v>1325.9523925999999</v>
      </c>
      <c r="J1606">
        <v>1323.8009033000001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764.68136200000004</v>
      </c>
      <c r="B1607" s="1">
        <f>DATE(2012,6,3) + TIME(16,21,9)</f>
        <v>41063.681354166663</v>
      </c>
      <c r="C1607">
        <v>80</v>
      </c>
      <c r="D1607">
        <v>79.973197936999995</v>
      </c>
      <c r="E1607">
        <v>50</v>
      </c>
      <c r="F1607">
        <v>48.120532990000001</v>
      </c>
      <c r="G1607">
        <v>1340.4688721</v>
      </c>
      <c r="H1607">
        <v>1337.8969727000001</v>
      </c>
      <c r="I1607">
        <v>1325.9433594</v>
      </c>
      <c r="J1607">
        <v>1323.7879639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765.36918900000001</v>
      </c>
      <c r="B1608" s="1">
        <f>DATE(2012,6,4) + TIME(8,51,37)</f>
        <v>41064.36917824074</v>
      </c>
      <c r="C1608">
        <v>80</v>
      </c>
      <c r="D1608">
        <v>79.973159789999997</v>
      </c>
      <c r="E1608">
        <v>50</v>
      </c>
      <c r="F1608">
        <v>48.093269348</v>
      </c>
      <c r="G1608">
        <v>1340.4613036999999</v>
      </c>
      <c r="H1608">
        <v>1337.8942870999999</v>
      </c>
      <c r="I1608">
        <v>1325.934082</v>
      </c>
      <c r="J1608">
        <v>1323.7747803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766.06150100000002</v>
      </c>
      <c r="B1609" s="1">
        <f>DATE(2012,6,5) + TIME(1,28,33)</f>
        <v>41065.061493055553</v>
      </c>
      <c r="C1609">
        <v>80</v>
      </c>
      <c r="D1609">
        <v>79.973121642999999</v>
      </c>
      <c r="E1609">
        <v>50</v>
      </c>
      <c r="F1609">
        <v>48.065975189</v>
      </c>
      <c r="G1609">
        <v>1340.4537353999999</v>
      </c>
      <c r="H1609">
        <v>1337.8916016000001</v>
      </c>
      <c r="I1609">
        <v>1325.9246826000001</v>
      </c>
      <c r="J1609">
        <v>1323.7613524999999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766.76092900000003</v>
      </c>
      <c r="B1610" s="1">
        <f>DATE(2012,6,5) + TIME(18,15,44)</f>
        <v>41065.760925925926</v>
      </c>
      <c r="C1610">
        <v>80</v>
      </c>
      <c r="D1610">
        <v>79.973091124999996</v>
      </c>
      <c r="E1610">
        <v>50</v>
      </c>
      <c r="F1610">
        <v>48.038646698000001</v>
      </c>
      <c r="G1610">
        <v>1340.4462891000001</v>
      </c>
      <c r="H1610">
        <v>1337.8889160000001</v>
      </c>
      <c r="I1610">
        <v>1325.9151611</v>
      </c>
      <c r="J1610">
        <v>1323.7476807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767.47040000000004</v>
      </c>
      <c r="B1611" s="1">
        <f>DATE(2012,6,6) + TIME(11,17,22)</f>
        <v>41066.470393518517</v>
      </c>
      <c r="C1611">
        <v>80</v>
      </c>
      <c r="D1611">
        <v>79.973052979000002</v>
      </c>
      <c r="E1611">
        <v>50</v>
      </c>
      <c r="F1611">
        <v>48.011234283</v>
      </c>
      <c r="G1611">
        <v>1340.4389647999999</v>
      </c>
      <c r="H1611">
        <v>1337.8862305</v>
      </c>
      <c r="I1611">
        <v>1325.9055175999999</v>
      </c>
      <c r="J1611">
        <v>1323.7337646000001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768.19315700000004</v>
      </c>
      <c r="B1612" s="1">
        <f>DATE(2012,6,7) + TIME(4,38,8)</f>
        <v>41067.193148148152</v>
      </c>
      <c r="C1612">
        <v>80</v>
      </c>
      <c r="D1612">
        <v>79.973022460999999</v>
      </c>
      <c r="E1612">
        <v>50</v>
      </c>
      <c r="F1612">
        <v>47.983650208</v>
      </c>
      <c r="G1612">
        <v>1340.4316406</v>
      </c>
      <c r="H1612">
        <v>1337.8835449000001</v>
      </c>
      <c r="I1612">
        <v>1325.8956298999999</v>
      </c>
      <c r="J1612">
        <v>1323.7196045000001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768.93186000000003</v>
      </c>
      <c r="B1613" s="1">
        <f>DATE(2012,6,7) + TIME(22,21,52)</f>
        <v>41067.931851851848</v>
      </c>
      <c r="C1613">
        <v>80</v>
      </c>
      <c r="D1613">
        <v>79.972984314000001</v>
      </c>
      <c r="E1613">
        <v>50</v>
      </c>
      <c r="F1613">
        <v>47.955806731999999</v>
      </c>
      <c r="G1613">
        <v>1340.4243164</v>
      </c>
      <c r="H1613">
        <v>1337.8808594</v>
      </c>
      <c r="I1613">
        <v>1325.8854980000001</v>
      </c>
      <c r="J1613">
        <v>1323.7050781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769.69925999999998</v>
      </c>
      <c r="B1614" s="1">
        <f>DATE(2012,6,8) + TIME(16,46,56)</f>
        <v>41068.699259259258</v>
      </c>
      <c r="C1614">
        <v>80</v>
      </c>
      <c r="D1614">
        <v>79.972953795999999</v>
      </c>
      <c r="E1614">
        <v>50</v>
      </c>
      <c r="F1614">
        <v>47.927433014000002</v>
      </c>
      <c r="G1614">
        <v>1340.4169922000001</v>
      </c>
      <c r="H1614">
        <v>1337.8781738</v>
      </c>
      <c r="I1614">
        <v>1325.8751221</v>
      </c>
      <c r="J1614">
        <v>1323.6901855000001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770.48076700000001</v>
      </c>
      <c r="B1615" s="1">
        <f>DATE(2012,6,9) + TIME(11,32,18)</f>
        <v>41069.480763888889</v>
      </c>
      <c r="C1615">
        <v>80</v>
      </c>
      <c r="D1615">
        <v>79.972923279</v>
      </c>
      <c r="E1615">
        <v>50</v>
      </c>
      <c r="F1615">
        <v>47.898666382000002</v>
      </c>
      <c r="G1615">
        <v>1340.4095459</v>
      </c>
      <c r="H1615">
        <v>1337.8754882999999</v>
      </c>
      <c r="I1615">
        <v>1325.8643798999999</v>
      </c>
      <c r="J1615">
        <v>1323.6746826000001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771.27830400000005</v>
      </c>
      <c r="B1616" s="1">
        <f>DATE(2012,6,10) + TIME(6,40,45)</f>
        <v>41070.278298611112</v>
      </c>
      <c r="C1616">
        <v>80</v>
      </c>
      <c r="D1616">
        <v>79.972885132000002</v>
      </c>
      <c r="E1616">
        <v>50</v>
      </c>
      <c r="F1616">
        <v>47.869548797999997</v>
      </c>
      <c r="G1616">
        <v>1340.4019774999999</v>
      </c>
      <c r="H1616">
        <v>1337.8726807</v>
      </c>
      <c r="I1616">
        <v>1325.8533935999999</v>
      </c>
      <c r="J1616">
        <v>1323.6588135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772.09454100000005</v>
      </c>
      <c r="B1617" s="1">
        <f>DATE(2012,6,11) + TIME(2,16,8)</f>
        <v>41071.094537037039</v>
      </c>
      <c r="C1617">
        <v>80</v>
      </c>
      <c r="D1617">
        <v>79.972854613999999</v>
      </c>
      <c r="E1617">
        <v>50</v>
      </c>
      <c r="F1617">
        <v>47.840061188</v>
      </c>
      <c r="G1617">
        <v>1340.3945312000001</v>
      </c>
      <c r="H1617">
        <v>1337.8698730000001</v>
      </c>
      <c r="I1617">
        <v>1325.8420410000001</v>
      </c>
      <c r="J1617">
        <v>1323.6424560999999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772.93264499999998</v>
      </c>
      <c r="B1618" s="1">
        <f>DATE(2012,6,11) + TIME(22,23,0)</f>
        <v>41071.932638888888</v>
      </c>
      <c r="C1618">
        <v>80</v>
      </c>
      <c r="D1618">
        <v>79.972824097</v>
      </c>
      <c r="E1618">
        <v>50</v>
      </c>
      <c r="F1618">
        <v>47.810142517000003</v>
      </c>
      <c r="G1618">
        <v>1340.3870850000001</v>
      </c>
      <c r="H1618">
        <v>1337.8669434000001</v>
      </c>
      <c r="I1618">
        <v>1325.8304443</v>
      </c>
      <c r="J1618">
        <v>1323.6257324000001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773.79623500000002</v>
      </c>
      <c r="B1619" s="1">
        <f>DATE(2012,6,12) + TIME(19,6,34)</f>
        <v>41072.796226851853</v>
      </c>
      <c r="C1619">
        <v>80</v>
      </c>
      <c r="D1619">
        <v>79.972785950000002</v>
      </c>
      <c r="E1619">
        <v>50</v>
      </c>
      <c r="F1619">
        <v>47.779708862</v>
      </c>
      <c r="G1619">
        <v>1340.3795166</v>
      </c>
      <c r="H1619">
        <v>1337.8641356999999</v>
      </c>
      <c r="I1619">
        <v>1325.8184814000001</v>
      </c>
      <c r="J1619">
        <v>1323.6083983999999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774.67836299999999</v>
      </c>
      <c r="B1620" s="1">
        <f>DATE(2012,6,13) + TIME(16,16,50)</f>
        <v>41073.678356481483</v>
      </c>
      <c r="C1620">
        <v>80</v>
      </c>
      <c r="D1620">
        <v>79.972755432</v>
      </c>
      <c r="E1620">
        <v>50</v>
      </c>
      <c r="F1620">
        <v>47.748825072999999</v>
      </c>
      <c r="G1620">
        <v>1340.3718262</v>
      </c>
      <c r="H1620">
        <v>1337.8612060999999</v>
      </c>
      <c r="I1620">
        <v>1325.8060303</v>
      </c>
      <c r="J1620">
        <v>1323.5904541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775.56737399999997</v>
      </c>
      <c r="B1621" s="1">
        <f>DATE(2012,6,14) + TIME(13,37,1)</f>
        <v>41074.567372685182</v>
      </c>
      <c r="C1621">
        <v>80</v>
      </c>
      <c r="D1621">
        <v>79.972724915000001</v>
      </c>
      <c r="E1621">
        <v>50</v>
      </c>
      <c r="F1621">
        <v>47.717739105</v>
      </c>
      <c r="G1621">
        <v>1340.3641356999999</v>
      </c>
      <c r="H1621">
        <v>1337.8581543</v>
      </c>
      <c r="I1621">
        <v>1325.793457</v>
      </c>
      <c r="J1621">
        <v>1323.5721435999999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776.46072900000001</v>
      </c>
      <c r="B1622" s="1">
        <f>DATE(2012,6,15) + TIME(11,3,27)</f>
        <v>41075.460729166669</v>
      </c>
      <c r="C1622">
        <v>80</v>
      </c>
      <c r="D1622">
        <v>79.972694396999998</v>
      </c>
      <c r="E1622">
        <v>50</v>
      </c>
      <c r="F1622">
        <v>47.686641692999999</v>
      </c>
      <c r="G1622">
        <v>1340.3565673999999</v>
      </c>
      <c r="H1622">
        <v>1337.8552245999999</v>
      </c>
      <c r="I1622">
        <v>1325.7806396000001</v>
      </c>
      <c r="J1622">
        <v>1323.5535889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777.36303299999997</v>
      </c>
      <c r="B1623" s="1">
        <f>DATE(2012,6,16) + TIME(8,42,46)</f>
        <v>41076.363032407404</v>
      </c>
      <c r="C1623">
        <v>80</v>
      </c>
      <c r="D1623">
        <v>79.972663878999995</v>
      </c>
      <c r="E1623">
        <v>50</v>
      </c>
      <c r="F1623">
        <v>47.655548095999997</v>
      </c>
      <c r="G1623">
        <v>1340.3491211</v>
      </c>
      <c r="H1623">
        <v>1337.8522949000001</v>
      </c>
      <c r="I1623">
        <v>1325.7677002</v>
      </c>
      <c r="J1623">
        <v>1323.534668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778.27848700000004</v>
      </c>
      <c r="B1624" s="1">
        <f>DATE(2012,6,17) + TIME(6,41,1)</f>
        <v>41077.278483796297</v>
      </c>
      <c r="C1624">
        <v>80</v>
      </c>
      <c r="D1624">
        <v>79.972633361999996</v>
      </c>
      <c r="E1624">
        <v>50</v>
      </c>
      <c r="F1624">
        <v>47.624389647999998</v>
      </c>
      <c r="G1624">
        <v>1340.3417969</v>
      </c>
      <c r="H1624">
        <v>1337.8493652</v>
      </c>
      <c r="I1624">
        <v>1325.7545166</v>
      </c>
      <c r="J1624">
        <v>1323.515625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779.21157500000004</v>
      </c>
      <c r="B1625" s="1">
        <f>DATE(2012,6,18) + TIME(5,4,40)</f>
        <v>41078.211574074077</v>
      </c>
      <c r="C1625">
        <v>80</v>
      </c>
      <c r="D1625">
        <v>79.972610474000007</v>
      </c>
      <c r="E1625">
        <v>50</v>
      </c>
      <c r="F1625">
        <v>47.593059539999999</v>
      </c>
      <c r="G1625">
        <v>1340.3344727000001</v>
      </c>
      <c r="H1625">
        <v>1337.8464355000001</v>
      </c>
      <c r="I1625">
        <v>1325.7412108999999</v>
      </c>
      <c r="J1625">
        <v>1323.4962158000001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780.16893200000004</v>
      </c>
      <c r="B1626" s="1">
        <f>DATE(2012,6,19) + TIME(4,3,15)</f>
        <v>41079.168923611112</v>
      </c>
      <c r="C1626">
        <v>80</v>
      </c>
      <c r="D1626">
        <v>79.972579956000004</v>
      </c>
      <c r="E1626">
        <v>50</v>
      </c>
      <c r="F1626">
        <v>47.561401367000002</v>
      </c>
      <c r="G1626">
        <v>1340.3271483999999</v>
      </c>
      <c r="H1626">
        <v>1337.8435059000001</v>
      </c>
      <c r="I1626">
        <v>1325.7276611</v>
      </c>
      <c r="J1626">
        <v>1323.4764404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781.16821000000004</v>
      </c>
      <c r="B1627" s="1">
        <f>DATE(2012,6,20) + TIME(4,2,13)</f>
        <v>41080.168206018519</v>
      </c>
      <c r="C1627">
        <v>80</v>
      </c>
      <c r="D1627">
        <v>79.972557068</v>
      </c>
      <c r="E1627">
        <v>50</v>
      </c>
      <c r="F1627">
        <v>47.529075622999997</v>
      </c>
      <c r="G1627">
        <v>1340.3197021000001</v>
      </c>
      <c r="H1627">
        <v>1337.8405762</v>
      </c>
      <c r="I1627">
        <v>1325.7137451000001</v>
      </c>
      <c r="J1627">
        <v>1323.4560547000001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782.18091700000002</v>
      </c>
      <c r="B1628" s="1">
        <f>DATE(2012,6,21) + TIME(4,20,31)</f>
        <v>41081.180914351855</v>
      </c>
      <c r="C1628">
        <v>80</v>
      </c>
      <c r="D1628">
        <v>79.972526549999998</v>
      </c>
      <c r="E1628">
        <v>50</v>
      </c>
      <c r="F1628">
        <v>47.496257782000001</v>
      </c>
      <c r="G1628">
        <v>1340.3121338000001</v>
      </c>
      <c r="H1628">
        <v>1337.8374022999999</v>
      </c>
      <c r="I1628">
        <v>1325.6992187999999</v>
      </c>
      <c r="J1628">
        <v>1323.4348144999999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783.211817</v>
      </c>
      <c r="B1629" s="1">
        <f>DATE(2012,6,22) + TIME(5,5,0)</f>
        <v>41082.211805555555</v>
      </c>
      <c r="C1629">
        <v>80</v>
      </c>
      <c r="D1629">
        <v>79.972496032999999</v>
      </c>
      <c r="E1629">
        <v>50</v>
      </c>
      <c r="F1629">
        <v>47.463100433000001</v>
      </c>
      <c r="G1629">
        <v>1340.3046875</v>
      </c>
      <c r="H1629">
        <v>1337.8343506000001</v>
      </c>
      <c r="I1629">
        <v>1325.6844481999999</v>
      </c>
      <c r="J1629">
        <v>1323.4133300999999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784.26596199999994</v>
      </c>
      <c r="B1630" s="1">
        <f>DATE(2012,6,23) + TIME(6,22,59)</f>
        <v>41083.265960648147</v>
      </c>
      <c r="C1630">
        <v>80</v>
      </c>
      <c r="D1630">
        <v>79.972473144999995</v>
      </c>
      <c r="E1630">
        <v>50</v>
      </c>
      <c r="F1630">
        <v>47.429588318</v>
      </c>
      <c r="G1630">
        <v>1340.2971190999999</v>
      </c>
      <c r="H1630">
        <v>1337.8311768000001</v>
      </c>
      <c r="I1630">
        <v>1325.6694336</v>
      </c>
      <c r="J1630">
        <v>1323.3912353999999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785.35884799999997</v>
      </c>
      <c r="B1631" s="1">
        <f>DATE(2012,6,24) + TIME(8,36,44)</f>
        <v>41084.358842592592</v>
      </c>
      <c r="C1631">
        <v>80</v>
      </c>
      <c r="D1631">
        <v>79.972450256000002</v>
      </c>
      <c r="E1631">
        <v>50</v>
      </c>
      <c r="F1631">
        <v>47.395488739000001</v>
      </c>
      <c r="G1631">
        <v>1340.2896728999999</v>
      </c>
      <c r="H1631">
        <v>1337.828125</v>
      </c>
      <c r="I1631">
        <v>1325.6540527</v>
      </c>
      <c r="J1631">
        <v>1323.3686522999999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786.46092899999996</v>
      </c>
      <c r="B1632" s="1">
        <f>DATE(2012,6,25) + TIME(11,3,44)</f>
        <v>41085.460925925923</v>
      </c>
      <c r="C1632">
        <v>80</v>
      </c>
      <c r="D1632">
        <v>79.972419739000003</v>
      </c>
      <c r="E1632">
        <v>50</v>
      </c>
      <c r="F1632">
        <v>47.360996245999999</v>
      </c>
      <c r="G1632">
        <v>1340.2819824000001</v>
      </c>
      <c r="H1632">
        <v>1337.8248291</v>
      </c>
      <c r="I1632">
        <v>1325.6383057</v>
      </c>
      <c r="J1632">
        <v>1323.3454589999999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787.57649000000004</v>
      </c>
      <c r="B1633" s="1">
        <f>DATE(2012,6,26) + TIME(13,50,8)</f>
        <v>41086.576481481483</v>
      </c>
      <c r="C1633">
        <v>80</v>
      </c>
      <c r="D1633">
        <v>79.972396850999999</v>
      </c>
      <c r="E1633">
        <v>50</v>
      </c>
      <c r="F1633">
        <v>47.326324462999999</v>
      </c>
      <c r="G1633">
        <v>1340.2744141000001</v>
      </c>
      <c r="H1633">
        <v>1337.8216553</v>
      </c>
      <c r="I1633">
        <v>1325.6221923999999</v>
      </c>
      <c r="J1633">
        <v>1323.3217772999999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788.70984799999997</v>
      </c>
      <c r="B1634" s="1">
        <f>DATE(2012,6,27) + TIME(17,2,10)</f>
        <v>41087.709837962961</v>
      </c>
      <c r="C1634">
        <v>80</v>
      </c>
      <c r="D1634">
        <v>79.972373962000006</v>
      </c>
      <c r="E1634">
        <v>50</v>
      </c>
      <c r="F1634">
        <v>47.291477202999999</v>
      </c>
      <c r="G1634">
        <v>1340.2669678</v>
      </c>
      <c r="H1634">
        <v>1337.8183594</v>
      </c>
      <c r="I1634">
        <v>1325.605957</v>
      </c>
      <c r="J1634">
        <v>1323.2978516000001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789.865455</v>
      </c>
      <c r="B1635" s="1">
        <f>DATE(2012,6,28) + TIME(20,46,15)</f>
        <v>41088.865451388891</v>
      </c>
      <c r="C1635">
        <v>80</v>
      </c>
      <c r="D1635">
        <v>79.972351074000002</v>
      </c>
      <c r="E1635">
        <v>50</v>
      </c>
      <c r="F1635">
        <v>47.256381988999998</v>
      </c>
      <c r="G1635">
        <v>1340.2593993999999</v>
      </c>
      <c r="H1635">
        <v>1337.8151855000001</v>
      </c>
      <c r="I1635">
        <v>1325.5895995999999</v>
      </c>
      <c r="J1635">
        <v>1323.2735596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791.04837199999997</v>
      </c>
      <c r="B1636" s="1">
        <f>DATE(2012,6,30) + TIME(1,9,39)</f>
        <v>41090.048368055555</v>
      </c>
      <c r="C1636">
        <v>80</v>
      </c>
      <c r="D1636">
        <v>79.972328185999999</v>
      </c>
      <c r="E1636">
        <v>50</v>
      </c>
      <c r="F1636">
        <v>47.220928192000002</v>
      </c>
      <c r="G1636">
        <v>1340.2519531</v>
      </c>
      <c r="H1636">
        <v>1337.8118896000001</v>
      </c>
      <c r="I1636">
        <v>1325.5727539</v>
      </c>
      <c r="J1636">
        <v>1323.2487793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792</v>
      </c>
      <c r="B1637" s="1">
        <f>DATE(2012,7,1) + TIME(0,0,0)</f>
        <v>41091</v>
      </c>
      <c r="C1637">
        <v>80</v>
      </c>
      <c r="D1637">
        <v>79.972305297999995</v>
      </c>
      <c r="E1637">
        <v>50</v>
      </c>
      <c r="F1637">
        <v>47.188358307000001</v>
      </c>
      <c r="G1637">
        <v>1340.2445068</v>
      </c>
      <c r="H1637">
        <v>1337.8085937999999</v>
      </c>
      <c r="I1637">
        <v>1325.5561522999999</v>
      </c>
      <c r="J1637">
        <v>1323.2241211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793.20112600000004</v>
      </c>
      <c r="B1638" s="1">
        <f>DATE(2012,7,2) + TIME(4,49,37)</f>
        <v>41092.201122685183</v>
      </c>
      <c r="C1638">
        <v>80</v>
      </c>
      <c r="D1638">
        <v>79.972290039000001</v>
      </c>
      <c r="E1638">
        <v>50</v>
      </c>
      <c r="F1638">
        <v>47.155158997000001</v>
      </c>
      <c r="G1638">
        <v>1340.2385254000001</v>
      </c>
      <c r="H1638">
        <v>1337.8060303</v>
      </c>
      <c r="I1638">
        <v>1325.5413818</v>
      </c>
      <c r="J1638">
        <v>1323.2019043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794.44289100000003</v>
      </c>
      <c r="B1639" s="1">
        <f>DATE(2012,7,3) + TIME(10,37,45)</f>
        <v>41093.442881944444</v>
      </c>
      <c r="C1639">
        <v>80</v>
      </c>
      <c r="D1639">
        <v>79.972274780000006</v>
      </c>
      <c r="E1639">
        <v>50</v>
      </c>
      <c r="F1639">
        <v>47.120037078999999</v>
      </c>
      <c r="G1639">
        <v>1340.2312012</v>
      </c>
      <c r="H1639">
        <v>1337.8027344</v>
      </c>
      <c r="I1639">
        <v>1325.5245361</v>
      </c>
      <c r="J1639">
        <v>1323.1768798999999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795.70598500000006</v>
      </c>
      <c r="B1640" s="1">
        <f>DATE(2012,7,4) + TIME(16,56,37)</f>
        <v>41094.705983796295</v>
      </c>
      <c r="C1640">
        <v>80</v>
      </c>
      <c r="D1640">
        <v>79.972251892000003</v>
      </c>
      <c r="E1640">
        <v>50</v>
      </c>
      <c r="F1640">
        <v>47.083862304999997</v>
      </c>
      <c r="G1640">
        <v>1340.2237548999999</v>
      </c>
      <c r="H1640">
        <v>1337.7993164</v>
      </c>
      <c r="I1640">
        <v>1325.5069579999999</v>
      </c>
      <c r="J1640">
        <v>1323.1507568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796.99786800000004</v>
      </c>
      <c r="B1641" s="1">
        <f>DATE(2012,7,5) + TIME(23,56,55)</f>
        <v>41095.997858796298</v>
      </c>
      <c r="C1641">
        <v>80</v>
      </c>
      <c r="D1641">
        <v>79.972236632999994</v>
      </c>
      <c r="E1641">
        <v>50</v>
      </c>
      <c r="F1641">
        <v>47.047065734999997</v>
      </c>
      <c r="G1641">
        <v>1340.2163086</v>
      </c>
      <c r="H1641">
        <v>1337.7958983999999</v>
      </c>
      <c r="I1641">
        <v>1325.4891356999999</v>
      </c>
      <c r="J1641">
        <v>1323.1240233999999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798.34243500000002</v>
      </c>
      <c r="B1642" s="1">
        <f>DATE(2012,7,7) + TIME(8,13,6)</f>
        <v>41097.342430555553</v>
      </c>
      <c r="C1642">
        <v>80</v>
      </c>
      <c r="D1642">
        <v>79.972221375000004</v>
      </c>
      <c r="E1642">
        <v>50</v>
      </c>
      <c r="F1642">
        <v>47.009525299000003</v>
      </c>
      <c r="G1642">
        <v>1340.2088623</v>
      </c>
      <c r="H1642">
        <v>1337.7924805</v>
      </c>
      <c r="I1642">
        <v>1325.4708252</v>
      </c>
      <c r="J1642">
        <v>1323.0966797000001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799.74052200000006</v>
      </c>
      <c r="B1643" s="1">
        <f>DATE(2012,7,8) + TIME(17,46,21)</f>
        <v>41098.740520833337</v>
      </c>
      <c r="C1643">
        <v>80</v>
      </c>
      <c r="D1643">
        <v>79.972198485999996</v>
      </c>
      <c r="E1643">
        <v>50</v>
      </c>
      <c r="F1643">
        <v>46.971031189000001</v>
      </c>
      <c r="G1643">
        <v>1340.2011719</v>
      </c>
      <c r="H1643">
        <v>1337.7890625</v>
      </c>
      <c r="I1643">
        <v>1325.4520264</v>
      </c>
      <c r="J1643">
        <v>1323.0683594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801.19229099999995</v>
      </c>
      <c r="B1644" s="1">
        <f>DATE(2012,7,10) + TIME(4,36,53)</f>
        <v>41100.192280092589</v>
      </c>
      <c r="C1644">
        <v>80</v>
      </c>
      <c r="D1644">
        <v>79.972183228000006</v>
      </c>
      <c r="E1644">
        <v>50</v>
      </c>
      <c r="F1644">
        <v>46.931533813000001</v>
      </c>
      <c r="G1644">
        <v>1340.1934814000001</v>
      </c>
      <c r="H1644">
        <v>1337.7854004000001</v>
      </c>
      <c r="I1644">
        <v>1325.4326172000001</v>
      </c>
      <c r="J1644">
        <v>1323.0391846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802.672642</v>
      </c>
      <c r="B1645" s="1">
        <f>DATE(2012,7,11) + TIME(16,8,36)</f>
        <v>41101.672638888886</v>
      </c>
      <c r="C1645">
        <v>80</v>
      </c>
      <c r="D1645">
        <v>79.972167968999997</v>
      </c>
      <c r="E1645">
        <v>50</v>
      </c>
      <c r="F1645">
        <v>46.891288756999998</v>
      </c>
      <c r="G1645">
        <v>1340.1855469</v>
      </c>
      <c r="H1645">
        <v>1337.7816161999999</v>
      </c>
      <c r="I1645">
        <v>1325.4125977000001</v>
      </c>
      <c r="J1645">
        <v>1323.0089111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804.18060600000001</v>
      </c>
      <c r="B1646" s="1">
        <f>DATE(2012,7,13) + TIME(4,20,4)</f>
        <v>41103.180601851855</v>
      </c>
      <c r="C1646">
        <v>80</v>
      </c>
      <c r="D1646">
        <v>79.972152710000003</v>
      </c>
      <c r="E1646">
        <v>50</v>
      </c>
      <c r="F1646">
        <v>46.850692748999997</v>
      </c>
      <c r="G1646">
        <v>1340.1776123</v>
      </c>
      <c r="H1646">
        <v>1337.777832</v>
      </c>
      <c r="I1646">
        <v>1325.3923339999999</v>
      </c>
      <c r="J1646">
        <v>1322.9781493999999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804.939527</v>
      </c>
      <c r="B1647" s="1">
        <f>DATE(2012,7,13) + TIME(22,32,55)</f>
        <v>41103.939525462964</v>
      </c>
      <c r="C1647">
        <v>80</v>
      </c>
      <c r="D1647">
        <v>79.972129821999999</v>
      </c>
      <c r="E1647">
        <v>50</v>
      </c>
      <c r="F1647">
        <v>46.819858551000003</v>
      </c>
      <c r="G1647">
        <v>1340.1696777</v>
      </c>
      <c r="H1647">
        <v>1337.7740478999999</v>
      </c>
      <c r="I1647">
        <v>1325.3729248</v>
      </c>
      <c r="J1647">
        <v>1322.9492187999999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805.69844799999998</v>
      </c>
      <c r="B1648" s="1">
        <f>DATE(2012,7,14) + TIME(16,45,45)</f>
        <v>41104.698437500003</v>
      </c>
      <c r="C1648">
        <v>80</v>
      </c>
      <c r="D1648">
        <v>79.972122192</v>
      </c>
      <c r="E1648">
        <v>50</v>
      </c>
      <c r="F1648">
        <v>46.794651031000001</v>
      </c>
      <c r="G1648">
        <v>1340.1657714999999</v>
      </c>
      <c r="H1648">
        <v>1337.7722168</v>
      </c>
      <c r="I1648">
        <v>1325.3607178</v>
      </c>
      <c r="J1648">
        <v>1322.9299315999999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806.45736899999997</v>
      </c>
      <c r="B1649" s="1">
        <f>DATE(2012,7,15) + TIME(10,58,36)</f>
        <v>41105.457361111112</v>
      </c>
      <c r="C1649">
        <v>80</v>
      </c>
      <c r="D1649">
        <v>79.972106933999996</v>
      </c>
      <c r="E1649">
        <v>50</v>
      </c>
      <c r="F1649">
        <v>46.772277832</v>
      </c>
      <c r="G1649">
        <v>1340.1618652</v>
      </c>
      <c r="H1649">
        <v>1337.7702637</v>
      </c>
      <c r="I1649">
        <v>1325.3494873</v>
      </c>
      <c r="J1649">
        <v>1322.9125977000001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807.21628999999996</v>
      </c>
      <c r="B1650" s="1">
        <f>DATE(2012,7,16) + TIME(5,11,27)</f>
        <v>41106.216284722221</v>
      </c>
      <c r="C1650">
        <v>80</v>
      </c>
      <c r="D1650">
        <v>79.972106933999996</v>
      </c>
      <c r="E1650">
        <v>50</v>
      </c>
      <c r="F1650">
        <v>46.751396178999997</v>
      </c>
      <c r="G1650">
        <v>1340.1580810999999</v>
      </c>
      <c r="H1650">
        <v>1337.7684326000001</v>
      </c>
      <c r="I1650">
        <v>1325.3387451000001</v>
      </c>
      <c r="J1650">
        <v>1322.8961182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807.97521099999994</v>
      </c>
      <c r="B1651" s="1">
        <f>DATE(2012,7,16) + TIME(23,24,18)</f>
        <v>41106.975208333337</v>
      </c>
      <c r="C1651">
        <v>80</v>
      </c>
      <c r="D1651">
        <v>79.972099303999997</v>
      </c>
      <c r="E1651">
        <v>50</v>
      </c>
      <c r="F1651">
        <v>46.731372833000002</v>
      </c>
      <c r="G1651">
        <v>1340.1542969</v>
      </c>
      <c r="H1651">
        <v>1337.7666016000001</v>
      </c>
      <c r="I1651">
        <v>1325.3284911999999</v>
      </c>
      <c r="J1651">
        <v>1322.8801269999999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808.73413300000004</v>
      </c>
      <c r="B1652" s="1">
        <f>DATE(2012,7,17) + TIME(17,37,9)</f>
        <v>41107.734131944446</v>
      </c>
      <c r="C1652">
        <v>80</v>
      </c>
      <c r="D1652">
        <v>79.972091675000001</v>
      </c>
      <c r="E1652">
        <v>50</v>
      </c>
      <c r="F1652">
        <v>46.711929321</v>
      </c>
      <c r="G1652">
        <v>1340.1505127</v>
      </c>
      <c r="H1652">
        <v>1337.7647704999999</v>
      </c>
      <c r="I1652">
        <v>1325.3182373</v>
      </c>
      <c r="J1652">
        <v>1322.8643798999999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809.49305400000003</v>
      </c>
      <c r="B1653" s="1">
        <f>DATE(2012,7,18) + TIME(11,49,59)</f>
        <v>41108.493043981478</v>
      </c>
      <c r="C1653">
        <v>80</v>
      </c>
      <c r="D1653">
        <v>79.972084045000003</v>
      </c>
      <c r="E1653">
        <v>50</v>
      </c>
      <c r="F1653">
        <v>46.692932128999999</v>
      </c>
      <c r="G1653">
        <v>1340.1468506000001</v>
      </c>
      <c r="H1653">
        <v>1337.7629394999999</v>
      </c>
      <c r="I1653">
        <v>1325.3082274999999</v>
      </c>
      <c r="J1653">
        <v>1322.8488769999999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811.010896</v>
      </c>
      <c r="B1654" s="1">
        <f>DATE(2012,7,20) + TIME(0,15,41)</f>
        <v>41110.010891203703</v>
      </c>
      <c r="C1654">
        <v>80</v>
      </c>
      <c r="D1654">
        <v>79.972091675000001</v>
      </c>
      <c r="E1654">
        <v>50</v>
      </c>
      <c r="F1654">
        <v>46.668514252000001</v>
      </c>
      <c r="G1654">
        <v>1340.1431885</v>
      </c>
      <c r="H1654">
        <v>1337.7611084</v>
      </c>
      <c r="I1654">
        <v>1325.2974853999999</v>
      </c>
      <c r="J1654">
        <v>1322.8320312000001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812.545118</v>
      </c>
      <c r="B1655" s="1">
        <f>DATE(2012,7,21) + TIME(13,4,58)</f>
        <v>41111.545115740744</v>
      </c>
      <c r="C1655">
        <v>80</v>
      </c>
      <c r="D1655">
        <v>79.972084045000003</v>
      </c>
      <c r="E1655">
        <v>50</v>
      </c>
      <c r="F1655">
        <v>46.636352539000001</v>
      </c>
      <c r="G1655">
        <v>1340.1357422000001</v>
      </c>
      <c r="H1655">
        <v>1337.7574463000001</v>
      </c>
      <c r="I1655">
        <v>1325.2803954999999</v>
      </c>
      <c r="J1655">
        <v>1322.8056641000001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813.34185500000001</v>
      </c>
      <c r="B1656" s="1">
        <f>DATE(2012,7,22) + TIME(8,12,16)</f>
        <v>41112.341851851852</v>
      </c>
      <c r="C1656">
        <v>80</v>
      </c>
      <c r="D1656">
        <v>79.972068786999998</v>
      </c>
      <c r="E1656">
        <v>50</v>
      </c>
      <c r="F1656">
        <v>46.610290526999997</v>
      </c>
      <c r="G1656">
        <v>1340.1285399999999</v>
      </c>
      <c r="H1656">
        <v>1337.7537841999999</v>
      </c>
      <c r="I1656">
        <v>1325.2626952999999</v>
      </c>
      <c r="J1656">
        <v>1322.7784423999999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814.13466100000005</v>
      </c>
      <c r="B1657" s="1">
        <f>DATE(2012,7,23) + TIME(3,13,54)</f>
        <v>41113.134652777779</v>
      </c>
      <c r="C1657">
        <v>80</v>
      </c>
      <c r="D1657">
        <v>79.972061156999999</v>
      </c>
      <c r="E1657">
        <v>50</v>
      </c>
      <c r="F1657">
        <v>46.589332581000001</v>
      </c>
      <c r="G1657">
        <v>1340.1248779</v>
      </c>
      <c r="H1657">
        <v>1337.7518310999999</v>
      </c>
      <c r="I1657">
        <v>1325.2509766000001</v>
      </c>
      <c r="J1657">
        <v>1322.7596435999999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814.92746599999998</v>
      </c>
      <c r="B1658" s="1">
        <f>DATE(2012,7,23) + TIME(22,15,33)</f>
        <v>41113.927465277775</v>
      </c>
      <c r="C1658">
        <v>80</v>
      </c>
      <c r="D1658">
        <v>79.972053528000004</v>
      </c>
      <c r="E1658">
        <v>50</v>
      </c>
      <c r="F1658">
        <v>46.571113586000003</v>
      </c>
      <c r="G1658">
        <v>1340.1212158000001</v>
      </c>
      <c r="H1658">
        <v>1337.75</v>
      </c>
      <c r="I1658">
        <v>1325.2402344</v>
      </c>
      <c r="J1658">
        <v>1322.7425536999999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815.72027200000002</v>
      </c>
      <c r="B1659" s="1">
        <f>DATE(2012,7,24) + TIME(17,17,11)</f>
        <v>41114.720266203702</v>
      </c>
      <c r="C1659">
        <v>80</v>
      </c>
      <c r="D1659">
        <v>79.972045898000005</v>
      </c>
      <c r="E1659">
        <v>50</v>
      </c>
      <c r="F1659">
        <v>46.554592133</v>
      </c>
      <c r="G1659">
        <v>1340.1175536999999</v>
      </c>
      <c r="H1659">
        <v>1337.7481689000001</v>
      </c>
      <c r="I1659">
        <v>1325.2299805</v>
      </c>
      <c r="J1659">
        <v>1322.7264404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816.51307699999995</v>
      </c>
      <c r="B1660" s="1">
        <f>DATE(2012,7,25) + TIME(12,18,49)</f>
        <v>41115.513067129628</v>
      </c>
      <c r="C1660">
        <v>80</v>
      </c>
      <c r="D1660">
        <v>79.972045898000005</v>
      </c>
      <c r="E1660">
        <v>50</v>
      </c>
      <c r="F1660">
        <v>46.539321899000001</v>
      </c>
      <c r="G1660">
        <v>1340.1140137</v>
      </c>
      <c r="H1660">
        <v>1337.7463379000001</v>
      </c>
      <c r="I1660">
        <v>1325.2202147999999</v>
      </c>
      <c r="J1660">
        <v>1322.7106934000001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818.09868900000004</v>
      </c>
      <c r="B1661" s="1">
        <f>DATE(2012,7,27) + TIME(2,22,6)</f>
        <v>41117.098680555559</v>
      </c>
      <c r="C1661">
        <v>80</v>
      </c>
      <c r="D1661">
        <v>79.972053528000004</v>
      </c>
      <c r="E1661">
        <v>50</v>
      </c>
      <c r="F1661">
        <v>46.520896911999998</v>
      </c>
      <c r="G1661">
        <v>1340.1104736</v>
      </c>
      <c r="H1661">
        <v>1337.7445068</v>
      </c>
      <c r="I1661">
        <v>1325.2097168</v>
      </c>
      <c r="J1661">
        <v>1322.6937256000001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819.68722000000002</v>
      </c>
      <c r="B1662" s="1">
        <f>DATE(2012,7,28) + TIME(16,29,35)</f>
        <v>41118.687210648146</v>
      </c>
      <c r="C1662">
        <v>80</v>
      </c>
      <c r="D1662">
        <v>79.972053528000004</v>
      </c>
      <c r="E1662">
        <v>50</v>
      </c>
      <c r="F1662">
        <v>46.498371124000002</v>
      </c>
      <c r="G1662">
        <v>1340.1033935999999</v>
      </c>
      <c r="H1662">
        <v>1337.7409668</v>
      </c>
      <c r="I1662">
        <v>1325.1933594</v>
      </c>
      <c r="J1662">
        <v>1322.6677245999999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821.33624999999995</v>
      </c>
      <c r="B1663" s="1">
        <f>DATE(2012,7,30) + TIME(8,4,11)</f>
        <v>41120.336238425924</v>
      </c>
      <c r="C1663">
        <v>80</v>
      </c>
      <c r="D1663">
        <v>79.972045898000005</v>
      </c>
      <c r="E1663">
        <v>50</v>
      </c>
      <c r="F1663">
        <v>46.477615356000001</v>
      </c>
      <c r="G1663">
        <v>1340.0964355000001</v>
      </c>
      <c r="H1663">
        <v>1337.7373047000001</v>
      </c>
      <c r="I1663">
        <v>1325.1756591999999</v>
      </c>
      <c r="J1663">
        <v>1322.6390381000001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823</v>
      </c>
      <c r="B1664" s="1">
        <f>DATE(2012,8,1) + TIME(0,0,0)</f>
        <v>41122</v>
      </c>
      <c r="C1664">
        <v>80</v>
      </c>
      <c r="D1664">
        <v>79.972045898000005</v>
      </c>
      <c r="E1664">
        <v>50</v>
      </c>
      <c r="F1664">
        <v>46.461235045999999</v>
      </c>
      <c r="G1664">
        <v>1340.0893555</v>
      </c>
      <c r="H1664">
        <v>1337.7335204999999</v>
      </c>
      <c r="I1664">
        <v>1325.1573486</v>
      </c>
      <c r="J1664">
        <v>1322.6092529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823.83302700000002</v>
      </c>
      <c r="B1665" s="1">
        <f>DATE(2012,8,1) + TIME(19,59,33)</f>
        <v>41122.833020833335</v>
      </c>
      <c r="C1665">
        <v>80</v>
      </c>
      <c r="D1665">
        <v>79.97203064</v>
      </c>
      <c r="E1665">
        <v>50</v>
      </c>
      <c r="F1665">
        <v>46.453620911000002</v>
      </c>
      <c r="G1665">
        <v>1340.0822754000001</v>
      </c>
      <c r="H1665">
        <v>1337.7298584</v>
      </c>
      <c r="I1665">
        <v>1325.1403809000001</v>
      </c>
      <c r="J1665">
        <v>1322.5814209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825.46633299999996</v>
      </c>
      <c r="B1666" s="1">
        <f>DATE(2012,8,3) + TIME(11,11,31)</f>
        <v>41124.466331018521</v>
      </c>
      <c r="C1666">
        <v>80</v>
      </c>
      <c r="D1666">
        <v>79.972038268999995</v>
      </c>
      <c r="E1666">
        <v>50</v>
      </c>
      <c r="F1666">
        <v>46.449951171999999</v>
      </c>
      <c r="G1666">
        <v>1340.0788574000001</v>
      </c>
      <c r="H1666">
        <v>1337.7280272999999</v>
      </c>
      <c r="I1666">
        <v>1325.1282959</v>
      </c>
      <c r="J1666">
        <v>1322.5611572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827.10535800000002</v>
      </c>
      <c r="B1667" s="1">
        <f>DATE(2012,8,5) + TIME(2,31,42)</f>
        <v>41126.105347222219</v>
      </c>
      <c r="C1667">
        <v>80</v>
      </c>
      <c r="D1667">
        <v>79.972038268999995</v>
      </c>
      <c r="E1667">
        <v>50</v>
      </c>
      <c r="F1667">
        <v>46.453998566000003</v>
      </c>
      <c r="G1667">
        <v>1340.0720214999999</v>
      </c>
      <c r="H1667">
        <v>1337.7243652</v>
      </c>
      <c r="I1667">
        <v>1325.1125488</v>
      </c>
      <c r="J1667">
        <v>1322.5345459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828.76667599999996</v>
      </c>
      <c r="B1668" s="1">
        <f>DATE(2012,8,6) + TIME(18,24,0)</f>
        <v>41127.76666666667</v>
      </c>
      <c r="C1668">
        <v>80</v>
      </c>
      <c r="D1668">
        <v>79.97203064</v>
      </c>
      <c r="E1668">
        <v>50</v>
      </c>
      <c r="F1668">
        <v>46.468532562</v>
      </c>
      <c r="G1668">
        <v>1340.0651855000001</v>
      </c>
      <c r="H1668">
        <v>1337.7205810999999</v>
      </c>
      <c r="I1668">
        <v>1325.0963135</v>
      </c>
      <c r="J1668">
        <v>1322.5070800999999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829.61846200000002</v>
      </c>
      <c r="B1669" s="1">
        <f>DATE(2012,8,7) + TIME(14,50,35)</f>
        <v>41128.618460648147</v>
      </c>
      <c r="C1669">
        <v>80</v>
      </c>
      <c r="D1669">
        <v>79.972023010000001</v>
      </c>
      <c r="E1669">
        <v>50</v>
      </c>
      <c r="F1669">
        <v>46.490283966</v>
      </c>
      <c r="G1669">
        <v>1340.0583495999999</v>
      </c>
      <c r="H1669">
        <v>1337.7169189000001</v>
      </c>
      <c r="I1669">
        <v>1325.0816649999999</v>
      </c>
      <c r="J1669">
        <v>1322.4815673999999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831.25659099999996</v>
      </c>
      <c r="B1670" s="1">
        <f>DATE(2012,8,9) + TIME(6,9,29)</f>
        <v>41130.256585648145</v>
      </c>
      <c r="C1670">
        <v>80</v>
      </c>
      <c r="D1670">
        <v>79.97203064</v>
      </c>
      <c r="E1670">
        <v>50</v>
      </c>
      <c r="F1670">
        <v>46.520172119000001</v>
      </c>
      <c r="G1670">
        <v>1340.0549315999999</v>
      </c>
      <c r="H1670">
        <v>1337.7149658000001</v>
      </c>
      <c r="I1670">
        <v>1325.0706786999999</v>
      </c>
      <c r="J1670">
        <v>1322.4628906</v>
      </c>
      <c r="K1670">
        <v>2750</v>
      </c>
      <c r="L1670">
        <v>0</v>
      </c>
      <c r="M1670">
        <v>0</v>
      </c>
      <c r="N1670">
        <v>2750</v>
      </c>
    </row>
    <row r="1671" spans="1:14" x14ac:dyDescent="0.25">
      <c r="A1671">
        <v>832.917239</v>
      </c>
      <c r="B1671" s="1">
        <f>DATE(2012,8,10) + TIME(22,0,49)</f>
        <v>41131.917233796295</v>
      </c>
      <c r="C1671">
        <v>80</v>
      </c>
      <c r="D1671">
        <v>79.97203064</v>
      </c>
      <c r="E1671">
        <v>50</v>
      </c>
      <c r="F1671">
        <v>46.570285796999997</v>
      </c>
      <c r="G1671">
        <v>1340.0484618999999</v>
      </c>
      <c r="H1671">
        <v>1337.7114257999999</v>
      </c>
      <c r="I1671">
        <v>1325.0571289</v>
      </c>
      <c r="J1671">
        <v>1322.4389647999999</v>
      </c>
      <c r="K1671">
        <v>2750</v>
      </c>
      <c r="L1671">
        <v>0</v>
      </c>
      <c r="M1671">
        <v>0</v>
      </c>
      <c r="N1671">
        <v>2750</v>
      </c>
    </row>
    <row r="1672" spans="1:14" x14ac:dyDescent="0.25">
      <c r="A1672">
        <v>834.59765800000002</v>
      </c>
      <c r="B1672" s="1">
        <f>DATE(2012,8,12) + TIME(14,20,37)</f>
        <v>41133.597650462965</v>
      </c>
      <c r="C1672">
        <v>80</v>
      </c>
      <c r="D1672">
        <v>79.97203064</v>
      </c>
      <c r="E1672">
        <v>50</v>
      </c>
      <c r="F1672">
        <v>46.641315460000001</v>
      </c>
      <c r="G1672">
        <v>1340.0418701000001</v>
      </c>
      <c r="H1672">
        <v>1337.7077637</v>
      </c>
      <c r="I1672">
        <v>1325.0433350000001</v>
      </c>
      <c r="J1672">
        <v>1322.4141846</v>
      </c>
      <c r="K1672">
        <v>2750</v>
      </c>
      <c r="L1672">
        <v>0</v>
      </c>
      <c r="M1672">
        <v>0</v>
      </c>
      <c r="N1672">
        <v>2750</v>
      </c>
    </row>
    <row r="1673" spans="1:14" x14ac:dyDescent="0.25">
      <c r="A1673">
        <v>835.45841399999995</v>
      </c>
      <c r="B1673" s="1">
        <f>DATE(2012,8,13) + TIME(11,0,6)</f>
        <v>41134.458402777775</v>
      </c>
      <c r="C1673">
        <v>80</v>
      </c>
      <c r="D1673">
        <v>79.972023010000001</v>
      </c>
      <c r="E1673">
        <v>50</v>
      </c>
      <c r="F1673">
        <v>46.715869904000002</v>
      </c>
      <c r="G1673">
        <v>1340.0354004000001</v>
      </c>
      <c r="H1673">
        <v>1337.7041016000001</v>
      </c>
      <c r="I1673">
        <v>1325.0314940999999</v>
      </c>
      <c r="J1673">
        <v>1322.3917236</v>
      </c>
      <c r="K1673">
        <v>2750</v>
      </c>
      <c r="L1673">
        <v>0</v>
      </c>
      <c r="M1673">
        <v>0</v>
      </c>
      <c r="N1673">
        <v>2750</v>
      </c>
    </row>
    <row r="1674" spans="1:14" x14ac:dyDescent="0.25">
      <c r="A1674">
        <v>837.07106099999999</v>
      </c>
      <c r="B1674" s="1">
        <f>DATE(2012,8,15) + TIME(1,42,19)</f>
        <v>41136.071053240739</v>
      </c>
      <c r="C1674">
        <v>80</v>
      </c>
      <c r="D1674">
        <v>79.97203064</v>
      </c>
      <c r="E1674">
        <v>50</v>
      </c>
      <c r="F1674">
        <v>46.803256988999998</v>
      </c>
      <c r="G1674">
        <v>1340.0321045000001</v>
      </c>
      <c r="H1674">
        <v>1337.7022704999999</v>
      </c>
      <c r="I1674">
        <v>1325.0217285000001</v>
      </c>
      <c r="J1674">
        <v>1322.3754882999999</v>
      </c>
      <c r="K1674">
        <v>2750</v>
      </c>
      <c r="L1674">
        <v>0</v>
      </c>
      <c r="M1674">
        <v>0</v>
      </c>
      <c r="N1674">
        <v>2750</v>
      </c>
    </row>
    <row r="1675" spans="1:14" x14ac:dyDescent="0.25">
      <c r="A1675">
        <v>838.74400400000002</v>
      </c>
      <c r="B1675" s="1">
        <f>DATE(2012,8,16) + TIME(17,51,21)</f>
        <v>41137.743993055556</v>
      </c>
      <c r="C1675">
        <v>80</v>
      </c>
      <c r="D1675">
        <v>79.97203064</v>
      </c>
      <c r="E1675">
        <v>50</v>
      </c>
      <c r="F1675">
        <v>46.928638458000002</v>
      </c>
      <c r="G1675">
        <v>1340.026001</v>
      </c>
      <c r="H1675">
        <v>1337.6988524999999</v>
      </c>
      <c r="I1675">
        <v>1325.0108643000001</v>
      </c>
      <c r="J1675">
        <v>1322.3551024999999</v>
      </c>
      <c r="K1675">
        <v>2750</v>
      </c>
      <c r="L1675">
        <v>0</v>
      </c>
      <c r="M1675">
        <v>0</v>
      </c>
      <c r="N1675">
        <v>2750</v>
      </c>
    </row>
    <row r="1676" spans="1:14" x14ac:dyDescent="0.25">
      <c r="A1676">
        <v>840.44277099999999</v>
      </c>
      <c r="B1676" s="1">
        <f>DATE(2012,8,18) + TIME(10,37,35)</f>
        <v>41139.442766203705</v>
      </c>
      <c r="C1676">
        <v>80</v>
      </c>
      <c r="D1676">
        <v>79.972038268999995</v>
      </c>
      <c r="E1676">
        <v>50</v>
      </c>
      <c r="F1676">
        <v>47.088554381999998</v>
      </c>
      <c r="G1676">
        <v>1340.0197754000001</v>
      </c>
      <c r="H1676">
        <v>1337.6953125</v>
      </c>
      <c r="I1676">
        <v>1324.9998779</v>
      </c>
      <c r="J1676">
        <v>1322.3344727000001</v>
      </c>
      <c r="K1676">
        <v>2750</v>
      </c>
      <c r="L1676">
        <v>0</v>
      </c>
      <c r="M1676">
        <v>0</v>
      </c>
      <c r="N1676">
        <v>2750</v>
      </c>
    </row>
    <row r="1677" spans="1:14" x14ac:dyDescent="0.25">
      <c r="A1677">
        <v>841.31569500000001</v>
      </c>
      <c r="B1677" s="1">
        <f>DATE(2012,8,19) + TIME(7,34,36)</f>
        <v>41140.315694444442</v>
      </c>
      <c r="C1677">
        <v>80</v>
      </c>
      <c r="D1677">
        <v>79.97203064</v>
      </c>
      <c r="E1677">
        <v>50</v>
      </c>
      <c r="F1677">
        <v>47.244277953999998</v>
      </c>
      <c r="G1677">
        <v>1340.0135498</v>
      </c>
      <c r="H1677">
        <v>1337.6917725000001</v>
      </c>
      <c r="I1677">
        <v>1324.9912108999999</v>
      </c>
      <c r="J1677">
        <v>1322.3161620999999</v>
      </c>
      <c r="K1677">
        <v>2750</v>
      </c>
      <c r="L1677">
        <v>0</v>
      </c>
      <c r="M1677">
        <v>0</v>
      </c>
      <c r="N1677">
        <v>2750</v>
      </c>
    </row>
    <row r="1678" spans="1:14" x14ac:dyDescent="0.25">
      <c r="A1678">
        <v>842.88581099999999</v>
      </c>
      <c r="B1678" s="1">
        <f>DATE(2012,8,20) + TIME(21,15,34)</f>
        <v>41141.885810185187</v>
      </c>
      <c r="C1678">
        <v>80</v>
      </c>
      <c r="D1678">
        <v>79.972038268999995</v>
      </c>
      <c r="E1678">
        <v>50</v>
      </c>
      <c r="F1678">
        <v>47.412307738999999</v>
      </c>
      <c r="G1678">
        <v>1340.010376</v>
      </c>
      <c r="H1678">
        <v>1337.6899414</v>
      </c>
      <c r="I1678">
        <v>1324.9827881000001</v>
      </c>
      <c r="J1678">
        <v>1322.3031006000001</v>
      </c>
      <c r="K1678">
        <v>2750</v>
      </c>
      <c r="L1678">
        <v>0</v>
      </c>
      <c r="M1678">
        <v>0</v>
      </c>
      <c r="N1678">
        <v>2750</v>
      </c>
    </row>
    <row r="1679" spans="1:14" x14ac:dyDescent="0.25">
      <c r="A1679">
        <v>844.56331599999999</v>
      </c>
      <c r="B1679" s="1">
        <f>DATE(2012,8,22) + TIME(13,31,10)</f>
        <v>41143.563310185185</v>
      </c>
      <c r="C1679">
        <v>80</v>
      </c>
      <c r="D1679">
        <v>79.972045898000005</v>
      </c>
      <c r="E1679">
        <v>50</v>
      </c>
      <c r="F1679">
        <v>47.633712768999999</v>
      </c>
      <c r="G1679">
        <v>1340.0047606999999</v>
      </c>
      <c r="H1679">
        <v>1337.6866454999999</v>
      </c>
      <c r="I1679">
        <v>1324.9747314000001</v>
      </c>
      <c r="J1679">
        <v>1322.2874756000001</v>
      </c>
      <c r="K1679">
        <v>2750</v>
      </c>
      <c r="L1679">
        <v>0</v>
      </c>
      <c r="M1679">
        <v>0</v>
      </c>
      <c r="N1679">
        <v>2750</v>
      </c>
    </row>
    <row r="1680" spans="1:14" x14ac:dyDescent="0.25">
      <c r="A1680">
        <v>846.28424800000005</v>
      </c>
      <c r="B1680" s="1">
        <f>DATE(2012,8,24) + TIME(6,49,19)</f>
        <v>41145.284247685187</v>
      </c>
      <c r="C1680">
        <v>80</v>
      </c>
      <c r="D1680">
        <v>79.972053528000004</v>
      </c>
      <c r="E1680">
        <v>50</v>
      </c>
      <c r="F1680">
        <v>47.908481598000002</v>
      </c>
      <c r="G1680">
        <v>1339.9989014</v>
      </c>
      <c r="H1680">
        <v>1337.6832274999999</v>
      </c>
      <c r="I1680">
        <v>1324.9665527</v>
      </c>
      <c r="J1680">
        <v>1322.2717285000001</v>
      </c>
      <c r="K1680">
        <v>2750</v>
      </c>
      <c r="L1680">
        <v>0</v>
      </c>
      <c r="M1680">
        <v>0</v>
      </c>
      <c r="N1680">
        <v>2750</v>
      </c>
    </row>
    <row r="1681" spans="1:14" x14ac:dyDescent="0.25">
      <c r="A1681">
        <v>847.17301099999997</v>
      </c>
      <c r="B1681" s="1">
        <f>DATE(2012,8,25) + TIME(4,9,8)</f>
        <v>41146.173009259262</v>
      </c>
      <c r="C1681">
        <v>80</v>
      </c>
      <c r="D1681">
        <v>79.972045898000005</v>
      </c>
      <c r="E1681">
        <v>50</v>
      </c>
      <c r="F1681">
        <v>48.155212401999997</v>
      </c>
      <c r="G1681">
        <v>1339.9929199000001</v>
      </c>
      <c r="H1681">
        <v>1337.6796875</v>
      </c>
      <c r="I1681">
        <v>1324.9610596</v>
      </c>
      <c r="J1681">
        <v>1322.2581786999999</v>
      </c>
      <c r="K1681">
        <v>2750</v>
      </c>
      <c r="L1681">
        <v>0</v>
      </c>
      <c r="M1681">
        <v>0</v>
      </c>
      <c r="N1681">
        <v>2750</v>
      </c>
    </row>
    <row r="1682" spans="1:14" x14ac:dyDescent="0.25">
      <c r="A1682">
        <v>848.71419600000002</v>
      </c>
      <c r="B1682" s="1">
        <f>DATE(2012,8,26) + TIME(17,8,26)</f>
        <v>41147.714189814818</v>
      </c>
      <c r="C1682">
        <v>80</v>
      </c>
      <c r="D1682">
        <v>79.972053528000004</v>
      </c>
      <c r="E1682">
        <v>50</v>
      </c>
      <c r="F1682">
        <v>48.406494141000003</v>
      </c>
      <c r="G1682">
        <v>1339.9898682</v>
      </c>
      <c r="H1682">
        <v>1337.6778564000001</v>
      </c>
      <c r="I1682">
        <v>1324.9539795000001</v>
      </c>
      <c r="J1682">
        <v>1322.2487793</v>
      </c>
      <c r="K1682">
        <v>2750</v>
      </c>
      <c r="L1682">
        <v>0</v>
      </c>
      <c r="M1682">
        <v>0</v>
      </c>
      <c r="N1682">
        <v>2750</v>
      </c>
    </row>
    <row r="1683" spans="1:14" x14ac:dyDescent="0.25">
      <c r="A1683">
        <v>850.402243</v>
      </c>
      <c r="B1683" s="1">
        <f>DATE(2012,8,28) + TIME(9,39,13)</f>
        <v>41149.402233796296</v>
      </c>
      <c r="C1683">
        <v>80</v>
      </c>
      <c r="D1683">
        <v>79.972061156999999</v>
      </c>
      <c r="E1683">
        <v>50</v>
      </c>
      <c r="F1683">
        <v>48.739620209000002</v>
      </c>
      <c r="G1683">
        <v>1339.9846190999999</v>
      </c>
      <c r="H1683">
        <v>1337.6748047000001</v>
      </c>
      <c r="I1683">
        <v>1324.9481201000001</v>
      </c>
      <c r="J1683">
        <v>1322.237793</v>
      </c>
      <c r="K1683">
        <v>2750</v>
      </c>
      <c r="L1683">
        <v>0</v>
      </c>
      <c r="M1683">
        <v>0</v>
      </c>
      <c r="N1683">
        <v>2750</v>
      </c>
    </row>
    <row r="1684" spans="1:14" x14ac:dyDescent="0.25">
      <c r="A1684">
        <v>852.19056499999999</v>
      </c>
      <c r="B1684" s="1">
        <f>DATE(2012,8,30) + TIME(4,34,24)</f>
        <v>41151.190555555557</v>
      </c>
      <c r="C1684">
        <v>80</v>
      </c>
      <c r="D1684">
        <v>79.972076415999993</v>
      </c>
      <c r="E1684">
        <v>50</v>
      </c>
      <c r="F1684">
        <v>49.094253539999997</v>
      </c>
      <c r="G1684">
        <v>1339.9788818</v>
      </c>
      <c r="H1684">
        <v>1337.6715088000001</v>
      </c>
      <c r="I1684">
        <v>1324.9423827999999</v>
      </c>
      <c r="J1684">
        <v>1322.2268065999999</v>
      </c>
      <c r="K1684">
        <v>2750</v>
      </c>
      <c r="L1684">
        <v>0</v>
      </c>
      <c r="M1684">
        <v>0</v>
      </c>
      <c r="N1684">
        <v>2750</v>
      </c>
    </row>
    <row r="1685" spans="1:14" x14ac:dyDescent="0.25">
      <c r="A1685">
        <v>854</v>
      </c>
      <c r="B1685" s="1">
        <f>DATE(2012,9,1) + TIME(0,0,0)</f>
        <v>41153</v>
      </c>
      <c r="C1685">
        <v>80</v>
      </c>
      <c r="D1685">
        <v>79.972084045000003</v>
      </c>
      <c r="E1685">
        <v>50</v>
      </c>
      <c r="F1685">
        <v>49.506191254000001</v>
      </c>
      <c r="G1685">
        <v>1339.9730225000001</v>
      </c>
      <c r="H1685">
        <v>1337.6679687999999</v>
      </c>
      <c r="I1685">
        <v>1324.9368896000001</v>
      </c>
      <c r="J1685">
        <v>1322.2164307</v>
      </c>
      <c r="K1685">
        <v>2750</v>
      </c>
      <c r="L1685">
        <v>0</v>
      </c>
      <c r="M1685">
        <v>0</v>
      </c>
      <c r="N1685">
        <v>2750</v>
      </c>
    </row>
    <row r="1686" spans="1:14" x14ac:dyDescent="0.25">
      <c r="A1686">
        <v>855.86086899999998</v>
      </c>
      <c r="B1686" s="1">
        <f>DATE(2012,9,2) + TIME(20,39,39)</f>
        <v>41154.860868055555</v>
      </c>
      <c r="C1686">
        <v>80</v>
      </c>
      <c r="D1686">
        <v>79.972091675000001</v>
      </c>
      <c r="E1686">
        <v>50</v>
      </c>
      <c r="F1686">
        <v>49.958343505999999</v>
      </c>
      <c r="G1686">
        <v>1339.9671631000001</v>
      </c>
      <c r="H1686">
        <v>1337.6644286999999</v>
      </c>
      <c r="I1686">
        <v>1324.9318848</v>
      </c>
      <c r="J1686">
        <v>1322.2073975000001</v>
      </c>
      <c r="K1686">
        <v>2750</v>
      </c>
      <c r="L1686">
        <v>0</v>
      </c>
      <c r="M1686">
        <v>0</v>
      </c>
      <c r="N1686">
        <v>2750</v>
      </c>
    </row>
    <row r="1687" spans="1:14" x14ac:dyDescent="0.25">
      <c r="A1687">
        <v>857.88007000000005</v>
      </c>
      <c r="B1687" s="1">
        <f>DATE(2012,9,4) + TIME(21,7,18)</f>
        <v>41156.880069444444</v>
      </c>
      <c r="C1687">
        <v>80</v>
      </c>
      <c r="D1687">
        <v>79.972099303999997</v>
      </c>
      <c r="E1687">
        <v>50</v>
      </c>
      <c r="F1687">
        <v>50.444366455000001</v>
      </c>
      <c r="G1687">
        <v>1339.9611815999999</v>
      </c>
      <c r="H1687">
        <v>1337.6608887</v>
      </c>
      <c r="I1687">
        <v>1324.927124</v>
      </c>
      <c r="J1687">
        <v>1322.1993408000001</v>
      </c>
      <c r="K1687">
        <v>2750</v>
      </c>
      <c r="L1687">
        <v>0</v>
      </c>
      <c r="M1687">
        <v>0</v>
      </c>
      <c r="N1687">
        <v>2750</v>
      </c>
    </row>
    <row r="1688" spans="1:14" x14ac:dyDescent="0.25">
      <c r="A1688">
        <v>859.98166700000002</v>
      </c>
      <c r="B1688" s="1">
        <f>DATE(2012,9,6) + TIME(23,33,36)</f>
        <v>41158.981666666667</v>
      </c>
      <c r="C1688">
        <v>80</v>
      </c>
      <c r="D1688">
        <v>79.972114563000005</v>
      </c>
      <c r="E1688">
        <v>50</v>
      </c>
      <c r="F1688">
        <v>50.969398499</v>
      </c>
      <c r="G1688">
        <v>1339.9548339999999</v>
      </c>
      <c r="H1688">
        <v>1337.6571045000001</v>
      </c>
      <c r="I1688">
        <v>1324.9229736</v>
      </c>
      <c r="J1688">
        <v>1322.1922606999999</v>
      </c>
      <c r="K1688">
        <v>2750</v>
      </c>
      <c r="L1688">
        <v>0</v>
      </c>
      <c r="M1688">
        <v>0</v>
      </c>
      <c r="N1688">
        <v>2750</v>
      </c>
    </row>
    <row r="1689" spans="1:14" x14ac:dyDescent="0.25">
      <c r="A1689">
        <v>862.14621199999999</v>
      </c>
      <c r="B1689" s="1">
        <f>DATE(2012,9,9) + TIME(3,30,32)</f>
        <v>41161.146203703705</v>
      </c>
      <c r="C1689">
        <v>80</v>
      </c>
      <c r="D1689">
        <v>79.972129821999999</v>
      </c>
      <c r="E1689">
        <v>50</v>
      </c>
      <c r="F1689">
        <v>51.518672942999999</v>
      </c>
      <c r="G1689">
        <v>1339.9483643000001</v>
      </c>
      <c r="H1689">
        <v>1337.6531981999999</v>
      </c>
      <c r="I1689">
        <v>1324.9193115</v>
      </c>
      <c r="J1689">
        <v>1322.1861572</v>
      </c>
      <c r="K1689">
        <v>2750</v>
      </c>
      <c r="L1689">
        <v>0</v>
      </c>
      <c r="M1689">
        <v>0</v>
      </c>
      <c r="N1689">
        <v>2750</v>
      </c>
    </row>
    <row r="1690" spans="1:14" x14ac:dyDescent="0.25">
      <c r="A1690">
        <v>864.37855500000001</v>
      </c>
      <c r="B1690" s="1">
        <f>DATE(2012,9,11) + TIME(9,5,7)</f>
        <v>41163.378553240742</v>
      </c>
      <c r="C1690">
        <v>80</v>
      </c>
      <c r="D1690">
        <v>79.972137450999995</v>
      </c>
      <c r="E1690">
        <v>50</v>
      </c>
      <c r="F1690">
        <v>52.081573486000003</v>
      </c>
      <c r="G1690">
        <v>1339.9417725000001</v>
      </c>
      <c r="H1690">
        <v>1337.6491699000001</v>
      </c>
      <c r="I1690">
        <v>1324.9162598</v>
      </c>
      <c r="J1690">
        <v>1322.1811522999999</v>
      </c>
      <c r="K1690">
        <v>2750</v>
      </c>
      <c r="L1690">
        <v>0</v>
      </c>
      <c r="M1690">
        <v>0</v>
      </c>
      <c r="N1690">
        <v>2750</v>
      </c>
    </row>
    <row r="1691" spans="1:14" x14ac:dyDescent="0.25">
      <c r="A1691">
        <v>866.65146700000003</v>
      </c>
      <c r="B1691" s="1">
        <f>DATE(2012,9,13) + TIME(15,38,6)</f>
        <v>41165.651458333334</v>
      </c>
      <c r="C1691">
        <v>80</v>
      </c>
      <c r="D1691">
        <v>79.972152710000003</v>
      </c>
      <c r="E1691">
        <v>50</v>
      </c>
      <c r="F1691">
        <v>52.649921417000002</v>
      </c>
      <c r="G1691">
        <v>1339.9351807</v>
      </c>
      <c r="H1691">
        <v>1337.6452637</v>
      </c>
      <c r="I1691">
        <v>1324.9138184000001</v>
      </c>
      <c r="J1691">
        <v>1322.1772461</v>
      </c>
      <c r="K1691">
        <v>2750</v>
      </c>
      <c r="L1691">
        <v>0</v>
      </c>
      <c r="M1691">
        <v>0</v>
      </c>
      <c r="N1691">
        <v>2750</v>
      </c>
    </row>
    <row r="1692" spans="1:14" x14ac:dyDescent="0.25">
      <c r="A1692">
        <v>868.99639500000001</v>
      </c>
      <c r="B1692" s="1">
        <f>DATE(2012,9,15) + TIME(23,54,48)</f>
        <v>41167.996388888889</v>
      </c>
      <c r="C1692">
        <v>80</v>
      </c>
      <c r="D1692">
        <v>79.972167968999997</v>
      </c>
      <c r="E1692">
        <v>50</v>
      </c>
      <c r="F1692">
        <v>53.213710785000004</v>
      </c>
      <c r="G1692">
        <v>1339.9285889</v>
      </c>
      <c r="H1692">
        <v>1337.6412353999999</v>
      </c>
      <c r="I1692">
        <v>1324.9119873</v>
      </c>
      <c r="J1692">
        <v>1322.1743164</v>
      </c>
      <c r="K1692">
        <v>2750</v>
      </c>
      <c r="L1692">
        <v>0</v>
      </c>
      <c r="M1692">
        <v>0</v>
      </c>
      <c r="N1692">
        <v>2750</v>
      </c>
    </row>
    <row r="1693" spans="1:14" x14ac:dyDescent="0.25">
      <c r="A1693">
        <v>871.38182800000004</v>
      </c>
      <c r="B1693" s="1">
        <f>DATE(2012,9,18) + TIME(9,9,49)</f>
        <v>41170.38181712963</v>
      </c>
      <c r="C1693">
        <v>80</v>
      </c>
      <c r="D1693">
        <v>79.972183228000006</v>
      </c>
      <c r="E1693">
        <v>50</v>
      </c>
      <c r="F1693">
        <v>53.772750854000002</v>
      </c>
      <c r="G1693">
        <v>1339.9219971</v>
      </c>
      <c r="H1693">
        <v>1337.637207</v>
      </c>
      <c r="I1693">
        <v>1324.9107666</v>
      </c>
      <c r="J1693">
        <v>1322.1722411999999</v>
      </c>
      <c r="K1693">
        <v>2750</v>
      </c>
      <c r="L1693">
        <v>0</v>
      </c>
      <c r="M1693">
        <v>0</v>
      </c>
      <c r="N1693">
        <v>2750</v>
      </c>
    </row>
    <row r="1694" spans="1:14" x14ac:dyDescent="0.25">
      <c r="A1694">
        <v>873.82046700000001</v>
      </c>
      <c r="B1694" s="1">
        <f>DATE(2012,9,20) + TIME(19,41,28)</f>
        <v>41172.820462962962</v>
      </c>
      <c r="C1694">
        <v>80</v>
      </c>
      <c r="D1694">
        <v>79.972198485999996</v>
      </c>
      <c r="E1694">
        <v>50</v>
      </c>
      <c r="F1694">
        <v>54.322792053000001</v>
      </c>
      <c r="G1694">
        <v>1339.9154053</v>
      </c>
      <c r="H1694">
        <v>1337.6331786999999</v>
      </c>
      <c r="I1694">
        <v>1324.9100341999999</v>
      </c>
      <c r="J1694">
        <v>1322.1710204999999</v>
      </c>
      <c r="K1694">
        <v>2750</v>
      </c>
      <c r="L1694">
        <v>0</v>
      </c>
      <c r="M1694">
        <v>0</v>
      </c>
      <c r="N1694">
        <v>2750</v>
      </c>
    </row>
    <row r="1695" spans="1:14" x14ac:dyDescent="0.25">
      <c r="A1695">
        <v>876.32988699999999</v>
      </c>
      <c r="B1695" s="1">
        <f>DATE(2012,9,23) + TIME(7,55,2)</f>
        <v>41175.329884259256</v>
      </c>
      <c r="C1695">
        <v>80</v>
      </c>
      <c r="D1695">
        <v>79.972221375000004</v>
      </c>
      <c r="E1695">
        <v>50</v>
      </c>
      <c r="F1695">
        <v>54.863849639999998</v>
      </c>
      <c r="G1695">
        <v>1339.9088135</v>
      </c>
      <c r="H1695">
        <v>1337.6291504000001</v>
      </c>
      <c r="I1695">
        <v>1324.9099120999999</v>
      </c>
      <c r="J1695">
        <v>1322.1705322</v>
      </c>
      <c r="K1695">
        <v>2750</v>
      </c>
      <c r="L1695">
        <v>0</v>
      </c>
      <c r="M1695">
        <v>0</v>
      </c>
      <c r="N1695">
        <v>2750</v>
      </c>
    </row>
    <row r="1696" spans="1:14" x14ac:dyDescent="0.25">
      <c r="A1696">
        <v>878.87879499999997</v>
      </c>
      <c r="B1696" s="1">
        <f>DATE(2012,9,25) + TIME(21,5,27)</f>
        <v>41177.878784722219</v>
      </c>
      <c r="C1696">
        <v>80</v>
      </c>
      <c r="D1696">
        <v>79.972236632999994</v>
      </c>
      <c r="E1696">
        <v>50</v>
      </c>
      <c r="F1696">
        <v>55.396228790000002</v>
      </c>
      <c r="G1696">
        <v>1339.9022216999999</v>
      </c>
      <c r="H1696">
        <v>1337.6251221</v>
      </c>
      <c r="I1696">
        <v>1324.9100341999999</v>
      </c>
      <c r="J1696">
        <v>1322.1705322</v>
      </c>
      <c r="K1696">
        <v>2750</v>
      </c>
      <c r="L1696">
        <v>0</v>
      </c>
      <c r="M1696">
        <v>0</v>
      </c>
      <c r="N1696">
        <v>2750</v>
      </c>
    </row>
    <row r="1697" spans="1:14" x14ac:dyDescent="0.25">
      <c r="A1697">
        <v>881.48334</v>
      </c>
      <c r="B1697" s="1">
        <f>DATE(2012,9,28) + TIME(11,36,0)</f>
        <v>41180.48333333333</v>
      </c>
      <c r="C1697">
        <v>80</v>
      </c>
      <c r="D1697">
        <v>79.972251892000003</v>
      </c>
      <c r="E1697">
        <v>50</v>
      </c>
      <c r="F1697">
        <v>55.913043975999997</v>
      </c>
      <c r="G1697">
        <v>1339.8956298999999</v>
      </c>
      <c r="H1697">
        <v>1337.6212158000001</v>
      </c>
      <c r="I1697">
        <v>1324.9106445</v>
      </c>
      <c r="J1697">
        <v>1322.1711425999999</v>
      </c>
      <c r="K1697">
        <v>2750</v>
      </c>
      <c r="L1697">
        <v>0</v>
      </c>
      <c r="M1697">
        <v>0</v>
      </c>
      <c r="N1697">
        <v>2750</v>
      </c>
    </row>
    <row r="1698" spans="1:14" x14ac:dyDescent="0.25">
      <c r="A1698">
        <v>884</v>
      </c>
      <c r="B1698" s="1">
        <f>DATE(2012,10,1) + TIME(0,0,0)</f>
        <v>41183</v>
      </c>
      <c r="C1698">
        <v>80</v>
      </c>
      <c r="D1698">
        <v>79.972274780000006</v>
      </c>
      <c r="E1698">
        <v>50</v>
      </c>
      <c r="F1698">
        <v>56.412849426000001</v>
      </c>
      <c r="G1698">
        <v>1339.8890381000001</v>
      </c>
      <c r="H1698">
        <v>1337.6171875</v>
      </c>
      <c r="I1698">
        <v>1324.9116211</v>
      </c>
      <c r="J1698">
        <v>1322.1721190999999</v>
      </c>
      <c r="K1698">
        <v>2750</v>
      </c>
      <c r="L1698">
        <v>0</v>
      </c>
      <c r="M1698">
        <v>0</v>
      </c>
      <c r="N1698">
        <v>2750</v>
      </c>
    </row>
    <row r="1699" spans="1:14" x14ac:dyDescent="0.25">
      <c r="A1699">
        <v>886.68626400000005</v>
      </c>
      <c r="B1699" s="1">
        <f>DATE(2012,10,3) + TIME(16,28,13)</f>
        <v>41185.686261574076</v>
      </c>
      <c r="C1699">
        <v>80</v>
      </c>
      <c r="D1699">
        <v>79.972297667999996</v>
      </c>
      <c r="E1699">
        <v>50</v>
      </c>
      <c r="F1699">
        <v>56.880832671999997</v>
      </c>
      <c r="G1699">
        <v>1339.8829346</v>
      </c>
      <c r="H1699">
        <v>1337.6134033000001</v>
      </c>
      <c r="I1699">
        <v>1324.9125977000001</v>
      </c>
      <c r="J1699">
        <v>1322.1733397999999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889.46216200000003</v>
      </c>
      <c r="B1700" s="1">
        <f>DATE(2012,10,6) + TIME(11,5,30)</f>
        <v>41188.462152777778</v>
      </c>
      <c r="C1700">
        <v>80</v>
      </c>
      <c r="D1700">
        <v>79.972320557000003</v>
      </c>
      <c r="E1700">
        <v>50</v>
      </c>
      <c r="F1700">
        <v>57.351741791000002</v>
      </c>
      <c r="G1700">
        <v>1339.8764647999999</v>
      </c>
      <c r="H1700">
        <v>1337.6094971</v>
      </c>
      <c r="I1700">
        <v>1324.9139404</v>
      </c>
      <c r="J1700">
        <v>1322.1745605000001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892.32888600000001</v>
      </c>
      <c r="B1701" s="1">
        <f>DATE(2012,10,9) + TIME(7,53,35)</f>
        <v>41191.328877314816</v>
      </c>
      <c r="C1701">
        <v>80</v>
      </c>
      <c r="D1701">
        <v>79.972343445000007</v>
      </c>
      <c r="E1701">
        <v>50</v>
      </c>
      <c r="F1701">
        <v>57.808326721</v>
      </c>
      <c r="G1701">
        <v>1339.8699951000001</v>
      </c>
      <c r="H1701">
        <v>1337.6055908000001</v>
      </c>
      <c r="I1701">
        <v>1324.9154053</v>
      </c>
      <c r="J1701">
        <v>1322.1761475000001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895.24030100000004</v>
      </c>
      <c r="B1702" s="1">
        <f>DATE(2012,10,12) + TIME(5,46,2)</f>
        <v>41194.240300925929</v>
      </c>
      <c r="C1702">
        <v>80</v>
      </c>
      <c r="D1702">
        <v>79.972366332999997</v>
      </c>
      <c r="E1702">
        <v>50</v>
      </c>
      <c r="F1702">
        <v>58.257808685000001</v>
      </c>
      <c r="G1702">
        <v>1339.8634033000001</v>
      </c>
      <c r="H1702">
        <v>1337.6015625</v>
      </c>
      <c r="I1702">
        <v>1324.9171143000001</v>
      </c>
      <c r="J1702">
        <v>1322.1777344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898.20310600000005</v>
      </c>
      <c r="B1703" s="1">
        <f>DATE(2012,10,15) + TIME(4,52,28)</f>
        <v>41197.203101851854</v>
      </c>
      <c r="C1703">
        <v>80</v>
      </c>
      <c r="D1703">
        <v>79.972389221</v>
      </c>
      <c r="E1703">
        <v>50</v>
      </c>
      <c r="F1703">
        <v>58.684284210000001</v>
      </c>
      <c r="G1703">
        <v>1339.8569336</v>
      </c>
      <c r="H1703">
        <v>1337.5976562000001</v>
      </c>
      <c r="I1703">
        <v>1324.9190673999999</v>
      </c>
      <c r="J1703">
        <v>1322.1796875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901.26741000000004</v>
      </c>
      <c r="B1704" s="1">
        <f>DATE(2012,10,18) + TIME(6,25,4)</f>
        <v>41200.267407407409</v>
      </c>
      <c r="C1704">
        <v>80</v>
      </c>
      <c r="D1704">
        <v>79.972412109000004</v>
      </c>
      <c r="E1704">
        <v>50</v>
      </c>
      <c r="F1704">
        <v>59.103244781000001</v>
      </c>
      <c r="G1704">
        <v>1339.8504639</v>
      </c>
      <c r="H1704">
        <v>1337.59375</v>
      </c>
      <c r="I1704">
        <v>1324.9210204999999</v>
      </c>
      <c r="J1704">
        <v>1322.1816406</v>
      </c>
      <c r="K1704">
        <v>2750</v>
      </c>
      <c r="L1704">
        <v>0</v>
      </c>
      <c r="M1704">
        <v>0</v>
      </c>
      <c r="N1704">
        <v>2750</v>
      </c>
    </row>
    <row r="1705" spans="1:14" x14ac:dyDescent="0.25">
      <c r="A1705">
        <v>904.375269</v>
      </c>
      <c r="B1705" s="1">
        <f>DATE(2012,10,21) + TIME(9,0,23)</f>
        <v>41203.3752662037</v>
      </c>
      <c r="C1705">
        <v>80</v>
      </c>
      <c r="D1705">
        <v>79.972442627000007</v>
      </c>
      <c r="E1705">
        <v>50</v>
      </c>
      <c r="F1705">
        <v>59.496128081999998</v>
      </c>
      <c r="G1705">
        <v>1339.8439940999999</v>
      </c>
      <c r="H1705">
        <v>1337.5897216999999</v>
      </c>
      <c r="I1705">
        <v>1324.9232178</v>
      </c>
      <c r="J1705">
        <v>1322.1837158000001</v>
      </c>
      <c r="K1705">
        <v>2750</v>
      </c>
      <c r="L1705">
        <v>0</v>
      </c>
      <c r="M1705">
        <v>0</v>
      </c>
      <c r="N1705">
        <v>2750</v>
      </c>
    </row>
    <row r="1706" spans="1:14" x14ac:dyDescent="0.25">
      <c r="A1706">
        <v>907.542644</v>
      </c>
      <c r="B1706" s="1">
        <f>DATE(2012,10,24) + TIME(13,1,24)</f>
        <v>41206.542638888888</v>
      </c>
      <c r="C1706">
        <v>80</v>
      </c>
      <c r="D1706">
        <v>79.972473144999995</v>
      </c>
      <c r="E1706">
        <v>50</v>
      </c>
      <c r="F1706">
        <v>59.894237517999997</v>
      </c>
      <c r="G1706">
        <v>1339.8375243999999</v>
      </c>
      <c r="H1706">
        <v>1337.5858154</v>
      </c>
      <c r="I1706">
        <v>1324.9254149999999</v>
      </c>
      <c r="J1706">
        <v>1322.1857910000001</v>
      </c>
      <c r="K1706">
        <v>2750</v>
      </c>
      <c r="L1706">
        <v>0</v>
      </c>
      <c r="M1706">
        <v>0</v>
      </c>
      <c r="N1706">
        <v>2750</v>
      </c>
    </row>
    <row r="1707" spans="1:14" x14ac:dyDescent="0.25">
      <c r="A1707">
        <v>910.809303</v>
      </c>
      <c r="B1707" s="1">
        <f>DATE(2012,10,27) + TIME(19,25,23)</f>
        <v>41209.809293981481</v>
      </c>
      <c r="C1707">
        <v>80</v>
      </c>
      <c r="D1707">
        <v>79.972496032999999</v>
      </c>
      <c r="E1707">
        <v>50</v>
      </c>
      <c r="F1707">
        <v>60.243793488000001</v>
      </c>
      <c r="G1707">
        <v>1339.8311768000001</v>
      </c>
      <c r="H1707">
        <v>1337.5820312000001</v>
      </c>
      <c r="I1707">
        <v>1324.9278564000001</v>
      </c>
      <c r="J1707">
        <v>1322.1878661999999</v>
      </c>
      <c r="K1707">
        <v>2750</v>
      </c>
      <c r="L1707">
        <v>0</v>
      </c>
      <c r="M1707">
        <v>0</v>
      </c>
      <c r="N1707">
        <v>2750</v>
      </c>
    </row>
    <row r="1708" spans="1:14" x14ac:dyDescent="0.25">
      <c r="A1708">
        <v>914.13643100000002</v>
      </c>
      <c r="B1708" s="1">
        <f>DATE(2012,10,31) + TIME(3,16,27)</f>
        <v>41213.136423611111</v>
      </c>
      <c r="C1708">
        <v>80</v>
      </c>
      <c r="D1708">
        <v>79.972526549999998</v>
      </c>
      <c r="E1708">
        <v>50</v>
      </c>
      <c r="F1708">
        <v>60.632583617999998</v>
      </c>
      <c r="G1708">
        <v>1339.8248291</v>
      </c>
      <c r="H1708">
        <v>1337.578125</v>
      </c>
      <c r="I1708">
        <v>1324.9301757999999</v>
      </c>
      <c r="J1708">
        <v>1322.1900635</v>
      </c>
      <c r="K1708">
        <v>2750</v>
      </c>
      <c r="L1708">
        <v>0</v>
      </c>
      <c r="M1708">
        <v>0</v>
      </c>
      <c r="N1708">
        <v>2750</v>
      </c>
    </row>
    <row r="1709" spans="1:14" x14ac:dyDescent="0.25">
      <c r="A1709">
        <v>915</v>
      </c>
      <c r="B1709" s="1">
        <f>DATE(2012,11,1) + TIME(0,0,0)</f>
        <v>41214</v>
      </c>
      <c r="C1709">
        <v>80</v>
      </c>
      <c r="D1709">
        <v>79.972518921000002</v>
      </c>
      <c r="E1709">
        <v>50</v>
      </c>
      <c r="F1709">
        <v>60.839118958</v>
      </c>
      <c r="G1709">
        <v>1339.8184814000001</v>
      </c>
      <c r="H1709">
        <v>1337.5743408000001</v>
      </c>
      <c r="I1709">
        <v>1324.9354248</v>
      </c>
      <c r="J1709">
        <v>1322.1932373</v>
      </c>
      <c r="K1709">
        <v>2750</v>
      </c>
      <c r="L1709">
        <v>0</v>
      </c>
      <c r="M1709">
        <v>0</v>
      </c>
      <c r="N1709">
        <v>2750</v>
      </c>
    </row>
    <row r="1710" spans="1:14" x14ac:dyDescent="0.25">
      <c r="A1710">
        <v>915.000001</v>
      </c>
      <c r="B1710" s="1">
        <f>DATE(2012,11,1) + TIME(0,0,0)</f>
        <v>41214</v>
      </c>
      <c r="C1710">
        <v>80</v>
      </c>
      <c r="D1710">
        <v>79.972419739000003</v>
      </c>
      <c r="E1710">
        <v>50</v>
      </c>
      <c r="F1710">
        <v>60.839237212999997</v>
      </c>
      <c r="G1710">
        <v>1336.8703613</v>
      </c>
      <c r="H1710">
        <v>1336.0786132999999</v>
      </c>
      <c r="I1710">
        <v>1328.6397704999999</v>
      </c>
      <c r="J1710">
        <v>1325.9873047000001</v>
      </c>
      <c r="K1710">
        <v>0</v>
      </c>
      <c r="L1710">
        <v>2750</v>
      </c>
      <c r="M1710">
        <v>2750</v>
      </c>
      <c r="N1710">
        <v>0</v>
      </c>
    </row>
    <row r="1711" spans="1:14" x14ac:dyDescent="0.25">
      <c r="A1711">
        <v>915.00000399999999</v>
      </c>
      <c r="B1711" s="1">
        <f>DATE(2012,11,1) + TIME(0,0,0)</f>
        <v>41214</v>
      </c>
      <c r="C1711">
        <v>80</v>
      </c>
      <c r="D1711">
        <v>79.972290039000001</v>
      </c>
      <c r="E1711">
        <v>50</v>
      </c>
      <c r="F1711">
        <v>60.839374542000002</v>
      </c>
      <c r="G1711">
        <v>1335.9300536999999</v>
      </c>
      <c r="H1711">
        <v>1335.1269531</v>
      </c>
      <c r="I1711">
        <v>1330.0058594</v>
      </c>
      <c r="J1711">
        <v>1327.4747314000001</v>
      </c>
      <c r="K1711">
        <v>0</v>
      </c>
      <c r="L1711">
        <v>2750</v>
      </c>
      <c r="M1711">
        <v>2750</v>
      </c>
      <c r="N1711">
        <v>0</v>
      </c>
    </row>
    <row r="1712" spans="1:14" x14ac:dyDescent="0.25">
      <c r="A1712">
        <v>915.00001299999997</v>
      </c>
      <c r="B1712" s="1">
        <f>DATE(2012,11,1) + TIME(0,0,1)</f>
        <v>41214.000011574077</v>
      </c>
      <c r="C1712">
        <v>80</v>
      </c>
      <c r="D1712">
        <v>79.972145080999994</v>
      </c>
      <c r="E1712">
        <v>50</v>
      </c>
      <c r="F1712">
        <v>60.839405059999997</v>
      </c>
      <c r="G1712">
        <v>1334.9552002</v>
      </c>
      <c r="H1712">
        <v>1334.1188964999999</v>
      </c>
      <c r="I1712">
        <v>1331.65625</v>
      </c>
      <c r="J1712">
        <v>1329.1066894999999</v>
      </c>
      <c r="K1712">
        <v>0</v>
      </c>
      <c r="L1712">
        <v>2750</v>
      </c>
      <c r="M1712">
        <v>2750</v>
      </c>
      <c r="N1712">
        <v>0</v>
      </c>
    </row>
    <row r="1713" spans="1:14" x14ac:dyDescent="0.25">
      <c r="A1713">
        <v>915.00004000000001</v>
      </c>
      <c r="B1713" s="1">
        <f>DATE(2012,11,1) + TIME(0,0,3)</f>
        <v>41214.000034722223</v>
      </c>
      <c r="C1713">
        <v>80</v>
      </c>
      <c r="D1713">
        <v>79.972007751000007</v>
      </c>
      <c r="E1713">
        <v>50</v>
      </c>
      <c r="F1713">
        <v>60.839050293</v>
      </c>
      <c r="G1713">
        <v>1333.9912108999999</v>
      </c>
      <c r="H1713">
        <v>1333.1069336</v>
      </c>
      <c r="I1713">
        <v>1333.3302002</v>
      </c>
      <c r="J1713">
        <v>1330.7319336</v>
      </c>
      <c r="K1713">
        <v>0</v>
      </c>
      <c r="L1713">
        <v>2750</v>
      </c>
      <c r="M1713">
        <v>2750</v>
      </c>
      <c r="N1713">
        <v>0</v>
      </c>
    </row>
    <row r="1714" spans="1:14" x14ac:dyDescent="0.25">
      <c r="A1714">
        <v>915.00012100000004</v>
      </c>
      <c r="B1714" s="1">
        <f>DATE(2012,11,1) + TIME(0,0,10)</f>
        <v>41214.000115740739</v>
      </c>
      <c r="C1714">
        <v>80</v>
      </c>
      <c r="D1714">
        <v>79.971855164000004</v>
      </c>
      <c r="E1714">
        <v>50</v>
      </c>
      <c r="F1714">
        <v>60.837528229</v>
      </c>
      <c r="G1714">
        <v>1332.9893798999999</v>
      </c>
      <c r="H1714">
        <v>1332.0408935999999</v>
      </c>
      <c r="I1714">
        <v>1334.9803466999999</v>
      </c>
      <c r="J1714">
        <v>1332.3341064000001</v>
      </c>
      <c r="K1714">
        <v>0</v>
      </c>
      <c r="L1714">
        <v>2750</v>
      </c>
      <c r="M1714">
        <v>2750</v>
      </c>
      <c r="N1714">
        <v>0</v>
      </c>
    </row>
    <row r="1715" spans="1:14" x14ac:dyDescent="0.25">
      <c r="A1715">
        <v>915.00036399999999</v>
      </c>
      <c r="B1715" s="1">
        <f>DATE(2012,11,1) + TIME(0,0,31)</f>
        <v>41214.000358796293</v>
      </c>
      <c r="C1715">
        <v>80</v>
      </c>
      <c r="D1715">
        <v>79.971672057999996</v>
      </c>
      <c r="E1715">
        <v>50</v>
      </c>
      <c r="F1715">
        <v>60.832420349000003</v>
      </c>
      <c r="G1715">
        <v>1331.9205322</v>
      </c>
      <c r="H1715">
        <v>1330.8983154</v>
      </c>
      <c r="I1715">
        <v>1336.6080322</v>
      </c>
      <c r="J1715">
        <v>1333.9024658000001</v>
      </c>
      <c r="K1715">
        <v>0</v>
      </c>
      <c r="L1715">
        <v>2750</v>
      </c>
      <c r="M1715">
        <v>2750</v>
      </c>
      <c r="N1715">
        <v>0</v>
      </c>
    </row>
    <row r="1716" spans="1:14" x14ac:dyDescent="0.25">
      <c r="A1716">
        <v>915.00109299999997</v>
      </c>
      <c r="B1716" s="1">
        <f>DATE(2012,11,1) + TIME(0,1,34)</f>
        <v>41214.001087962963</v>
      </c>
      <c r="C1716">
        <v>80</v>
      </c>
      <c r="D1716">
        <v>79.971420288000004</v>
      </c>
      <c r="E1716">
        <v>50</v>
      </c>
      <c r="F1716">
        <v>60.816299438000001</v>
      </c>
      <c r="G1716">
        <v>1330.8823242000001</v>
      </c>
      <c r="H1716">
        <v>1329.7954102000001</v>
      </c>
      <c r="I1716">
        <v>1338.0933838000001</v>
      </c>
      <c r="J1716">
        <v>1335.3209228999999</v>
      </c>
      <c r="K1716">
        <v>0</v>
      </c>
      <c r="L1716">
        <v>2750</v>
      </c>
      <c r="M1716">
        <v>2750</v>
      </c>
      <c r="N1716">
        <v>0</v>
      </c>
    </row>
    <row r="1717" spans="1:14" x14ac:dyDescent="0.25">
      <c r="A1717">
        <v>915.00328000000002</v>
      </c>
      <c r="B1717" s="1">
        <f>DATE(2012,11,1) + TIME(0,4,43)</f>
        <v>41214.003275462965</v>
      </c>
      <c r="C1717">
        <v>80</v>
      </c>
      <c r="D1717">
        <v>79.970985412999994</v>
      </c>
      <c r="E1717">
        <v>50</v>
      </c>
      <c r="F1717">
        <v>60.766925811999997</v>
      </c>
      <c r="G1717">
        <v>1330.0908202999999</v>
      </c>
      <c r="H1717">
        <v>1328.9680175999999</v>
      </c>
      <c r="I1717">
        <v>1339.1853027</v>
      </c>
      <c r="J1717">
        <v>1336.3643798999999</v>
      </c>
      <c r="K1717">
        <v>0</v>
      </c>
      <c r="L1717">
        <v>2750</v>
      </c>
      <c r="M1717">
        <v>2750</v>
      </c>
      <c r="N1717">
        <v>0</v>
      </c>
    </row>
    <row r="1718" spans="1:14" x14ac:dyDescent="0.25">
      <c r="A1718">
        <v>915.00984100000005</v>
      </c>
      <c r="B1718" s="1">
        <f>DATE(2012,11,1) + TIME(0,14,10)</f>
        <v>41214.009837962964</v>
      </c>
      <c r="C1718">
        <v>80</v>
      </c>
      <c r="D1718">
        <v>79.969963074000006</v>
      </c>
      <c r="E1718">
        <v>50</v>
      </c>
      <c r="F1718">
        <v>60.619754790999998</v>
      </c>
      <c r="G1718">
        <v>1329.6768798999999</v>
      </c>
      <c r="H1718">
        <v>1328.5427245999999</v>
      </c>
      <c r="I1718">
        <v>1339.7237548999999</v>
      </c>
      <c r="J1718">
        <v>1336.8824463000001</v>
      </c>
      <c r="K1718">
        <v>0</v>
      </c>
      <c r="L1718">
        <v>2750</v>
      </c>
      <c r="M1718">
        <v>2750</v>
      </c>
      <c r="N1718">
        <v>0</v>
      </c>
    </row>
    <row r="1719" spans="1:14" x14ac:dyDescent="0.25">
      <c r="A1719">
        <v>915.02952400000004</v>
      </c>
      <c r="B1719" s="1">
        <f>DATE(2012,11,1) + TIME(0,42,30)</f>
        <v>41214.029513888891</v>
      </c>
      <c r="C1719">
        <v>80</v>
      </c>
      <c r="D1719">
        <v>79.967094420999999</v>
      </c>
      <c r="E1719">
        <v>50</v>
      </c>
      <c r="F1719">
        <v>60.197757721000002</v>
      </c>
      <c r="G1719">
        <v>1329.5578613</v>
      </c>
      <c r="H1719">
        <v>1328.4207764</v>
      </c>
      <c r="I1719">
        <v>1339.8428954999999</v>
      </c>
      <c r="J1719">
        <v>1336.9978027</v>
      </c>
      <c r="K1719">
        <v>0</v>
      </c>
      <c r="L1719">
        <v>2750</v>
      </c>
      <c r="M1719">
        <v>2750</v>
      </c>
      <c r="N1719">
        <v>0</v>
      </c>
    </row>
    <row r="1720" spans="1:14" x14ac:dyDescent="0.25">
      <c r="A1720">
        <v>915.06674199999998</v>
      </c>
      <c r="B1720" s="1">
        <f>DATE(2012,11,1) + TIME(1,36,6)</f>
        <v>41214.066736111112</v>
      </c>
      <c r="C1720">
        <v>80</v>
      </c>
      <c r="D1720">
        <v>79.961822510000005</v>
      </c>
      <c r="E1720">
        <v>50</v>
      </c>
      <c r="F1720">
        <v>59.465358733999999</v>
      </c>
      <c r="G1720">
        <v>1329.5396728999999</v>
      </c>
      <c r="H1720">
        <v>1328.4002685999999</v>
      </c>
      <c r="I1720">
        <v>1339.8251952999999</v>
      </c>
      <c r="J1720">
        <v>1336.9819336</v>
      </c>
      <c r="K1720">
        <v>0</v>
      </c>
      <c r="L1720">
        <v>2750</v>
      </c>
      <c r="M1720">
        <v>2750</v>
      </c>
      <c r="N1720">
        <v>0</v>
      </c>
    </row>
    <row r="1721" spans="1:14" x14ac:dyDescent="0.25">
      <c r="A1721">
        <v>915.10485400000005</v>
      </c>
      <c r="B1721" s="1">
        <f>DATE(2012,11,1) + TIME(2,30,59)</f>
        <v>41214.104849537034</v>
      </c>
      <c r="C1721">
        <v>80</v>
      </c>
      <c r="D1721">
        <v>79.956481933999996</v>
      </c>
      <c r="E1721">
        <v>50</v>
      </c>
      <c r="F1721">
        <v>58.777706146</v>
      </c>
      <c r="G1721">
        <v>1329.5332031</v>
      </c>
      <c r="H1721">
        <v>1328.3908690999999</v>
      </c>
      <c r="I1721">
        <v>1339.7987060999999</v>
      </c>
      <c r="J1721">
        <v>1336.9580077999999</v>
      </c>
      <c r="K1721">
        <v>0</v>
      </c>
      <c r="L1721">
        <v>2750</v>
      </c>
      <c r="M1721">
        <v>2750</v>
      </c>
      <c r="N1721">
        <v>0</v>
      </c>
    </row>
    <row r="1722" spans="1:14" x14ac:dyDescent="0.25">
      <c r="A1722">
        <v>915.14403500000003</v>
      </c>
      <c r="B1722" s="1">
        <f>DATE(2012,11,1) + TIME(3,27,24)</f>
        <v>41214.14402777778</v>
      </c>
      <c r="C1722">
        <v>80</v>
      </c>
      <c r="D1722">
        <v>79.951049804999997</v>
      </c>
      <c r="E1722">
        <v>50</v>
      </c>
      <c r="F1722">
        <v>58.130062103</v>
      </c>
      <c r="G1722">
        <v>1329.5275879000001</v>
      </c>
      <c r="H1722">
        <v>1328.3824463000001</v>
      </c>
      <c r="I1722">
        <v>1339.7733154</v>
      </c>
      <c r="J1722">
        <v>1336.9350586</v>
      </c>
      <c r="K1722">
        <v>0</v>
      </c>
      <c r="L1722">
        <v>2750</v>
      </c>
      <c r="M1722">
        <v>2750</v>
      </c>
      <c r="N1722">
        <v>0</v>
      </c>
    </row>
    <row r="1723" spans="1:14" x14ac:dyDescent="0.25">
      <c r="A1723">
        <v>915.18434400000001</v>
      </c>
      <c r="B1723" s="1">
        <f>DATE(2012,11,1) + TIME(4,25,27)</f>
        <v>41214.184340277781</v>
      </c>
      <c r="C1723">
        <v>80</v>
      </c>
      <c r="D1723">
        <v>79.945518493999998</v>
      </c>
      <c r="E1723">
        <v>50</v>
      </c>
      <c r="F1723">
        <v>57.520103454999997</v>
      </c>
      <c r="G1723">
        <v>1329.5220947</v>
      </c>
      <c r="H1723">
        <v>1328.3740233999999</v>
      </c>
      <c r="I1723">
        <v>1339.7496338000001</v>
      </c>
      <c r="J1723">
        <v>1336.9135742000001</v>
      </c>
      <c r="K1723">
        <v>0</v>
      </c>
      <c r="L1723">
        <v>2750</v>
      </c>
      <c r="M1723">
        <v>2750</v>
      </c>
      <c r="N1723">
        <v>0</v>
      </c>
    </row>
    <row r="1724" spans="1:14" x14ac:dyDescent="0.25">
      <c r="A1724">
        <v>915.22590100000002</v>
      </c>
      <c r="B1724" s="1">
        <f>DATE(2012,11,1) + TIME(5,25,17)</f>
        <v>41214.225891203707</v>
      </c>
      <c r="C1724">
        <v>80</v>
      </c>
      <c r="D1724">
        <v>79.939872742000006</v>
      </c>
      <c r="E1724">
        <v>50</v>
      </c>
      <c r="F1724">
        <v>56.945018767999997</v>
      </c>
      <c r="G1724">
        <v>1329.5166016000001</v>
      </c>
      <c r="H1724">
        <v>1328.3656006000001</v>
      </c>
      <c r="I1724">
        <v>1339.7275391000001</v>
      </c>
      <c r="J1724">
        <v>1336.8935547000001</v>
      </c>
      <c r="K1724">
        <v>0</v>
      </c>
      <c r="L1724">
        <v>2750</v>
      </c>
      <c r="M1724">
        <v>2750</v>
      </c>
      <c r="N1724">
        <v>0</v>
      </c>
    </row>
    <row r="1725" spans="1:14" x14ac:dyDescent="0.25">
      <c r="A1725">
        <v>915.26880100000005</v>
      </c>
      <c r="B1725" s="1">
        <f>DATE(2012,11,1) + TIME(6,27,4)</f>
        <v>41214.268796296295</v>
      </c>
      <c r="C1725">
        <v>80</v>
      </c>
      <c r="D1725">
        <v>79.934104919000006</v>
      </c>
      <c r="E1725">
        <v>50</v>
      </c>
      <c r="F1725">
        <v>56.402770996000001</v>
      </c>
      <c r="G1725">
        <v>1329.5109863</v>
      </c>
      <c r="H1725">
        <v>1328.3570557</v>
      </c>
      <c r="I1725">
        <v>1339.7067870999999</v>
      </c>
      <c r="J1725">
        <v>1336.8748779</v>
      </c>
      <c r="K1725">
        <v>0</v>
      </c>
      <c r="L1725">
        <v>2750</v>
      </c>
      <c r="M1725">
        <v>2750</v>
      </c>
      <c r="N1725">
        <v>0</v>
      </c>
    </row>
    <row r="1726" spans="1:14" x14ac:dyDescent="0.25">
      <c r="A1726">
        <v>915.31316500000003</v>
      </c>
      <c r="B1726" s="1">
        <f>DATE(2012,11,1) + TIME(7,30,57)</f>
        <v>41214.313159722224</v>
      </c>
      <c r="C1726">
        <v>80</v>
      </c>
      <c r="D1726">
        <v>79.928199767999999</v>
      </c>
      <c r="E1726">
        <v>50</v>
      </c>
      <c r="F1726">
        <v>55.89132309</v>
      </c>
      <c r="G1726">
        <v>1329.5053711</v>
      </c>
      <c r="H1726">
        <v>1328.3485106999999</v>
      </c>
      <c r="I1726">
        <v>1339.6875</v>
      </c>
      <c r="J1726">
        <v>1336.8574219</v>
      </c>
      <c r="K1726">
        <v>0</v>
      </c>
      <c r="L1726">
        <v>2750</v>
      </c>
      <c r="M1726">
        <v>2750</v>
      </c>
      <c r="N1726">
        <v>0</v>
      </c>
    </row>
    <row r="1727" spans="1:14" x14ac:dyDescent="0.25">
      <c r="A1727">
        <v>915.35910699999999</v>
      </c>
      <c r="B1727" s="1">
        <f>DATE(2012,11,1) + TIME(8,37,6)</f>
        <v>41214.359097222223</v>
      </c>
      <c r="C1727">
        <v>80</v>
      </c>
      <c r="D1727">
        <v>79.922157287999994</v>
      </c>
      <c r="E1727">
        <v>50</v>
      </c>
      <c r="F1727">
        <v>55.409053802000003</v>
      </c>
      <c r="G1727">
        <v>1329.4996338000001</v>
      </c>
      <c r="H1727">
        <v>1328.3398437999999</v>
      </c>
      <c r="I1727">
        <v>1339.6695557</v>
      </c>
      <c r="J1727">
        <v>1336.8410644999999</v>
      </c>
      <c r="K1727">
        <v>0</v>
      </c>
      <c r="L1727">
        <v>2750</v>
      </c>
      <c r="M1727">
        <v>2750</v>
      </c>
      <c r="N1727">
        <v>0</v>
      </c>
    </row>
    <row r="1728" spans="1:14" x14ac:dyDescent="0.25">
      <c r="A1728">
        <v>915.40678100000002</v>
      </c>
      <c r="B1728" s="1">
        <f>DATE(2012,11,1) + TIME(9,45,45)</f>
        <v>41214.406770833331</v>
      </c>
      <c r="C1728">
        <v>80</v>
      </c>
      <c r="D1728">
        <v>79.915954589999998</v>
      </c>
      <c r="E1728">
        <v>50</v>
      </c>
      <c r="F1728">
        <v>54.954246521000002</v>
      </c>
      <c r="G1728">
        <v>1329.4937743999999</v>
      </c>
      <c r="H1728">
        <v>1328.3310547000001</v>
      </c>
      <c r="I1728">
        <v>1339.6529541</v>
      </c>
      <c r="J1728">
        <v>1336.8259277</v>
      </c>
      <c r="K1728">
        <v>0</v>
      </c>
      <c r="L1728">
        <v>2750</v>
      </c>
      <c r="M1728">
        <v>2750</v>
      </c>
      <c r="N1728">
        <v>0</v>
      </c>
    </row>
    <row r="1729" spans="1:14" x14ac:dyDescent="0.25">
      <c r="A1729">
        <v>915.45636500000001</v>
      </c>
      <c r="B1729" s="1">
        <f>DATE(2012,11,1) + TIME(10,57,9)</f>
        <v>41214.456354166665</v>
      </c>
      <c r="C1729">
        <v>80</v>
      </c>
      <c r="D1729">
        <v>79.909576415999993</v>
      </c>
      <c r="E1729">
        <v>50</v>
      </c>
      <c r="F1729">
        <v>54.525348663000003</v>
      </c>
      <c r="G1729">
        <v>1329.4879149999999</v>
      </c>
      <c r="H1729">
        <v>1328.3221435999999</v>
      </c>
      <c r="I1729">
        <v>1339.6374512</v>
      </c>
      <c r="J1729">
        <v>1336.8118896000001</v>
      </c>
      <c r="K1729">
        <v>0</v>
      </c>
      <c r="L1729">
        <v>2750</v>
      </c>
      <c r="M1729">
        <v>2750</v>
      </c>
      <c r="N1729">
        <v>0</v>
      </c>
    </row>
    <row r="1730" spans="1:14" x14ac:dyDescent="0.25">
      <c r="A1730">
        <v>915.50804500000004</v>
      </c>
      <c r="B1730" s="1">
        <f>DATE(2012,11,1) + TIME(12,11,35)</f>
        <v>41214.508043981485</v>
      </c>
      <c r="C1730">
        <v>80</v>
      </c>
      <c r="D1730">
        <v>79.902999878000003</v>
      </c>
      <c r="E1730">
        <v>50</v>
      </c>
      <c r="F1730">
        <v>54.121059418000002</v>
      </c>
      <c r="G1730">
        <v>1329.4819336</v>
      </c>
      <c r="H1730">
        <v>1328.3129882999999</v>
      </c>
      <c r="I1730">
        <v>1339.6230469</v>
      </c>
      <c r="J1730">
        <v>1336.7988281</v>
      </c>
      <c r="K1730">
        <v>0</v>
      </c>
      <c r="L1730">
        <v>2750</v>
      </c>
      <c r="M1730">
        <v>2750</v>
      </c>
      <c r="N1730">
        <v>0</v>
      </c>
    </row>
    <row r="1731" spans="1:14" x14ac:dyDescent="0.25">
      <c r="A1731">
        <v>915.56203200000004</v>
      </c>
      <c r="B1731" s="1">
        <f>DATE(2012,11,1) + TIME(13,29,19)</f>
        <v>41214.562025462961</v>
      </c>
      <c r="C1731">
        <v>80</v>
      </c>
      <c r="D1731">
        <v>79.896209717000005</v>
      </c>
      <c r="E1731">
        <v>50</v>
      </c>
      <c r="F1731">
        <v>53.740226745999998</v>
      </c>
      <c r="G1731">
        <v>1329.4757079999999</v>
      </c>
      <c r="H1731">
        <v>1328.3037108999999</v>
      </c>
      <c r="I1731">
        <v>1339.6098632999999</v>
      </c>
      <c r="J1731">
        <v>1336.7867432</v>
      </c>
      <c r="K1731">
        <v>0</v>
      </c>
      <c r="L1731">
        <v>2750</v>
      </c>
      <c r="M1731">
        <v>2750</v>
      </c>
      <c r="N1731">
        <v>0</v>
      </c>
    </row>
    <row r="1732" spans="1:14" x14ac:dyDescent="0.25">
      <c r="A1732">
        <v>915.618561</v>
      </c>
      <c r="B1732" s="1">
        <f>DATE(2012,11,1) + TIME(14,50,43)</f>
        <v>41214.61855324074</v>
      </c>
      <c r="C1732">
        <v>80</v>
      </c>
      <c r="D1732">
        <v>79.889183044000006</v>
      </c>
      <c r="E1732">
        <v>50</v>
      </c>
      <c r="F1732">
        <v>53.381855010999999</v>
      </c>
      <c r="G1732">
        <v>1329.4694824000001</v>
      </c>
      <c r="H1732">
        <v>1328.2943115</v>
      </c>
      <c r="I1732">
        <v>1339.5976562000001</v>
      </c>
      <c r="J1732">
        <v>1336.7756348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915.67790100000002</v>
      </c>
      <c r="B1733" s="1">
        <f>DATE(2012,11,1) + TIME(16,16,10)</f>
        <v>41214.677893518521</v>
      </c>
      <c r="C1733">
        <v>80</v>
      </c>
      <c r="D1733">
        <v>79.881896972999996</v>
      </c>
      <c r="E1733">
        <v>50</v>
      </c>
      <c r="F1733">
        <v>53.045032501000001</v>
      </c>
      <c r="G1733">
        <v>1329.4630127</v>
      </c>
      <c r="H1733">
        <v>1328.2845459</v>
      </c>
      <c r="I1733">
        <v>1339.5863036999999</v>
      </c>
      <c r="J1733">
        <v>1336.7653809000001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915.74037499999997</v>
      </c>
      <c r="B1734" s="1">
        <f>DATE(2012,11,1) + TIME(17,46,8)</f>
        <v>41214.740370370368</v>
      </c>
      <c r="C1734">
        <v>80</v>
      </c>
      <c r="D1734">
        <v>79.874320983999993</v>
      </c>
      <c r="E1734">
        <v>50</v>
      </c>
      <c r="F1734">
        <v>52.728900908999996</v>
      </c>
      <c r="G1734">
        <v>1329.4564209</v>
      </c>
      <c r="H1734">
        <v>1328.2745361</v>
      </c>
      <c r="I1734">
        <v>1339.5760498</v>
      </c>
      <c r="J1734">
        <v>1336.7558594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915.80634699999996</v>
      </c>
      <c r="B1735" s="1">
        <f>DATE(2012,11,1) + TIME(19,21,8)</f>
        <v>41214.806342592594</v>
      </c>
      <c r="C1735">
        <v>80</v>
      </c>
      <c r="D1735">
        <v>79.866424561000002</v>
      </c>
      <c r="E1735">
        <v>50</v>
      </c>
      <c r="F1735">
        <v>52.432723998999997</v>
      </c>
      <c r="G1735">
        <v>1329.4495850000001</v>
      </c>
      <c r="H1735">
        <v>1328.2642822</v>
      </c>
      <c r="I1735">
        <v>1339.5665283000001</v>
      </c>
      <c r="J1735">
        <v>1336.7471923999999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915.87624400000004</v>
      </c>
      <c r="B1736" s="1">
        <f>DATE(2012,11,1) + TIME(21,1,47)</f>
        <v>41214.876238425924</v>
      </c>
      <c r="C1736">
        <v>80</v>
      </c>
      <c r="D1736">
        <v>79.858161925999994</v>
      </c>
      <c r="E1736">
        <v>50</v>
      </c>
      <c r="F1736">
        <v>52.155857085999997</v>
      </c>
      <c r="G1736">
        <v>1329.4425048999999</v>
      </c>
      <c r="H1736">
        <v>1328.2536620999999</v>
      </c>
      <c r="I1736">
        <v>1339.5577393000001</v>
      </c>
      <c r="J1736">
        <v>1336.7391356999999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915.95056699999998</v>
      </c>
      <c r="B1737" s="1">
        <f>DATE(2012,11,1) + TIME(22,48,48)</f>
        <v>41214.950555555559</v>
      </c>
      <c r="C1737">
        <v>80</v>
      </c>
      <c r="D1737">
        <v>79.849494934000006</v>
      </c>
      <c r="E1737">
        <v>50</v>
      </c>
      <c r="F1737">
        <v>51.897727965999998</v>
      </c>
      <c r="G1737">
        <v>1329.4351807</v>
      </c>
      <c r="H1737">
        <v>1328.2426757999999</v>
      </c>
      <c r="I1737">
        <v>1339.5496826000001</v>
      </c>
      <c r="J1737">
        <v>1336.7319336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916.02991399999996</v>
      </c>
      <c r="B1738" s="1">
        <f>DATE(2012,11,2) + TIME(0,43,4)</f>
        <v>41215.029907407406</v>
      </c>
      <c r="C1738">
        <v>80</v>
      </c>
      <c r="D1738">
        <v>79.840370178000001</v>
      </c>
      <c r="E1738">
        <v>50</v>
      </c>
      <c r="F1738">
        <v>51.657825469999999</v>
      </c>
      <c r="G1738">
        <v>1329.4276123</v>
      </c>
      <c r="H1738">
        <v>1328.2312012</v>
      </c>
      <c r="I1738">
        <v>1339.5422363</v>
      </c>
      <c r="J1738">
        <v>1336.7252197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916.115002</v>
      </c>
      <c r="B1739" s="1">
        <f>DATE(2012,11,2) + TIME(2,45,36)</f>
        <v>41215.114999999998</v>
      </c>
      <c r="C1739">
        <v>80</v>
      </c>
      <c r="D1739">
        <v>79.830718993999994</v>
      </c>
      <c r="E1739">
        <v>50</v>
      </c>
      <c r="F1739">
        <v>51.435699462999999</v>
      </c>
      <c r="G1739">
        <v>1329.4195557</v>
      </c>
      <c r="H1739">
        <v>1328.2192382999999</v>
      </c>
      <c r="I1739">
        <v>1339.5354004000001</v>
      </c>
      <c r="J1739">
        <v>1336.7192382999999</v>
      </c>
      <c r="K1739">
        <v>0</v>
      </c>
      <c r="L1739">
        <v>2750</v>
      </c>
      <c r="M1739">
        <v>2750</v>
      </c>
      <c r="N1739">
        <v>0</v>
      </c>
    </row>
    <row r="1740" spans="1:14" x14ac:dyDescent="0.25">
      <c r="A1740">
        <v>916.20670299999995</v>
      </c>
      <c r="B1740" s="1">
        <f>DATE(2012,11,2) + TIME(4,57,39)</f>
        <v>41215.206701388888</v>
      </c>
      <c r="C1740">
        <v>80</v>
      </c>
      <c r="D1740">
        <v>79.820480347</v>
      </c>
      <c r="E1740">
        <v>50</v>
      </c>
      <c r="F1740">
        <v>51.230941772000001</v>
      </c>
      <c r="G1740">
        <v>1329.4111327999999</v>
      </c>
      <c r="H1740">
        <v>1328.2067870999999</v>
      </c>
      <c r="I1740">
        <v>1339.5291748</v>
      </c>
      <c r="J1740">
        <v>1336.7136230000001</v>
      </c>
      <c r="K1740">
        <v>0</v>
      </c>
      <c r="L1740">
        <v>2750</v>
      </c>
      <c r="M1740">
        <v>2750</v>
      </c>
      <c r="N1740">
        <v>0</v>
      </c>
    </row>
    <row r="1741" spans="1:14" x14ac:dyDescent="0.25">
      <c r="A1741">
        <v>916.30391799999995</v>
      </c>
      <c r="B1741" s="1">
        <f>DATE(2012,11,2) + TIME(7,17,38)</f>
        <v>41215.303912037038</v>
      </c>
      <c r="C1741">
        <v>80</v>
      </c>
      <c r="D1741">
        <v>79.809768676999994</v>
      </c>
      <c r="E1741">
        <v>50</v>
      </c>
      <c r="F1741">
        <v>51.046676636000001</v>
      </c>
      <c r="G1741">
        <v>1329.4023437999999</v>
      </c>
      <c r="H1741">
        <v>1328.1936035000001</v>
      </c>
      <c r="I1741">
        <v>1339.5235596</v>
      </c>
      <c r="J1741">
        <v>1336.7088623</v>
      </c>
      <c r="K1741">
        <v>0</v>
      </c>
      <c r="L1741">
        <v>2750</v>
      </c>
      <c r="M1741">
        <v>2750</v>
      </c>
      <c r="N1741">
        <v>0</v>
      </c>
    </row>
    <row r="1742" spans="1:14" x14ac:dyDescent="0.25">
      <c r="A1742">
        <v>916.40548899999999</v>
      </c>
      <c r="B1742" s="1">
        <f>DATE(2012,11,2) + TIME(9,43,54)</f>
        <v>41215.405486111114</v>
      </c>
      <c r="C1742">
        <v>80</v>
      </c>
      <c r="D1742">
        <v>79.798698424999998</v>
      </c>
      <c r="E1742">
        <v>50</v>
      </c>
      <c r="F1742">
        <v>50.884189606</v>
      </c>
      <c r="G1742">
        <v>1329.3933105000001</v>
      </c>
      <c r="H1742">
        <v>1328.1801757999999</v>
      </c>
      <c r="I1742">
        <v>1339.5186768000001</v>
      </c>
      <c r="J1742">
        <v>1336.7048339999999</v>
      </c>
      <c r="K1742">
        <v>0</v>
      </c>
      <c r="L1742">
        <v>2750</v>
      </c>
      <c r="M1742">
        <v>2750</v>
      </c>
      <c r="N1742">
        <v>0</v>
      </c>
    </row>
    <row r="1743" spans="1:14" x14ac:dyDescent="0.25">
      <c r="A1743">
        <v>916.51148999999998</v>
      </c>
      <c r="B1743" s="1">
        <f>DATE(2012,11,2) + TIME(12,16,32)</f>
        <v>41215.511481481481</v>
      </c>
      <c r="C1743">
        <v>80</v>
      </c>
      <c r="D1743">
        <v>79.787277222</v>
      </c>
      <c r="E1743">
        <v>50</v>
      </c>
      <c r="F1743">
        <v>50.741897582999997</v>
      </c>
      <c r="G1743">
        <v>1329.3840332</v>
      </c>
      <c r="H1743">
        <v>1328.1662598</v>
      </c>
      <c r="I1743">
        <v>1339.5142822</v>
      </c>
      <c r="J1743">
        <v>1336.7012939000001</v>
      </c>
      <c r="K1743">
        <v>0</v>
      </c>
      <c r="L1743">
        <v>2750</v>
      </c>
      <c r="M1743">
        <v>2750</v>
      </c>
      <c r="N1743">
        <v>0</v>
      </c>
    </row>
    <row r="1744" spans="1:14" x14ac:dyDescent="0.25">
      <c r="A1744">
        <v>916.622163</v>
      </c>
      <c r="B1744" s="1">
        <f>DATE(2012,11,2) + TIME(14,55,54)</f>
        <v>41215.622152777774</v>
      </c>
      <c r="C1744">
        <v>80</v>
      </c>
      <c r="D1744">
        <v>79.775489807</v>
      </c>
      <c r="E1744">
        <v>50</v>
      </c>
      <c r="F1744">
        <v>50.618015288999999</v>
      </c>
      <c r="G1744">
        <v>1329.3743896000001</v>
      </c>
      <c r="H1744">
        <v>1328.1520995999999</v>
      </c>
      <c r="I1744">
        <v>1339.5100098</v>
      </c>
      <c r="J1744">
        <v>1336.6982422000001</v>
      </c>
      <c r="K1744">
        <v>0</v>
      </c>
      <c r="L1744">
        <v>2750</v>
      </c>
      <c r="M1744">
        <v>2750</v>
      </c>
      <c r="N1744">
        <v>0</v>
      </c>
    </row>
    <row r="1745" spans="1:14" x14ac:dyDescent="0.25">
      <c r="A1745">
        <v>916.73778700000003</v>
      </c>
      <c r="B1745" s="1">
        <f>DATE(2012,11,2) + TIME(17,42,24)</f>
        <v>41215.73777777778</v>
      </c>
      <c r="C1745">
        <v>80</v>
      </c>
      <c r="D1745">
        <v>79.763298035000005</v>
      </c>
      <c r="E1745">
        <v>50</v>
      </c>
      <c r="F1745">
        <v>50.510803223000003</v>
      </c>
      <c r="G1745">
        <v>1329.364624</v>
      </c>
      <c r="H1745">
        <v>1328.1375731999999</v>
      </c>
      <c r="I1745">
        <v>1339.5061035000001</v>
      </c>
      <c r="J1745">
        <v>1336.6953125</v>
      </c>
      <c r="K1745">
        <v>0</v>
      </c>
      <c r="L1745">
        <v>2750</v>
      </c>
      <c r="M1745">
        <v>2750</v>
      </c>
      <c r="N1745">
        <v>0</v>
      </c>
    </row>
    <row r="1746" spans="1:14" x14ac:dyDescent="0.25">
      <c r="A1746">
        <v>916.85866799999997</v>
      </c>
      <c r="B1746" s="1">
        <f>DATE(2012,11,2) + TIME(20,36,28)</f>
        <v>41215.858657407407</v>
      </c>
      <c r="C1746">
        <v>80</v>
      </c>
      <c r="D1746">
        <v>79.750694275000001</v>
      </c>
      <c r="E1746">
        <v>50</v>
      </c>
      <c r="F1746">
        <v>50.41859436</v>
      </c>
      <c r="G1746">
        <v>1329.3546143000001</v>
      </c>
      <c r="H1746">
        <v>1328.1226807</v>
      </c>
      <c r="I1746">
        <v>1339.5021973</v>
      </c>
      <c r="J1746">
        <v>1336.692749</v>
      </c>
      <c r="K1746">
        <v>0</v>
      </c>
      <c r="L1746">
        <v>2750</v>
      </c>
      <c r="M1746">
        <v>2750</v>
      </c>
      <c r="N1746">
        <v>0</v>
      </c>
    </row>
    <row r="1747" spans="1:14" x14ac:dyDescent="0.25">
      <c r="A1747">
        <v>916.98514</v>
      </c>
      <c r="B1747" s="1">
        <f>DATE(2012,11,2) + TIME(23,38,36)</f>
        <v>41215.985138888886</v>
      </c>
      <c r="C1747">
        <v>80</v>
      </c>
      <c r="D1747">
        <v>79.737632751000007</v>
      </c>
      <c r="E1747">
        <v>50</v>
      </c>
      <c r="F1747">
        <v>50.339824677000003</v>
      </c>
      <c r="G1747">
        <v>1329.3442382999999</v>
      </c>
      <c r="H1747">
        <v>1328.1074219</v>
      </c>
      <c r="I1747">
        <v>1339.4982910000001</v>
      </c>
      <c r="J1747">
        <v>1336.6903076000001</v>
      </c>
      <c r="K1747">
        <v>0</v>
      </c>
      <c r="L1747">
        <v>2750</v>
      </c>
      <c r="M1747">
        <v>2750</v>
      </c>
      <c r="N1747">
        <v>0</v>
      </c>
    </row>
    <row r="1748" spans="1:14" x14ac:dyDescent="0.25">
      <c r="A1748">
        <v>917.11756600000001</v>
      </c>
      <c r="B1748" s="1">
        <f>DATE(2012,11,3) + TIME(2,49,17)</f>
        <v>41216.11755787037</v>
      </c>
      <c r="C1748">
        <v>80</v>
      </c>
      <c r="D1748">
        <v>79.724105835000003</v>
      </c>
      <c r="E1748">
        <v>50</v>
      </c>
      <c r="F1748">
        <v>50.273010253999999</v>
      </c>
      <c r="G1748">
        <v>1329.3336182</v>
      </c>
      <c r="H1748">
        <v>1328.0917969</v>
      </c>
      <c r="I1748">
        <v>1339.4943848</v>
      </c>
      <c r="J1748">
        <v>1336.6879882999999</v>
      </c>
      <c r="K1748">
        <v>0</v>
      </c>
      <c r="L1748">
        <v>2750</v>
      </c>
      <c r="M1748">
        <v>2750</v>
      </c>
      <c r="N1748">
        <v>0</v>
      </c>
    </row>
    <row r="1749" spans="1:14" x14ac:dyDescent="0.25">
      <c r="A1749">
        <v>917.25634400000001</v>
      </c>
      <c r="B1749" s="1">
        <f>DATE(2012,11,3) + TIME(6,9,8)</f>
        <v>41216.256342592591</v>
      </c>
      <c r="C1749">
        <v>80</v>
      </c>
      <c r="D1749">
        <v>79.710060119999994</v>
      </c>
      <c r="E1749">
        <v>50</v>
      </c>
      <c r="F1749">
        <v>50.216758728000002</v>
      </c>
      <c r="G1749">
        <v>1329.3227539</v>
      </c>
      <c r="H1749">
        <v>1328.0756836</v>
      </c>
      <c r="I1749">
        <v>1339.4903564000001</v>
      </c>
      <c r="J1749">
        <v>1336.6857910000001</v>
      </c>
      <c r="K1749">
        <v>0</v>
      </c>
      <c r="L1749">
        <v>2750</v>
      </c>
      <c r="M1749">
        <v>2750</v>
      </c>
      <c r="N1749">
        <v>0</v>
      </c>
    </row>
    <row r="1750" spans="1:14" x14ac:dyDescent="0.25">
      <c r="A1750">
        <v>917.40191000000004</v>
      </c>
      <c r="B1750" s="1">
        <f>DATE(2012,11,3) + TIME(9,38,45)</f>
        <v>41216.401909722219</v>
      </c>
      <c r="C1750">
        <v>80</v>
      </c>
      <c r="D1750">
        <v>79.695480347</v>
      </c>
      <c r="E1750">
        <v>50</v>
      </c>
      <c r="F1750">
        <v>50.169780731000003</v>
      </c>
      <c r="G1750">
        <v>1329.3115233999999</v>
      </c>
      <c r="H1750">
        <v>1328.059082</v>
      </c>
      <c r="I1750">
        <v>1339.4862060999999</v>
      </c>
      <c r="J1750">
        <v>1336.6835937999999</v>
      </c>
      <c r="K1750">
        <v>0</v>
      </c>
      <c r="L1750">
        <v>2750</v>
      </c>
      <c r="M1750">
        <v>2750</v>
      </c>
      <c r="N1750">
        <v>0</v>
      </c>
    </row>
    <row r="1751" spans="1:14" x14ac:dyDescent="0.25">
      <c r="A1751">
        <v>917.55468800000006</v>
      </c>
      <c r="B1751" s="1">
        <f>DATE(2012,11,3) + TIME(13,18,45)</f>
        <v>41216.5546875</v>
      </c>
      <c r="C1751">
        <v>80</v>
      </c>
      <c r="D1751">
        <v>79.680320739999999</v>
      </c>
      <c r="E1751">
        <v>50</v>
      </c>
      <c r="F1751">
        <v>50.130886078000003</v>
      </c>
      <c r="G1751">
        <v>1329.2998047000001</v>
      </c>
      <c r="H1751">
        <v>1328.0419922000001</v>
      </c>
      <c r="I1751">
        <v>1339.4819336</v>
      </c>
      <c r="J1751">
        <v>1336.6812743999999</v>
      </c>
      <c r="K1751">
        <v>0</v>
      </c>
      <c r="L1751">
        <v>2750</v>
      </c>
      <c r="M1751">
        <v>2750</v>
      </c>
      <c r="N1751">
        <v>0</v>
      </c>
    </row>
    <row r="1752" spans="1:14" x14ac:dyDescent="0.25">
      <c r="A1752">
        <v>917.71521600000005</v>
      </c>
      <c r="B1752" s="1">
        <f>DATE(2012,11,3) + TIME(17,9,54)</f>
        <v>41216.715208333335</v>
      </c>
      <c r="C1752">
        <v>80</v>
      </c>
      <c r="D1752">
        <v>79.664543151999993</v>
      </c>
      <c r="E1752">
        <v>50</v>
      </c>
      <c r="F1752">
        <v>50.098960876</v>
      </c>
      <c r="G1752">
        <v>1329.2878418</v>
      </c>
      <c r="H1752">
        <v>1328.0244141000001</v>
      </c>
      <c r="I1752">
        <v>1339.4774170000001</v>
      </c>
      <c r="J1752">
        <v>1336.6790771000001</v>
      </c>
      <c r="K1752">
        <v>0</v>
      </c>
      <c r="L1752">
        <v>2750</v>
      </c>
      <c r="M1752">
        <v>2750</v>
      </c>
      <c r="N1752">
        <v>0</v>
      </c>
    </row>
    <row r="1753" spans="1:14" x14ac:dyDescent="0.25">
      <c r="A1753">
        <v>917.88409799999999</v>
      </c>
      <c r="B1753" s="1">
        <f>DATE(2012,11,3) + TIME(21,13,6)</f>
        <v>41216.884097222224</v>
      </c>
      <c r="C1753">
        <v>80</v>
      </c>
      <c r="D1753">
        <v>79.648101807000003</v>
      </c>
      <c r="E1753">
        <v>50</v>
      </c>
      <c r="F1753">
        <v>50.072998046999999</v>
      </c>
      <c r="G1753">
        <v>1329.2753906</v>
      </c>
      <c r="H1753">
        <v>1328.0062256000001</v>
      </c>
      <c r="I1753">
        <v>1339.4726562000001</v>
      </c>
      <c r="J1753">
        <v>1336.6766356999999</v>
      </c>
      <c r="K1753">
        <v>0</v>
      </c>
      <c r="L1753">
        <v>2750</v>
      </c>
      <c r="M1753">
        <v>2750</v>
      </c>
      <c r="N1753">
        <v>0</v>
      </c>
    </row>
    <row r="1754" spans="1:14" x14ac:dyDescent="0.25">
      <c r="A1754">
        <v>918.06198500000005</v>
      </c>
      <c r="B1754" s="1">
        <f>DATE(2012,11,4) + TIME(1,29,15)</f>
        <v>41217.061979166669</v>
      </c>
      <c r="C1754">
        <v>80</v>
      </c>
      <c r="D1754">
        <v>79.630943298000005</v>
      </c>
      <c r="E1754">
        <v>50</v>
      </c>
      <c r="F1754">
        <v>50.052093505999999</v>
      </c>
      <c r="G1754">
        <v>1329.2625731999999</v>
      </c>
      <c r="H1754">
        <v>1327.9874268000001</v>
      </c>
      <c r="I1754">
        <v>1339.4676514</v>
      </c>
      <c r="J1754">
        <v>1336.6741943</v>
      </c>
      <c r="K1754">
        <v>0</v>
      </c>
      <c r="L1754">
        <v>2750</v>
      </c>
      <c r="M1754">
        <v>2750</v>
      </c>
      <c r="N1754">
        <v>0</v>
      </c>
    </row>
    <row r="1755" spans="1:14" x14ac:dyDescent="0.25">
      <c r="A1755">
        <v>918.249595</v>
      </c>
      <c r="B1755" s="1">
        <f>DATE(2012,11,4) + TIME(5,59,25)</f>
        <v>41217.249594907407</v>
      </c>
      <c r="C1755">
        <v>80</v>
      </c>
      <c r="D1755">
        <v>79.613021850999999</v>
      </c>
      <c r="E1755">
        <v>50</v>
      </c>
      <c r="F1755">
        <v>50.035430908000002</v>
      </c>
      <c r="G1755">
        <v>1329.2491454999999</v>
      </c>
      <c r="H1755">
        <v>1327.9678954999999</v>
      </c>
      <c r="I1755">
        <v>1339.4624022999999</v>
      </c>
      <c r="J1755">
        <v>1336.6716309000001</v>
      </c>
      <c r="K1755">
        <v>0</v>
      </c>
      <c r="L1755">
        <v>2750</v>
      </c>
      <c r="M1755">
        <v>2750</v>
      </c>
      <c r="N1755">
        <v>0</v>
      </c>
    </row>
    <row r="1756" spans="1:14" x14ac:dyDescent="0.25">
      <c r="A1756">
        <v>918.44772999999998</v>
      </c>
      <c r="B1756" s="1">
        <f>DATE(2012,11,4) + TIME(10,44,43)</f>
        <v>41217.44771990741</v>
      </c>
      <c r="C1756">
        <v>80</v>
      </c>
      <c r="D1756">
        <v>79.594276428000001</v>
      </c>
      <c r="E1756">
        <v>50</v>
      </c>
      <c r="F1756">
        <v>50.022293091000002</v>
      </c>
      <c r="G1756">
        <v>1329.2353516000001</v>
      </c>
      <c r="H1756">
        <v>1327.9477539</v>
      </c>
      <c r="I1756">
        <v>1339.4569091999999</v>
      </c>
      <c r="J1756">
        <v>1336.6689452999999</v>
      </c>
      <c r="K1756">
        <v>0</v>
      </c>
      <c r="L1756">
        <v>2750</v>
      </c>
      <c r="M1756">
        <v>2750</v>
      </c>
      <c r="N1756">
        <v>0</v>
      </c>
    </row>
    <row r="1757" spans="1:14" x14ac:dyDescent="0.25">
      <c r="A1757">
        <v>918.65456500000005</v>
      </c>
      <c r="B1757" s="1">
        <f>DATE(2012,11,4) + TIME(15,42,34)</f>
        <v>41217.654560185183</v>
      </c>
      <c r="C1757">
        <v>80</v>
      </c>
      <c r="D1757">
        <v>79.574836731000005</v>
      </c>
      <c r="E1757">
        <v>50</v>
      </c>
      <c r="F1757">
        <v>50.012153625000003</v>
      </c>
      <c r="G1757">
        <v>1329.2209473</v>
      </c>
      <c r="H1757">
        <v>1327.9267577999999</v>
      </c>
      <c r="I1757">
        <v>1339.4511719</v>
      </c>
      <c r="J1757">
        <v>1336.6661377</v>
      </c>
      <c r="K1757">
        <v>0</v>
      </c>
      <c r="L1757">
        <v>2750</v>
      </c>
      <c r="M1757">
        <v>2750</v>
      </c>
      <c r="N1757">
        <v>0</v>
      </c>
    </row>
    <row r="1758" spans="1:14" x14ac:dyDescent="0.25">
      <c r="A1758">
        <v>918.87061100000005</v>
      </c>
      <c r="B1758" s="1">
        <f>DATE(2012,11,4) + TIME(20,53,40)</f>
        <v>41217.87060185185</v>
      </c>
      <c r="C1758">
        <v>80</v>
      </c>
      <c r="D1758">
        <v>79.554679871000005</v>
      </c>
      <c r="E1758">
        <v>50</v>
      </c>
      <c r="F1758">
        <v>50.004394531000003</v>
      </c>
      <c r="G1758">
        <v>1329.2061768000001</v>
      </c>
      <c r="H1758">
        <v>1327.9052733999999</v>
      </c>
      <c r="I1758">
        <v>1339.4453125</v>
      </c>
      <c r="J1758">
        <v>1336.6633300999999</v>
      </c>
      <c r="K1758">
        <v>0</v>
      </c>
      <c r="L1758">
        <v>2750</v>
      </c>
      <c r="M1758">
        <v>2750</v>
      </c>
      <c r="N1758">
        <v>0</v>
      </c>
    </row>
    <row r="1759" spans="1:14" x14ac:dyDescent="0.25">
      <c r="A1759">
        <v>919.09110799999996</v>
      </c>
      <c r="B1759" s="1">
        <f>DATE(2012,11,5) + TIME(2,11,11)</f>
        <v>41218.091099537036</v>
      </c>
      <c r="C1759">
        <v>80</v>
      </c>
      <c r="D1759">
        <v>79.534149170000006</v>
      </c>
      <c r="E1759">
        <v>50</v>
      </c>
      <c r="F1759">
        <v>49.998611449999999</v>
      </c>
      <c r="G1759">
        <v>1329.1910399999999</v>
      </c>
      <c r="H1759">
        <v>1327.8831786999999</v>
      </c>
      <c r="I1759">
        <v>1339.4392089999999</v>
      </c>
      <c r="J1759">
        <v>1336.6602783000001</v>
      </c>
      <c r="K1759">
        <v>0</v>
      </c>
      <c r="L1759">
        <v>2750</v>
      </c>
      <c r="M1759">
        <v>2750</v>
      </c>
      <c r="N1759">
        <v>0</v>
      </c>
    </row>
    <row r="1760" spans="1:14" x14ac:dyDescent="0.25">
      <c r="A1760">
        <v>919.31662500000004</v>
      </c>
      <c r="B1760" s="1">
        <f>DATE(2012,11,5) + TIME(7,35,56)</f>
        <v>41218.316620370373</v>
      </c>
      <c r="C1760">
        <v>80</v>
      </c>
      <c r="D1760">
        <v>79.513229370000005</v>
      </c>
      <c r="E1760">
        <v>50</v>
      </c>
      <c r="F1760">
        <v>49.994308472</v>
      </c>
      <c r="G1760">
        <v>1329.1756591999999</v>
      </c>
      <c r="H1760">
        <v>1327.8609618999999</v>
      </c>
      <c r="I1760">
        <v>1339.4332274999999</v>
      </c>
      <c r="J1760">
        <v>1336.6573486</v>
      </c>
      <c r="K1760">
        <v>0</v>
      </c>
      <c r="L1760">
        <v>2750</v>
      </c>
      <c r="M1760">
        <v>2750</v>
      </c>
      <c r="N1760">
        <v>0</v>
      </c>
    </row>
    <row r="1761" spans="1:14" x14ac:dyDescent="0.25">
      <c r="A1761">
        <v>919.54764699999998</v>
      </c>
      <c r="B1761" s="1">
        <f>DATE(2012,11,5) + TIME(13,8,36)</f>
        <v>41218.547638888886</v>
      </c>
      <c r="C1761">
        <v>80</v>
      </c>
      <c r="D1761">
        <v>79.491905212000006</v>
      </c>
      <c r="E1761">
        <v>50</v>
      </c>
      <c r="F1761">
        <v>49.991107941000003</v>
      </c>
      <c r="G1761">
        <v>1329.1601562000001</v>
      </c>
      <c r="H1761">
        <v>1327.838501</v>
      </c>
      <c r="I1761">
        <v>1339.427124</v>
      </c>
      <c r="J1761">
        <v>1336.6542969</v>
      </c>
      <c r="K1761">
        <v>0</v>
      </c>
      <c r="L1761">
        <v>2750</v>
      </c>
      <c r="M1761">
        <v>2750</v>
      </c>
      <c r="N1761">
        <v>0</v>
      </c>
    </row>
    <row r="1762" spans="1:14" x14ac:dyDescent="0.25">
      <c r="A1762">
        <v>919.78468499999997</v>
      </c>
      <c r="B1762" s="1">
        <f>DATE(2012,11,5) + TIME(18,49,56)</f>
        <v>41218.784675925926</v>
      </c>
      <c r="C1762">
        <v>80</v>
      </c>
      <c r="D1762">
        <v>79.470146178999997</v>
      </c>
      <c r="E1762">
        <v>50</v>
      </c>
      <c r="F1762">
        <v>49.988735198999997</v>
      </c>
      <c r="G1762">
        <v>1329.1444091999999</v>
      </c>
      <c r="H1762">
        <v>1327.8157959</v>
      </c>
      <c r="I1762">
        <v>1339.4210204999999</v>
      </c>
      <c r="J1762">
        <v>1336.6512451000001</v>
      </c>
      <c r="K1762">
        <v>0</v>
      </c>
      <c r="L1762">
        <v>2750</v>
      </c>
      <c r="M1762">
        <v>2750</v>
      </c>
      <c r="N1762">
        <v>0</v>
      </c>
    </row>
    <row r="1763" spans="1:14" x14ac:dyDescent="0.25">
      <c r="A1763">
        <v>920.02827300000001</v>
      </c>
      <c r="B1763" s="1">
        <f>DATE(2012,11,6) + TIME(0,40,42)</f>
        <v>41219.028263888889</v>
      </c>
      <c r="C1763">
        <v>80</v>
      </c>
      <c r="D1763">
        <v>79.447929381999998</v>
      </c>
      <c r="E1763">
        <v>50</v>
      </c>
      <c r="F1763">
        <v>49.986972809000001</v>
      </c>
      <c r="G1763">
        <v>1329.1285399999999</v>
      </c>
      <c r="H1763">
        <v>1327.7928466999999</v>
      </c>
      <c r="I1763">
        <v>1339.4149170000001</v>
      </c>
      <c r="J1763">
        <v>1336.6480713000001</v>
      </c>
      <c r="K1763">
        <v>0</v>
      </c>
      <c r="L1763">
        <v>2750</v>
      </c>
      <c r="M1763">
        <v>2750</v>
      </c>
      <c r="N1763">
        <v>0</v>
      </c>
    </row>
    <row r="1764" spans="1:14" x14ac:dyDescent="0.25">
      <c r="A1764">
        <v>920.27897399999995</v>
      </c>
      <c r="B1764" s="1">
        <f>DATE(2012,11,6) + TIME(6,41,43)</f>
        <v>41219.278969907406</v>
      </c>
      <c r="C1764">
        <v>80</v>
      </c>
      <c r="D1764">
        <v>79.425224303999997</v>
      </c>
      <c r="E1764">
        <v>50</v>
      </c>
      <c r="F1764">
        <v>49.985668181999998</v>
      </c>
      <c r="G1764">
        <v>1329.1124268000001</v>
      </c>
      <c r="H1764">
        <v>1327.7695312000001</v>
      </c>
      <c r="I1764">
        <v>1339.4088135</v>
      </c>
      <c r="J1764">
        <v>1336.6450195</v>
      </c>
      <c r="K1764">
        <v>0</v>
      </c>
      <c r="L1764">
        <v>2750</v>
      </c>
      <c r="M1764">
        <v>2750</v>
      </c>
      <c r="N1764">
        <v>0</v>
      </c>
    </row>
    <row r="1765" spans="1:14" x14ac:dyDescent="0.25">
      <c r="A1765">
        <v>920.53738799999996</v>
      </c>
      <c r="B1765" s="1">
        <f>DATE(2012,11,6) + TIME(12,53,50)</f>
        <v>41219.53738425926</v>
      </c>
      <c r="C1765">
        <v>80</v>
      </c>
      <c r="D1765">
        <v>79.401992797999995</v>
      </c>
      <c r="E1765">
        <v>50</v>
      </c>
      <c r="F1765">
        <v>49.984703064000001</v>
      </c>
      <c r="G1765">
        <v>1329.0960693</v>
      </c>
      <c r="H1765">
        <v>1327.7458495999999</v>
      </c>
      <c r="I1765">
        <v>1339.402832</v>
      </c>
      <c r="J1765">
        <v>1336.6418457</v>
      </c>
      <c r="K1765">
        <v>0</v>
      </c>
      <c r="L1765">
        <v>2750</v>
      </c>
      <c r="M1765">
        <v>2750</v>
      </c>
      <c r="N1765">
        <v>0</v>
      </c>
    </row>
    <row r="1766" spans="1:14" x14ac:dyDescent="0.25">
      <c r="A1766">
        <v>920.80415600000003</v>
      </c>
      <c r="B1766" s="1">
        <f>DATE(2012,11,6) + TIME(19,17,59)</f>
        <v>41219.804155092592</v>
      </c>
      <c r="C1766">
        <v>80</v>
      </c>
      <c r="D1766">
        <v>79.378211974999999</v>
      </c>
      <c r="E1766">
        <v>50</v>
      </c>
      <c r="F1766">
        <v>49.983985900999997</v>
      </c>
      <c r="G1766">
        <v>1329.0793457</v>
      </c>
      <c r="H1766">
        <v>1327.7218018000001</v>
      </c>
      <c r="I1766">
        <v>1339.3967285000001</v>
      </c>
      <c r="J1766">
        <v>1336.6386719</v>
      </c>
      <c r="K1766">
        <v>0</v>
      </c>
      <c r="L1766">
        <v>2750</v>
      </c>
      <c r="M1766">
        <v>2750</v>
      </c>
      <c r="N1766">
        <v>0</v>
      </c>
    </row>
    <row r="1767" spans="1:14" x14ac:dyDescent="0.25">
      <c r="A1767">
        <v>921.07989299999997</v>
      </c>
      <c r="B1767" s="1">
        <f>DATE(2012,11,7) + TIME(1,55,2)</f>
        <v>41220.079884259256</v>
      </c>
      <c r="C1767">
        <v>80</v>
      </c>
      <c r="D1767">
        <v>79.353828429999993</v>
      </c>
      <c r="E1767">
        <v>50</v>
      </c>
      <c r="F1767">
        <v>49.983451842999997</v>
      </c>
      <c r="G1767">
        <v>1329.0622559000001</v>
      </c>
      <c r="H1767">
        <v>1327.6973877</v>
      </c>
      <c r="I1767">
        <v>1339.390625</v>
      </c>
      <c r="J1767">
        <v>1336.6356201000001</v>
      </c>
      <c r="K1767">
        <v>0</v>
      </c>
      <c r="L1767">
        <v>2750</v>
      </c>
      <c r="M1767">
        <v>2750</v>
      </c>
      <c r="N1767">
        <v>0</v>
      </c>
    </row>
    <row r="1768" spans="1:14" x14ac:dyDescent="0.25">
      <c r="A1768">
        <v>921.365362</v>
      </c>
      <c r="B1768" s="1">
        <f>DATE(2012,11,7) + TIME(8,46,7)</f>
        <v>41220.365358796298</v>
      </c>
      <c r="C1768">
        <v>80</v>
      </c>
      <c r="D1768">
        <v>79.328811646000005</v>
      </c>
      <c r="E1768">
        <v>50</v>
      </c>
      <c r="F1768">
        <v>49.9830513</v>
      </c>
      <c r="G1768">
        <v>1329.0449219</v>
      </c>
      <c r="H1768">
        <v>1327.6723632999999</v>
      </c>
      <c r="I1768">
        <v>1339.3845214999999</v>
      </c>
      <c r="J1768">
        <v>1336.6324463000001</v>
      </c>
      <c r="K1768">
        <v>0</v>
      </c>
      <c r="L1768">
        <v>2750</v>
      </c>
      <c r="M1768">
        <v>2750</v>
      </c>
      <c r="N1768">
        <v>0</v>
      </c>
    </row>
    <row r="1769" spans="1:14" x14ac:dyDescent="0.25">
      <c r="A1769">
        <v>921.66142000000002</v>
      </c>
      <c r="B1769" s="1">
        <f>DATE(2012,11,7) + TIME(15,52,26)</f>
        <v>41220.661412037036</v>
      </c>
      <c r="C1769">
        <v>80</v>
      </c>
      <c r="D1769">
        <v>79.303100585999999</v>
      </c>
      <c r="E1769">
        <v>50</v>
      </c>
      <c r="F1769">
        <v>49.982749939000001</v>
      </c>
      <c r="G1769">
        <v>1329.0272216999999</v>
      </c>
      <c r="H1769">
        <v>1327.6468506000001</v>
      </c>
      <c r="I1769">
        <v>1339.378418</v>
      </c>
      <c r="J1769">
        <v>1336.6292725000001</v>
      </c>
      <c r="K1769">
        <v>0</v>
      </c>
      <c r="L1769">
        <v>2750</v>
      </c>
      <c r="M1769">
        <v>2750</v>
      </c>
      <c r="N1769">
        <v>0</v>
      </c>
    </row>
    <row r="1770" spans="1:14" x14ac:dyDescent="0.25">
      <c r="A1770">
        <v>921.96895199999994</v>
      </c>
      <c r="B1770" s="1">
        <f>DATE(2012,11,7) + TIME(23,15,17)</f>
        <v>41220.968946759262</v>
      </c>
      <c r="C1770">
        <v>80</v>
      </c>
      <c r="D1770">
        <v>79.276641846000004</v>
      </c>
      <c r="E1770">
        <v>50</v>
      </c>
      <c r="F1770">
        <v>49.982521057</v>
      </c>
      <c r="G1770">
        <v>1329.0090332</v>
      </c>
      <c r="H1770">
        <v>1327.6208495999999</v>
      </c>
      <c r="I1770">
        <v>1339.3724365</v>
      </c>
      <c r="J1770">
        <v>1336.6260986</v>
      </c>
      <c r="K1770">
        <v>0</v>
      </c>
      <c r="L1770">
        <v>2750</v>
      </c>
      <c r="M1770">
        <v>2750</v>
      </c>
      <c r="N1770">
        <v>0</v>
      </c>
    </row>
    <row r="1771" spans="1:14" x14ac:dyDescent="0.25">
      <c r="A1771">
        <v>922.28894000000003</v>
      </c>
      <c r="B1771" s="1">
        <f>DATE(2012,11,8) + TIME(6,56,4)</f>
        <v>41221.288935185185</v>
      </c>
      <c r="C1771">
        <v>80</v>
      </c>
      <c r="D1771">
        <v>79.24937439</v>
      </c>
      <c r="E1771">
        <v>50</v>
      </c>
      <c r="F1771">
        <v>49.982345580999997</v>
      </c>
      <c r="G1771">
        <v>1328.9903564000001</v>
      </c>
      <c r="H1771">
        <v>1327.5942382999999</v>
      </c>
      <c r="I1771">
        <v>1339.3663329999999</v>
      </c>
      <c r="J1771">
        <v>1336.6229248</v>
      </c>
      <c r="K1771">
        <v>0</v>
      </c>
      <c r="L1771">
        <v>2750</v>
      </c>
      <c r="M1771">
        <v>2750</v>
      </c>
      <c r="N1771">
        <v>0</v>
      </c>
    </row>
    <row r="1772" spans="1:14" x14ac:dyDescent="0.25">
      <c r="A1772">
        <v>922.62246600000003</v>
      </c>
      <c r="B1772" s="1">
        <f>DATE(2012,11,8) + TIME(14,56,21)</f>
        <v>41221.622465277775</v>
      </c>
      <c r="C1772">
        <v>80</v>
      </c>
      <c r="D1772">
        <v>79.221244811999995</v>
      </c>
      <c r="E1772">
        <v>50</v>
      </c>
      <c r="F1772">
        <v>49.982212066999999</v>
      </c>
      <c r="G1772">
        <v>1328.9713135</v>
      </c>
      <c r="H1772">
        <v>1327.5667725000001</v>
      </c>
      <c r="I1772">
        <v>1339.3602295000001</v>
      </c>
      <c r="J1772">
        <v>1336.619751</v>
      </c>
      <c r="K1772">
        <v>0</v>
      </c>
      <c r="L1772">
        <v>2750</v>
      </c>
      <c r="M1772">
        <v>2750</v>
      </c>
      <c r="N1772">
        <v>0</v>
      </c>
    </row>
    <row r="1773" spans="1:14" x14ac:dyDescent="0.25">
      <c r="A1773">
        <v>922.970731</v>
      </c>
      <c r="B1773" s="1">
        <f>DATE(2012,11,8) + TIME(23,17,51)</f>
        <v>41221.970729166664</v>
      </c>
      <c r="C1773">
        <v>80</v>
      </c>
      <c r="D1773">
        <v>79.192169188999998</v>
      </c>
      <c r="E1773">
        <v>50</v>
      </c>
      <c r="F1773">
        <v>49.982101440000001</v>
      </c>
      <c r="G1773">
        <v>1328.9516602000001</v>
      </c>
      <c r="H1773">
        <v>1327.5386963000001</v>
      </c>
      <c r="I1773">
        <v>1339.3540039</v>
      </c>
      <c r="J1773">
        <v>1336.6164550999999</v>
      </c>
      <c r="K1773">
        <v>0</v>
      </c>
      <c r="L1773">
        <v>2750</v>
      </c>
      <c r="M1773">
        <v>2750</v>
      </c>
      <c r="N1773">
        <v>0</v>
      </c>
    </row>
    <row r="1774" spans="1:14" x14ac:dyDescent="0.25">
      <c r="A1774">
        <v>923.33507099999997</v>
      </c>
      <c r="B1774" s="1">
        <f>DATE(2012,11,9) + TIME(8,2,30)</f>
        <v>41222.335069444445</v>
      </c>
      <c r="C1774">
        <v>80</v>
      </c>
      <c r="D1774">
        <v>79.162071228000002</v>
      </c>
      <c r="E1774">
        <v>50</v>
      </c>
      <c r="F1774">
        <v>49.982017517000003</v>
      </c>
      <c r="G1774">
        <v>1328.9312743999999</v>
      </c>
      <c r="H1774">
        <v>1327.5097656</v>
      </c>
      <c r="I1774">
        <v>1339.3479004000001</v>
      </c>
      <c r="J1774">
        <v>1336.6132812000001</v>
      </c>
      <c r="K1774">
        <v>0</v>
      </c>
      <c r="L1774">
        <v>2750</v>
      </c>
      <c r="M1774">
        <v>2750</v>
      </c>
      <c r="N1774">
        <v>0</v>
      </c>
    </row>
    <row r="1775" spans="1:14" x14ac:dyDescent="0.25">
      <c r="A1775">
        <v>923.71698400000002</v>
      </c>
      <c r="B1775" s="1">
        <f>DATE(2012,11,9) + TIME(17,12,27)</f>
        <v>41222.716979166667</v>
      </c>
      <c r="C1775">
        <v>80</v>
      </c>
      <c r="D1775">
        <v>79.130867003999995</v>
      </c>
      <c r="E1775">
        <v>50</v>
      </c>
      <c r="F1775">
        <v>49.981945037999999</v>
      </c>
      <c r="G1775">
        <v>1328.9104004000001</v>
      </c>
      <c r="H1775">
        <v>1327.4799805</v>
      </c>
      <c r="I1775">
        <v>1339.3416748</v>
      </c>
      <c r="J1775">
        <v>1336.6099853999999</v>
      </c>
      <c r="K1775">
        <v>0</v>
      </c>
      <c r="L1775">
        <v>2750</v>
      </c>
      <c r="M1775">
        <v>2750</v>
      </c>
      <c r="N1775">
        <v>0</v>
      </c>
    </row>
    <row r="1776" spans="1:14" x14ac:dyDescent="0.25">
      <c r="A1776">
        <v>924.11815799999999</v>
      </c>
      <c r="B1776" s="1">
        <f>DATE(2012,11,10) + TIME(2,50,8)</f>
        <v>41223.118148148147</v>
      </c>
      <c r="C1776">
        <v>80</v>
      </c>
      <c r="D1776">
        <v>79.098457335999996</v>
      </c>
      <c r="E1776">
        <v>50</v>
      </c>
      <c r="F1776">
        <v>49.981887817</v>
      </c>
      <c r="G1776">
        <v>1328.8887939000001</v>
      </c>
      <c r="H1776">
        <v>1327.4490966999999</v>
      </c>
      <c r="I1776">
        <v>1339.3354492000001</v>
      </c>
      <c r="J1776">
        <v>1336.6068115</v>
      </c>
      <c r="K1776">
        <v>0</v>
      </c>
      <c r="L1776">
        <v>2750</v>
      </c>
      <c r="M1776">
        <v>2750</v>
      </c>
      <c r="N1776">
        <v>0</v>
      </c>
    </row>
    <row r="1777" spans="1:14" x14ac:dyDescent="0.25">
      <c r="A1777">
        <v>924.54051900000002</v>
      </c>
      <c r="B1777" s="1">
        <f>DATE(2012,11,10) + TIME(12,58,20)</f>
        <v>41223.540509259263</v>
      </c>
      <c r="C1777">
        <v>80</v>
      </c>
      <c r="D1777">
        <v>79.064727782999995</v>
      </c>
      <c r="E1777">
        <v>50</v>
      </c>
      <c r="F1777">
        <v>49.981838226000001</v>
      </c>
      <c r="G1777">
        <v>1328.8663329999999</v>
      </c>
      <c r="H1777">
        <v>1327.4172363</v>
      </c>
      <c r="I1777">
        <v>1339.3291016000001</v>
      </c>
      <c r="J1777">
        <v>1336.6035156</v>
      </c>
      <c r="K1777">
        <v>0</v>
      </c>
      <c r="L1777">
        <v>2750</v>
      </c>
      <c r="M1777">
        <v>2750</v>
      </c>
      <c r="N1777">
        <v>0</v>
      </c>
    </row>
    <row r="1778" spans="1:14" x14ac:dyDescent="0.25">
      <c r="A1778">
        <v>924.98630100000003</v>
      </c>
      <c r="B1778" s="1">
        <f>DATE(2012,11,10) + TIME(23,40,16)</f>
        <v>41223.986296296294</v>
      </c>
      <c r="C1778">
        <v>80</v>
      </c>
      <c r="D1778">
        <v>79.029563904</v>
      </c>
      <c r="E1778">
        <v>50</v>
      </c>
      <c r="F1778">
        <v>49.981796265</v>
      </c>
      <c r="G1778">
        <v>1328.8430175999999</v>
      </c>
      <c r="H1778">
        <v>1327.3841553</v>
      </c>
      <c r="I1778">
        <v>1339.3227539</v>
      </c>
      <c r="J1778">
        <v>1336.6000977000001</v>
      </c>
      <c r="K1778">
        <v>0</v>
      </c>
      <c r="L1778">
        <v>2750</v>
      </c>
      <c r="M1778">
        <v>2750</v>
      </c>
      <c r="N1778">
        <v>0</v>
      </c>
    </row>
    <row r="1779" spans="1:14" x14ac:dyDescent="0.25">
      <c r="A1779">
        <v>925.45780500000001</v>
      </c>
      <c r="B1779" s="1">
        <f>DATE(2012,11,11) + TIME(10,59,14)</f>
        <v>41224.457800925928</v>
      </c>
      <c r="C1779">
        <v>80</v>
      </c>
      <c r="D1779">
        <v>78.992835998999993</v>
      </c>
      <c r="E1779">
        <v>50</v>
      </c>
      <c r="F1779">
        <v>49.981761931999998</v>
      </c>
      <c r="G1779">
        <v>1328.8187256000001</v>
      </c>
      <c r="H1779">
        <v>1327.3498535000001</v>
      </c>
      <c r="I1779">
        <v>1339.3162841999999</v>
      </c>
      <c r="J1779">
        <v>1336.5968018000001</v>
      </c>
      <c r="K1779">
        <v>0</v>
      </c>
      <c r="L1779">
        <v>2750</v>
      </c>
      <c r="M1779">
        <v>2750</v>
      </c>
      <c r="N1779">
        <v>0</v>
      </c>
    </row>
    <row r="1780" spans="1:14" x14ac:dyDescent="0.25">
      <c r="A1780">
        <v>925.94794899999999</v>
      </c>
      <c r="B1780" s="1">
        <f>DATE(2012,11,11) + TIME(22,45,2)</f>
        <v>41224.947939814818</v>
      </c>
      <c r="C1780">
        <v>80</v>
      </c>
      <c r="D1780">
        <v>78.954826354999994</v>
      </c>
      <c r="E1780">
        <v>50</v>
      </c>
      <c r="F1780">
        <v>49.981727599999999</v>
      </c>
      <c r="G1780">
        <v>1328.7935791</v>
      </c>
      <c r="H1780">
        <v>1327.3140868999999</v>
      </c>
      <c r="I1780">
        <v>1339.3096923999999</v>
      </c>
      <c r="J1780">
        <v>1336.5933838000001</v>
      </c>
      <c r="K1780">
        <v>0</v>
      </c>
      <c r="L1780">
        <v>2750</v>
      </c>
      <c r="M1780">
        <v>2750</v>
      </c>
      <c r="N1780">
        <v>0</v>
      </c>
    </row>
    <row r="1781" spans="1:14" x14ac:dyDescent="0.25">
      <c r="A1781">
        <v>926.44884999999999</v>
      </c>
      <c r="B1781" s="1">
        <f>DATE(2012,11,12) + TIME(10,46,20)</f>
        <v>41225.448842592596</v>
      </c>
      <c r="C1781">
        <v>80</v>
      </c>
      <c r="D1781">
        <v>78.915985106999997</v>
      </c>
      <c r="E1781">
        <v>50</v>
      </c>
      <c r="F1781">
        <v>49.981700897000003</v>
      </c>
      <c r="G1781">
        <v>1328.7677002</v>
      </c>
      <c r="H1781">
        <v>1327.2775879000001</v>
      </c>
      <c r="I1781">
        <v>1339.3032227000001</v>
      </c>
      <c r="J1781">
        <v>1336.5899658000001</v>
      </c>
      <c r="K1781">
        <v>0</v>
      </c>
      <c r="L1781">
        <v>2750</v>
      </c>
      <c r="M1781">
        <v>2750</v>
      </c>
      <c r="N1781">
        <v>0</v>
      </c>
    </row>
    <row r="1782" spans="1:14" x14ac:dyDescent="0.25">
      <c r="A1782">
        <v>926.95939299999998</v>
      </c>
      <c r="B1782" s="1">
        <f>DATE(2012,11,12) + TIME(23,1,31)</f>
        <v>41225.959386574075</v>
      </c>
      <c r="C1782">
        <v>80</v>
      </c>
      <c r="D1782">
        <v>78.876518250000004</v>
      </c>
      <c r="E1782">
        <v>50</v>
      </c>
      <c r="F1782">
        <v>49.981678008999999</v>
      </c>
      <c r="G1782">
        <v>1328.7414550999999</v>
      </c>
      <c r="H1782">
        <v>1327.2404785000001</v>
      </c>
      <c r="I1782">
        <v>1339.296875</v>
      </c>
      <c r="J1782">
        <v>1336.5866699000001</v>
      </c>
      <c r="K1782">
        <v>0</v>
      </c>
      <c r="L1782">
        <v>2750</v>
      </c>
      <c r="M1782">
        <v>2750</v>
      </c>
      <c r="N1782">
        <v>0</v>
      </c>
    </row>
    <row r="1783" spans="1:14" x14ac:dyDescent="0.25">
      <c r="A1783">
        <v>927.48071800000002</v>
      </c>
      <c r="B1783" s="1">
        <f>DATE(2012,11,13) + TIME(11,32,14)</f>
        <v>41226.480717592596</v>
      </c>
      <c r="C1783">
        <v>80</v>
      </c>
      <c r="D1783">
        <v>78.836494446000003</v>
      </c>
      <c r="E1783">
        <v>50</v>
      </c>
      <c r="F1783">
        <v>49.981655121000003</v>
      </c>
      <c r="G1783">
        <v>1328.7149658000001</v>
      </c>
      <c r="H1783">
        <v>1327.203125</v>
      </c>
      <c r="I1783">
        <v>1339.2906493999999</v>
      </c>
      <c r="J1783">
        <v>1336.5834961</v>
      </c>
      <c r="K1783">
        <v>0</v>
      </c>
      <c r="L1783">
        <v>2750</v>
      </c>
      <c r="M1783">
        <v>2750</v>
      </c>
      <c r="N1783">
        <v>0</v>
      </c>
    </row>
    <row r="1784" spans="1:14" x14ac:dyDescent="0.25">
      <c r="A1784">
        <v>928.01399600000002</v>
      </c>
      <c r="B1784" s="1">
        <f>DATE(2012,11,14) + TIME(0,20,9)</f>
        <v>41227.013993055552</v>
      </c>
      <c r="C1784">
        <v>80</v>
      </c>
      <c r="D1784">
        <v>78.795921325999998</v>
      </c>
      <c r="E1784">
        <v>50</v>
      </c>
      <c r="F1784">
        <v>49.981636047000002</v>
      </c>
      <c r="G1784">
        <v>1328.6882324000001</v>
      </c>
      <c r="H1784">
        <v>1327.1655272999999</v>
      </c>
      <c r="I1784">
        <v>1339.2844238</v>
      </c>
      <c r="J1784">
        <v>1336.5804443</v>
      </c>
      <c r="K1784">
        <v>0</v>
      </c>
      <c r="L1784">
        <v>2750</v>
      </c>
      <c r="M1784">
        <v>2750</v>
      </c>
      <c r="N1784">
        <v>0</v>
      </c>
    </row>
    <row r="1785" spans="1:14" x14ac:dyDescent="0.25">
      <c r="A1785">
        <v>928.56047899999999</v>
      </c>
      <c r="B1785" s="1">
        <f>DATE(2012,11,14) + TIME(13,27,5)</f>
        <v>41227.560474537036</v>
      </c>
      <c r="C1785">
        <v>80</v>
      </c>
      <c r="D1785">
        <v>78.754776000999996</v>
      </c>
      <c r="E1785">
        <v>50</v>
      </c>
      <c r="F1785">
        <v>49.981616973999998</v>
      </c>
      <c r="G1785">
        <v>1328.6612548999999</v>
      </c>
      <c r="H1785">
        <v>1327.1274414</v>
      </c>
      <c r="I1785">
        <v>1339.2784423999999</v>
      </c>
      <c r="J1785">
        <v>1336.5773925999999</v>
      </c>
      <c r="K1785">
        <v>0</v>
      </c>
      <c r="L1785">
        <v>2750</v>
      </c>
      <c r="M1785">
        <v>2750</v>
      </c>
      <c r="N1785">
        <v>0</v>
      </c>
    </row>
    <row r="1786" spans="1:14" x14ac:dyDescent="0.25">
      <c r="A1786">
        <v>929.121531</v>
      </c>
      <c r="B1786" s="1">
        <f>DATE(2012,11,15) + TIME(2,55,0)</f>
        <v>41228.121527777781</v>
      </c>
      <c r="C1786">
        <v>80</v>
      </c>
      <c r="D1786">
        <v>78.712997436999999</v>
      </c>
      <c r="E1786">
        <v>50</v>
      </c>
      <c r="F1786">
        <v>49.981597899999997</v>
      </c>
      <c r="G1786">
        <v>1328.6340332</v>
      </c>
      <c r="H1786">
        <v>1327.0891113</v>
      </c>
      <c r="I1786">
        <v>1339.2725829999999</v>
      </c>
      <c r="J1786">
        <v>1336.5743408000001</v>
      </c>
      <c r="K1786">
        <v>0</v>
      </c>
      <c r="L1786">
        <v>2750</v>
      </c>
      <c r="M1786">
        <v>2750</v>
      </c>
      <c r="N1786">
        <v>0</v>
      </c>
    </row>
    <row r="1787" spans="1:14" x14ac:dyDescent="0.25">
      <c r="A1787">
        <v>929.69856600000003</v>
      </c>
      <c r="B1787" s="1">
        <f>DATE(2012,11,15) + TIME(16,45,56)</f>
        <v>41228.698564814818</v>
      </c>
      <c r="C1787">
        <v>80</v>
      </c>
      <c r="D1787">
        <v>78.670524596999996</v>
      </c>
      <c r="E1787">
        <v>50</v>
      </c>
      <c r="F1787">
        <v>49.981582641999999</v>
      </c>
      <c r="G1787">
        <v>1328.6064452999999</v>
      </c>
      <c r="H1787">
        <v>1327.050293</v>
      </c>
      <c r="I1787">
        <v>1339.2667236</v>
      </c>
      <c r="J1787">
        <v>1336.5714111</v>
      </c>
      <c r="K1787">
        <v>0</v>
      </c>
      <c r="L1787">
        <v>2750</v>
      </c>
      <c r="M1787">
        <v>2750</v>
      </c>
      <c r="N1787">
        <v>0</v>
      </c>
    </row>
    <row r="1788" spans="1:14" x14ac:dyDescent="0.25">
      <c r="A1788">
        <v>930.29314499999998</v>
      </c>
      <c r="B1788" s="1">
        <f>DATE(2012,11,16) + TIME(7,2,7)</f>
        <v>41229.293136574073</v>
      </c>
      <c r="C1788">
        <v>80</v>
      </c>
      <c r="D1788">
        <v>78.627265929999993</v>
      </c>
      <c r="E1788">
        <v>50</v>
      </c>
      <c r="F1788">
        <v>49.981567382999998</v>
      </c>
      <c r="G1788">
        <v>1328.5783690999999</v>
      </c>
      <c r="H1788">
        <v>1327.0109863</v>
      </c>
      <c r="I1788">
        <v>1339.2609863</v>
      </c>
      <c r="J1788">
        <v>1336.5686035000001</v>
      </c>
      <c r="K1788">
        <v>0</v>
      </c>
      <c r="L1788">
        <v>2750</v>
      </c>
      <c r="M1788">
        <v>2750</v>
      </c>
      <c r="N1788">
        <v>0</v>
      </c>
    </row>
    <row r="1789" spans="1:14" x14ac:dyDescent="0.25">
      <c r="A1789">
        <v>930.90672300000006</v>
      </c>
      <c r="B1789" s="1">
        <f>DATE(2012,11,16) + TIME(21,45,40)</f>
        <v>41229.906712962962</v>
      </c>
      <c r="C1789">
        <v>80</v>
      </c>
      <c r="D1789">
        <v>78.583145142000006</v>
      </c>
      <c r="E1789">
        <v>50</v>
      </c>
      <c r="F1789">
        <v>49.981552123999997</v>
      </c>
      <c r="G1789">
        <v>1328.5499268000001</v>
      </c>
      <c r="H1789">
        <v>1326.9710693</v>
      </c>
      <c r="I1789">
        <v>1339.255249</v>
      </c>
      <c r="J1789">
        <v>1336.5657959</v>
      </c>
      <c r="K1789">
        <v>0</v>
      </c>
      <c r="L1789">
        <v>2750</v>
      </c>
      <c r="M1789">
        <v>2750</v>
      </c>
      <c r="N1789">
        <v>0</v>
      </c>
    </row>
    <row r="1790" spans="1:14" x14ac:dyDescent="0.25">
      <c r="A1790">
        <v>931.54114400000003</v>
      </c>
      <c r="B1790" s="1">
        <f>DATE(2012,11,17) + TIME(12,59,14)</f>
        <v>41230.541134259256</v>
      </c>
      <c r="C1790">
        <v>80</v>
      </c>
      <c r="D1790">
        <v>78.538055420000006</v>
      </c>
      <c r="E1790">
        <v>50</v>
      </c>
      <c r="F1790">
        <v>49.981536865000002</v>
      </c>
      <c r="G1790">
        <v>1328.5209961</v>
      </c>
      <c r="H1790">
        <v>1326.9305420000001</v>
      </c>
      <c r="I1790">
        <v>1339.2495117000001</v>
      </c>
      <c r="J1790">
        <v>1336.5629882999999</v>
      </c>
      <c r="K1790">
        <v>0</v>
      </c>
      <c r="L1790">
        <v>2750</v>
      </c>
      <c r="M1790">
        <v>2750</v>
      </c>
      <c r="N1790">
        <v>0</v>
      </c>
    </row>
    <row r="1791" spans="1:14" x14ac:dyDescent="0.25">
      <c r="A1791">
        <v>932.19844599999999</v>
      </c>
      <c r="B1791" s="1">
        <f>DATE(2012,11,18) + TIME(4,45,45)</f>
        <v>41231.198437500003</v>
      </c>
      <c r="C1791">
        <v>80</v>
      </c>
      <c r="D1791">
        <v>78.491882324000002</v>
      </c>
      <c r="E1791">
        <v>50</v>
      </c>
      <c r="F1791">
        <v>49.981521606000001</v>
      </c>
      <c r="G1791">
        <v>1328.4914550999999</v>
      </c>
      <c r="H1791">
        <v>1326.8892822</v>
      </c>
      <c r="I1791">
        <v>1339.2438964999999</v>
      </c>
      <c r="J1791">
        <v>1336.5601807</v>
      </c>
      <c r="K1791">
        <v>0</v>
      </c>
      <c r="L1791">
        <v>2750</v>
      </c>
      <c r="M1791">
        <v>2750</v>
      </c>
      <c r="N1791">
        <v>0</v>
      </c>
    </row>
    <row r="1792" spans="1:14" x14ac:dyDescent="0.25">
      <c r="A1792">
        <v>932.88081399999999</v>
      </c>
      <c r="B1792" s="1">
        <f>DATE(2012,11,18) + TIME(21,8,22)</f>
        <v>41231.880810185183</v>
      </c>
      <c r="C1792">
        <v>80</v>
      </c>
      <c r="D1792">
        <v>78.444503784000005</v>
      </c>
      <c r="E1792">
        <v>50</v>
      </c>
      <c r="F1792">
        <v>49.981506348000003</v>
      </c>
      <c r="G1792">
        <v>1328.4613036999999</v>
      </c>
      <c r="H1792">
        <v>1326.847168</v>
      </c>
      <c r="I1792">
        <v>1339.2382812000001</v>
      </c>
      <c r="J1792">
        <v>1336.5574951000001</v>
      </c>
      <c r="K1792">
        <v>0</v>
      </c>
      <c r="L1792">
        <v>2750</v>
      </c>
      <c r="M1792">
        <v>2750</v>
      </c>
      <c r="N1792">
        <v>0</v>
      </c>
    </row>
    <row r="1793" spans="1:14" x14ac:dyDescent="0.25">
      <c r="A1793">
        <v>933.58975399999997</v>
      </c>
      <c r="B1793" s="1">
        <f>DATE(2012,11,19) + TIME(14,9,14)</f>
        <v>41232.589745370373</v>
      </c>
      <c r="C1793">
        <v>80</v>
      </c>
      <c r="D1793">
        <v>78.395820618000002</v>
      </c>
      <c r="E1793">
        <v>50</v>
      </c>
      <c r="F1793">
        <v>49.981494904000002</v>
      </c>
      <c r="G1793">
        <v>1328.4304199000001</v>
      </c>
      <c r="H1793">
        <v>1326.8041992000001</v>
      </c>
      <c r="I1793">
        <v>1339.2326660000001</v>
      </c>
      <c r="J1793">
        <v>1336.5548096</v>
      </c>
      <c r="K1793">
        <v>0</v>
      </c>
      <c r="L1793">
        <v>2750</v>
      </c>
      <c r="M1793">
        <v>2750</v>
      </c>
      <c r="N1793">
        <v>0</v>
      </c>
    </row>
    <row r="1794" spans="1:14" x14ac:dyDescent="0.25">
      <c r="A1794">
        <v>934.305429</v>
      </c>
      <c r="B1794" s="1">
        <f>DATE(2012,11,20) + TIME(7,19,49)</f>
        <v>41233.305428240739</v>
      </c>
      <c r="C1794">
        <v>80</v>
      </c>
      <c r="D1794">
        <v>78.346405028999996</v>
      </c>
      <c r="E1794">
        <v>50</v>
      </c>
      <c r="F1794">
        <v>49.981479645</v>
      </c>
      <c r="G1794">
        <v>1328.3989257999999</v>
      </c>
      <c r="H1794">
        <v>1326.7604980000001</v>
      </c>
      <c r="I1794">
        <v>1339.2270507999999</v>
      </c>
      <c r="J1794">
        <v>1336.552124</v>
      </c>
      <c r="K1794">
        <v>0</v>
      </c>
      <c r="L1794">
        <v>2750</v>
      </c>
      <c r="M1794">
        <v>2750</v>
      </c>
      <c r="N1794">
        <v>0</v>
      </c>
    </row>
    <row r="1795" spans="1:14" x14ac:dyDescent="0.25">
      <c r="A1795">
        <v>935.032647</v>
      </c>
      <c r="B1795" s="1">
        <f>DATE(2012,11,21) + TIME(0,47,0)</f>
        <v>41234.032638888886</v>
      </c>
      <c r="C1795">
        <v>80</v>
      </c>
      <c r="D1795">
        <v>78.296470642000003</v>
      </c>
      <c r="E1795">
        <v>50</v>
      </c>
      <c r="F1795">
        <v>49.981464385999999</v>
      </c>
      <c r="G1795">
        <v>1328.3674315999999</v>
      </c>
      <c r="H1795">
        <v>1326.7165527</v>
      </c>
      <c r="I1795">
        <v>1339.2215576000001</v>
      </c>
      <c r="J1795">
        <v>1336.5495605000001</v>
      </c>
      <c r="K1795">
        <v>0</v>
      </c>
      <c r="L1795">
        <v>2750</v>
      </c>
      <c r="M1795">
        <v>2750</v>
      </c>
      <c r="N1795">
        <v>0</v>
      </c>
    </row>
    <row r="1796" spans="1:14" x14ac:dyDescent="0.25">
      <c r="A1796">
        <v>935.77618299999995</v>
      </c>
      <c r="B1796" s="1">
        <f>DATE(2012,11,21) + TIME(18,37,42)</f>
        <v>41234.776180555556</v>
      </c>
      <c r="C1796">
        <v>80</v>
      </c>
      <c r="D1796">
        <v>78.245933532999999</v>
      </c>
      <c r="E1796">
        <v>50</v>
      </c>
      <c r="F1796">
        <v>49.981452941999997</v>
      </c>
      <c r="G1796">
        <v>1328.3356934000001</v>
      </c>
      <c r="H1796">
        <v>1326.6724853999999</v>
      </c>
      <c r="I1796">
        <v>1339.2161865</v>
      </c>
      <c r="J1796">
        <v>1336.5471190999999</v>
      </c>
      <c r="K1796">
        <v>0</v>
      </c>
      <c r="L1796">
        <v>2750</v>
      </c>
      <c r="M1796">
        <v>2750</v>
      </c>
      <c r="N1796">
        <v>0</v>
      </c>
    </row>
    <row r="1797" spans="1:14" x14ac:dyDescent="0.25">
      <c r="A1797">
        <v>936.54107499999998</v>
      </c>
      <c r="B1797" s="1">
        <f>DATE(2012,11,22) + TIME(12,59,8)</f>
        <v>41235.541064814817</v>
      </c>
      <c r="C1797">
        <v>80</v>
      </c>
      <c r="D1797">
        <v>78.194572449000006</v>
      </c>
      <c r="E1797">
        <v>50</v>
      </c>
      <c r="F1797">
        <v>49.981437683000003</v>
      </c>
      <c r="G1797">
        <v>1328.3037108999999</v>
      </c>
      <c r="H1797">
        <v>1326.6280518000001</v>
      </c>
      <c r="I1797">
        <v>1339.2109375</v>
      </c>
      <c r="J1797">
        <v>1336.5446777</v>
      </c>
      <c r="K1797">
        <v>0</v>
      </c>
      <c r="L1797">
        <v>2750</v>
      </c>
      <c r="M1797">
        <v>2750</v>
      </c>
      <c r="N1797">
        <v>0</v>
      </c>
    </row>
    <row r="1798" spans="1:14" x14ac:dyDescent="0.25">
      <c r="A1798">
        <v>937.33284500000002</v>
      </c>
      <c r="B1798" s="1">
        <f>DATE(2012,11,23) + TIME(7,59,17)</f>
        <v>41236.332835648151</v>
      </c>
      <c r="C1798">
        <v>80</v>
      </c>
      <c r="D1798">
        <v>78.142082213999998</v>
      </c>
      <c r="E1798">
        <v>50</v>
      </c>
      <c r="F1798">
        <v>49.981426239000001</v>
      </c>
      <c r="G1798">
        <v>1328.2713623</v>
      </c>
      <c r="H1798">
        <v>1326.5832519999999</v>
      </c>
      <c r="I1798">
        <v>1339.2056885</v>
      </c>
      <c r="J1798">
        <v>1336.5423584</v>
      </c>
      <c r="K1798">
        <v>0</v>
      </c>
      <c r="L1798">
        <v>2750</v>
      </c>
      <c r="M1798">
        <v>2750</v>
      </c>
      <c r="N1798">
        <v>0</v>
      </c>
    </row>
    <row r="1799" spans="1:14" x14ac:dyDescent="0.25">
      <c r="A1799">
        <v>938.15774799999997</v>
      </c>
      <c r="B1799" s="1">
        <f>DATE(2012,11,24) + TIME(3,47,9)</f>
        <v>41237.157743055555</v>
      </c>
      <c r="C1799">
        <v>80</v>
      </c>
      <c r="D1799">
        <v>78.088127135999997</v>
      </c>
      <c r="E1799">
        <v>50</v>
      </c>
      <c r="F1799">
        <v>49.981414794999999</v>
      </c>
      <c r="G1799">
        <v>1328.2384033000001</v>
      </c>
      <c r="H1799">
        <v>1326.5375977000001</v>
      </c>
      <c r="I1799">
        <v>1339.2004394999999</v>
      </c>
      <c r="J1799">
        <v>1336.5400391000001</v>
      </c>
      <c r="K1799">
        <v>0</v>
      </c>
      <c r="L1799">
        <v>2750</v>
      </c>
      <c r="M1799">
        <v>2750</v>
      </c>
      <c r="N1799">
        <v>0</v>
      </c>
    </row>
    <row r="1800" spans="1:14" x14ac:dyDescent="0.25">
      <c r="A1800">
        <v>939.02306699999997</v>
      </c>
      <c r="B1800" s="1">
        <f>DATE(2012,11,25) + TIME(0,33,12)</f>
        <v>41238.023055555554</v>
      </c>
      <c r="C1800">
        <v>80</v>
      </c>
      <c r="D1800">
        <v>78.032287597999996</v>
      </c>
      <c r="E1800">
        <v>50</v>
      </c>
      <c r="F1800">
        <v>49.981399535999998</v>
      </c>
      <c r="G1800">
        <v>1328.2045897999999</v>
      </c>
      <c r="H1800">
        <v>1326.4909668</v>
      </c>
      <c r="I1800">
        <v>1339.1951904</v>
      </c>
      <c r="J1800">
        <v>1336.5377197</v>
      </c>
      <c r="K1800">
        <v>0</v>
      </c>
      <c r="L1800">
        <v>2750</v>
      </c>
      <c r="M1800">
        <v>2750</v>
      </c>
      <c r="N1800">
        <v>0</v>
      </c>
    </row>
    <row r="1801" spans="1:14" x14ac:dyDescent="0.25">
      <c r="A1801">
        <v>939.92431499999998</v>
      </c>
      <c r="B1801" s="1">
        <f>DATE(2012,11,25) + TIME(22,11,0)</f>
        <v>41238.924305555556</v>
      </c>
      <c r="C1801">
        <v>80</v>
      </c>
      <c r="D1801">
        <v>77.974418639999996</v>
      </c>
      <c r="E1801">
        <v>50</v>
      </c>
      <c r="F1801">
        <v>49.981388092000003</v>
      </c>
      <c r="G1801">
        <v>1328.1697998</v>
      </c>
      <c r="H1801">
        <v>1326.4429932</v>
      </c>
      <c r="I1801">
        <v>1339.1899414</v>
      </c>
      <c r="J1801">
        <v>1336.5354004000001</v>
      </c>
      <c r="K1801">
        <v>0</v>
      </c>
      <c r="L1801">
        <v>2750</v>
      </c>
      <c r="M1801">
        <v>2750</v>
      </c>
      <c r="N1801">
        <v>0</v>
      </c>
    </row>
    <row r="1802" spans="1:14" x14ac:dyDescent="0.25">
      <c r="A1802">
        <v>940.84251600000005</v>
      </c>
      <c r="B1802" s="1">
        <f>DATE(2012,11,26) + TIME(20,13,13)</f>
        <v>41239.842511574076</v>
      </c>
      <c r="C1802">
        <v>80</v>
      </c>
      <c r="D1802">
        <v>77.914978027000004</v>
      </c>
      <c r="E1802">
        <v>50</v>
      </c>
      <c r="F1802">
        <v>49.981372833000002</v>
      </c>
      <c r="G1802">
        <v>1328.1341553</v>
      </c>
      <c r="H1802">
        <v>1326.3939209</v>
      </c>
      <c r="I1802">
        <v>1339.1845702999999</v>
      </c>
      <c r="J1802">
        <v>1336.5330810999999</v>
      </c>
      <c r="K1802">
        <v>0</v>
      </c>
      <c r="L1802">
        <v>2750</v>
      </c>
      <c r="M1802">
        <v>2750</v>
      </c>
      <c r="N1802">
        <v>0</v>
      </c>
    </row>
    <row r="1803" spans="1:14" x14ac:dyDescent="0.25">
      <c r="A1803">
        <v>941.765762</v>
      </c>
      <c r="B1803" s="1">
        <f>DATE(2012,11,27) + TIME(18,22,41)</f>
        <v>41240.765752314815</v>
      </c>
      <c r="C1803">
        <v>80</v>
      </c>
      <c r="D1803">
        <v>77.854713439999998</v>
      </c>
      <c r="E1803">
        <v>50</v>
      </c>
      <c r="F1803">
        <v>49.981361389</v>
      </c>
      <c r="G1803">
        <v>1328.0982666</v>
      </c>
      <c r="H1803">
        <v>1326.3444824000001</v>
      </c>
      <c r="I1803">
        <v>1339.1793213000001</v>
      </c>
      <c r="J1803">
        <v>1336.5308838000001</v>
      </c>
      <c r="K1803">
        <v>0</v>
      </c>
      <c r="L1803">
        <v>2750</v>
      </c>
      <c r="M1803">
        <v>2750</v>
      </c>
      <c r="N1803">
        <v>0</v>
      </c>
    </row>
    <row r="1804" spans="1:14" x14ac:dyDescent="0.25">
      <c r="A1804">
        <v>942.70063500000003</v>
      </c>
      <c r="B1804" s="1">
        <f>DATE(2012,11,28) + TIME(16,48,54)</f>
        <v>41241.700624999998</v>
      </c>
      <c r="C1804">
        <v>80</v>
      </c>
      <c r="D1804">
        <v>77.793899535999998</v>
      </c>
      <c r="E1804">
        <v>50</v>
      </c>
      <c r="F1804">
        <v>49.981349944999998</v>
      </c>
      <c r="G1804">
        <v>1328.0623779</v>
      </c>
      <c r="H1804">
        <v>1326.2951660000001</v>
      </c>
      <c r="I1804">
        <v>1339.1743164</v>
      </c>
      <c r="J1804">
        <v>1336.5286865</v>
      </c>
      <c r="K1804">
        <v>0</v>
      </c>
      <c r="L1804">
        <v>2750</v>
      </c>
      <c r="M1804">
        <v>2750</v>
      </c>
      <c r="N1804">
        <v>0</v>
      </c>
    </row>
    <row r="1805" spans="1:14" x14ac:dyDescent="0.25">
      <c r="A1805">
        <v>943.65367100000003</v>
      </c>
      <c r="B1805" s="1">
        <f>DATE(2012,11,29) + TIME(15,41,17)</f>
        <v>41242.653668981482</v>
      </c>
      <c r="C1805">
        <v>80</v>
      </c>
      <c r="D1805">
        <v>77.732360839999998</v>
      </c>
      <c r="E1805">
        <v>50</v>
      </c>
      <c r="F1805">
        <v>49.981338501000003</v>
      </c>
      <c r="G1805">
        <v>1328.0266113</v>
      </c>
      <c r="H1805">
        <v>1326.2459716999999</v>
      </c>
      <c r="I1805">
        <v>1339.1693115</v>
      </c>
      <c r="J1805">
        <v>1336.5266113</v>
      </c>
      <c r="K1805">
        <v>0</v>
      </c>
      <c r="L1805">
        <v>2750</v>
      </c>
      <c r="M1805">
        <v>2750</v>
      </c>
      <c r="N1805">
        <v>0</v>
      </c>
    </row>
    <row r="1806" spans="1:14" x14ac:dyDescent="0.25">
      <c r="A1806">
        <v>944.63164300000005</v>
      </c>
      <c r="B1806" s="1">
        <f>DATE(2012,11,30) + TIME(15,9,33)</f>
        <v>41243.631631944445</v>
      </c>
      <c r="C1806">
        <v>80</v>
      </c>
      <c r="D1806">
        <v>77.669754028</v>
      </c>
      <c r="E1806">
        <v>50</v>
      </c>
      <c r="F1806">
        <v>49.981323242000002</v>
      </c>
      <c r="G1806">
        <v>1327.9907227000001</v>
      </c>
      <c r="H1806">
        <v>1326.1966553</v>
      </c>
      <c r="I1806">
        <v>1339.1644286999999</v>
      </c>
      <c r="J1806">
        <v>1336.5246582</v>
      </c>
      <c r="K1806">
        <v>0</v>
      </c>
      <c r="L1806">
        <v>2750</v>
      </c>
      <c r="M1806">
        <v>2750</v>
      </c>
      <c r="N1806">
        <v>0</v>
      </c>
    </row>
    <row r="1807" spans="1:14" x14ac:dyDescent="0.25">
      <c r="A1807">
        <v>945</v>
      </c>
      <c r="B1807" s="1">
        <f>DATE(2012,12,1) + TIME(0,0,0)</f>
        <v>41244</v>
      </c>
      <c r="C1807">
        <v>80</v>
      </c>
      <c r="D1807">
        <v>77.630729674999998</v>
      </c>
      <c r="E1807">
        <v>50</v>
      </c>
      <c r="F1807">
        <v>49.981315613</v>
      </c>
      <c r="G1807">
        <v>1327.9566649999999</v>
      </c>
      <c r="H1807">
        <v>1326.1512451000001</v>
      </c>
      <c r="I1807">
        <v>1339.1594238</v>
      </c>
      <c r="J1807">
        <v>1336.5225829999999</v>
      </c>
      <c r="K1807">
        <v>0</v>
      </c>
      <c r="L1807">
        <v>2750</v>
      </c>
      <c r="M1807">
        <v>2750</v>
      </c>
      <c r="N1807">
        <v>0</v>
      </c>
    </row>
    <row r="1808" spans="1:14" x14ac:dyDescent="0.25">
      <c r="A1808">
        <v>946.01023899999996</v>
      </c>
      <c r="B1808" s="1">
        <f>DATE(2012,12,2) + TIME(0,14,44)</f>
        <v>41245.010231481479</v>
      </c>
      <c r="C1808">
        <v>80</v>
      </c>
      <c r="D1808">
        <v>77.576126099000007</v>
      </c>
      <c r="E1808">
        <v>50</v>
      </c>
      <c r="F1808">
        <v>49.981307983000001</v>
      </c>
      <c r="G1808">
        <v>1327.9372559000001</v>
      </c>
      <c r="H1808">
        <v>1326.1221923999999</v>
      </c>
      <c r="I1808">
        <v>1339.1577147999999</v>
      </c>
      <c r="J1808">
        <v>1336.5219727000001</v>
      </c>
      <c r="K1808">
        <v>0</v>
      </c>
      <c r="L1808">
        <v>2750</v>
      </c>
      <c r="M1808">
        <v>2750</v>
      </c>
      <c r="N1808">
        <v>0</v>
      </c>
    </row>
    <row r="1809" spans="1:14" x14ac:dyDescent="0.25">
      <c r="A1809">
        <v>947.07856100000004</v>
      </c>
      <c r="B1809" s="1">
        <f>DATE(2012,12,3) + TIME(1,53,7)</f>
        <v>41246.078553240739</v>
      </c>
      <c r="C1809">
        <v>80</v>
      </c>
      <c r="D1809">
        <v>77.513214110999996</v>
      </c>
      <c r="E1809">
        <v>50</v>
      </c>
      <c r="F1809">
        <v>49.981296538999999</v>
      </c>
      <c r="G1809">
        <v>1327.9029541</v>
      </c>
      <c r="H1809">
        <v>1326.0760498</v>
      </c>
      <c r="I1809">
        <v>1339.1529541</v>
      </c>
      <c r="J1809">
        <v>1336.5201416</v>
      </c>
      <c r="K1809">
        <v>0</v>
      </c>
      <c r="L1809">
        <v>2750</v>
      </c>
      <c r="M1809">
        <v>2750</v>
      </c>
      <c r="N1809">
        <v>0</v>
      </c>
    </row>
    <row r="1810" spans="1:14" x14ac:dyDescent="0.25">
      <c r="A1810">
        <v>948.18828599999995</v>
      </c>
      <c r="B1810" s="1">
        <f>DATE(2012,12,4) + TIME(4,31,7)</f>
        <v>41247.188275462962</v>
      </c>
      <c r="C1810">
        <v>80</v>
      </c>
      <c r="D1810">
        <v>77.445129394999995</v>
      </c>
      <c r="E1810">
        <v>50</v>
      </c>
      <c r="F1810">
        <v>49.981285094999997</v>
      </c>
      <c r="G1810">
        <v>1327.8660889</v>
      </c>
      <c r="H1810">
        <v>1326.0262451000001</v>
      </c>
      <c r="I1810">
        <v>1339.1480713000001</v>
      </c>
      <c r="J1810">
        <v>1336.5181885</v>
      </c>
      <c r="K1810">
        <v>0</v>
      </c>
      <c r="L1810">
        <v>2750</v>
      </c>
      <c r="M1810">
        <v>2750</v>
      </c>
      <c r="N1810">
        <v>0</v>
      </c>
    </row>
    <row r="1811" spans="1:14" x14ac:dyDescent="0.25">
      <c r="A1811">
        <v>949.34707700000001</v>
      </c>
      <c r="B1811" s="1">
        <f>DATE(2012,12,5) + TIME(8,19,47)</f>
        <v>41248.347071759257</v>
      </c>
      <c r="C1811">
        <v>80</v>
      </c>
      <c r="D1811">
        <v>77.373283385999997</v>
      </c>
      <c r="E1811">
        <v>50</v>
      </c>
      <c r="F1811">
        <v>49.981273651000002</v>
      </c>
      <c r="G1811">
        <v>1327.8278809000001</v>
      </c>
      <c r="H1811">
        <v>1325.9741211</v>
      </c>
      <c r="I1811">
        <v>1339.1431885</v>
      </c>
      <c r="J1811">
        <v>1336.5163574000001</v>
      </c>
      <c r="K1811">
        <v>0</v>
      </c>
      <c r="L1811">
        <v>2750</v>
      </c>
      <c r="M1811">
        <v>2750</v>
      </c>
      <c r="N1811">
        <v>0</v>
      </c>
    </row>
    <row r="1812" spans="1:14" x14ac:dyDescent="0.25">
      <c r="A1812">
        <v>950.52365599999996</v>
      </c>
      <c r="B1812" s="1">
        <f>DATE(2012,12,6) + TIME(12,34,3)</f>
        <v>41249.523645833331</v>
      </c>
      <c r="C1812">
        <v>80</v>
      </c>
      <c r="D1812">
        <v>77.298637389999996</v>
      </c>
      <c r="E1812">
        <v>50</v>
      </c>
      <c r="F1812">
        <v>49.981262207</v>
      </c>
      <c r="G1812">
        <v>1327.7884521000001</v>
      </c>
      <c r="H1812">
        <v>1325.9206543</v>
      </c>
      <c r="I1812">
        <v>1339.1381836</v>
      </c>
      <c r="J1812">
        <v>1336.5145264</v>
      </c>
      <c r="K1812">
        <v>0</v>
      </c>
      <c r="L1812">
        <v>2750</v>
      </c>
      <c r="M1812">
        <v>2750</v>
      </c>
      <c r="N1812">
        <v>0</v>
      </c>
    </row>
    <row r="1813" spans="1:14" x14ac:dyDescent="0.25">
      <c r="A1813">
        <v>951.71042899999998</v>
      </c>
      <c r="B1813" s="1">
        <f>DATE(2012,12,7) + TIME(17,3,1)</f>
        <v>41250.710428240738</v>
      </c>
      <c r="C1813">
        <v>80</v>
      </c>
      <c r="D1813">
        <v>77.222366332999997</v>
      </c>
      <c r="E1813">
        <v>50</v>
      </c>
      <c r="F1813">
        <v>49.981250762999998</v>
      </c>
      <c r="G1813">
        <v>1327.7486572</v>
      </c>
      <c r="H1813">
        <v>1325.8665771000001</v>
      </c>
      <c r="I1813">
        <v>1339.1333007999999</v>
      </c>
      <c r="J1813">
        <v>1336.5126952999999</v>
      </c>
      <c r="K1813">
        <v>0</v>
      </c>
      <c r="L1813">
        <v>2750</v>
      </c>
      <c r="M1813">
        <v>2750</v>
      </c>
      <c r="N1813">
        <v>0</v>
      </c>
    </row>
    <row r="1814" spans="1:14" x14ac:dyDescent="0.25">
      <c r="A1814">
        <v>952.91639699999996</v>
      </c>
      <c r="B1814" s="1">
        <f>DATE(2012,12,8) + TIME(21,59,36)</f>
        <v>41251.916388888887</v>
      </c>
      <c r="C1814">
        <v>80</v>
      </c>
      <c r="D1814">
        <v>77.144813537999994</v>
      </c>
      <c r="E1814">
        <v>50</v>
      </c>
      <c r="F1814">
        <v>49.981239318999997</v>
      </c>
      <c r="G1814">
        <v>1327.7089844</v>
      </c>
      <c r="H1814">
        <v>1325.8126221</v>
      </c>
      <c r="I1814">
        <v>1339.1285399999999</v>
      </c>
      <c r="J1814">
        <v>1336.5109863</v>
      </c>
      <c r="K1814">
        <v>0</v>
      </c>
      <c r="L1814">
        <v>2750</v>
      </c>
      <c r="M1814">
        <v>2750</v>
      </c>
      <c r="N1814">
        <v>0</v>
      </c>
    </row>
    <row r="1815" spans="1:14" x14ac:dyDescent="0.25">
      <c r="A1815">
        <v>954.143685</v>
      </c>
      <c r="B1815" s="1">
        <f>DATE(2012,12,10) + TIME(3,26,54)</f>
        <v>41253.143680555557</v>
      </c>
      <c r="C1815">
        <v>80</v>
      </c>
      <c r="D1815">
        <v>77.065811156999999</v>
      </c>
      <c r="E1815">
        <v>50</v>
      </c>
      <c r="F1815">
        <v>49.981227875000002</v>
      </c>
      <c r="G1815">
        <v>1327.6694336</v>
      </c>
      <c r="H1815">
        <v>1325.7589111</v>
      </c>
      <c r="I1815">
        <v>1339.1237793</v>
      </c>
      <c r="J1815">
        <v>1336.5092772999999</v>
      </c>
      <c r="K1815">
        <v>0</v>
      </c>
      <c r="L1815">
        <v>2750</v>
      </c>
      <c r="M1815">
        <v>2750</v>
      </c>
      <c r="N1815">
        <v>0</v>
      </c>
    </row>
    <row r="1816" spans="1:14" x14ac:dyDescent="0.25">
      <c r="A1816">
        <v>955.399359</v>
      </c>
      <c r="B1816" s="1">
        <f>DATE(2012,12,11) + TIME(9,35,4)</f>
        <v>41254.399351851855</v>
      </c>
      <c r="C1816">
        <v>80</v>
      </c>
      <c r="D1816">
        <v>76.985084533999995</v>
      </c>
      <c r="E1816">
        <v>50</v>
      </c>
      <c r="F1816">
        <v>49.981220245000003</v>
      </c>
      <c r="G1816">
        <v>1327.6297606999999</v>
      </c>
      <c r="H1816">
        <v>1325.7050781</v>
      </c>
      <c r="I1816">
        <v>1339.1191406</v>
      </c>
      <c r="J1816">
        <v>1336.5076904</v>
      </c>
      <c r="K1816">
        <v>0</v>
      </c>
      <c r="L1816">
        <v>2750</v>
      </c>
      <c r="M1816">
        <v>2750</v>
      </c>
      <c r="N1816">
        <v>0</v>
      </c>
    </row>
    <row r="1817" spans="1:14" x14ac:dyDescent="0.25">
      <c r="A1817">
        <v>956.69292700000005</v>
      </c>
      <c r="B1817" s="1">
        <f>DATE(2012,12,12) + TIME(16,37,48)</f>
        <v>41255.692916666667</v>
      </c>
      <c r="C1817">
        <v>80</v>
      </c>
      <c r="D1817">
        <v>76.902145386000001</v>
      </c>
      <c r="E1817">
        <v>50</v>
      </c>
      <c r="F1817">
        <v>49.981208801000001</v>
      </c>
      <c r="G1817">
        <v>1327.5899658000001</v>
      </c>
      <c r="H1817">
        <v>1325.6512451000001</v>
      </c>
      <c r="I1817">
        <v>1339.114624</v>
      </c>
      <c r="J1817">
        <v>1336.5061035000001</v>
      </c>
      <c r="K1817">
        <v>0</v>
      </c>
      <c r="L1817">
        <v>2750</v>
      </c>
      <c r="M1817">
        <v>2750</v>
      </c>
      <c r="N1817">
        <v>0</v>
      </c>
    </row>
    <row r="1818" spans="1:14" x14ac:dyDescent="0.25">
      <c r="A1818">
        <v>958.03492200000005</v>
      </c>
      <c r="B1818" s="1">
        <f>DATE(2012,12,14) + TIME(0,50,17)</f>
        <v>41257.034918981481</v>
      </c>
      <c r="C1818">
        <v>80</v>
      </c>
      <c r="D1818">
        <v>76.816345214999998</v>
      </c>
      <c r="E1818">
        <v>50</v>
      </c>
      <c r="F1818">
        <v>49.981197356999999</v>
      </c>
      <c r="G1818">
        <v>1327.5496826000001</v>
      </c>
      <c r="H1818">
        <v>1325.5968018000001</v>
      </c>
      <c r="I1818">
        <v>1339.1099853999999</v>
      </c>
      <c r="J1818">
        <v>1336.5045166</v>
      </c>
      <c r="K1818">
        <v>0</v>
      </c>
      <c r="L1818">
        <v>2750</v>
      </c>
      <c r="M1818">
        <v>2750</v>
      </c>
      <c r="N1818">
        <v>0</v>
      </c>
    </row>
    <row r="1819" spans="1:14" x14ac:dyDescent="0.25">
      <c r="A1819">
        <v>959.43739200000005</v>
      </c>
      <c r="B1819" s="1">
        <f>DATE(2012,12,15) + TIME(10,29,50)</f>
        <v>41258.437384259261</v>
      </c>
      <c r="C1819">
        <v>80</v>
      </c>
      <c r="D1819">
        <v>76.726943969999994</v>
      </c>
      <c r="E1819">
        <v>50</v>
      </c>
      <c r="F1819">
        <v>49.981189727999997</v>
      </c>
      <c r="G1819">
        <v>1327.5087891000001</v>
      </c>
      <c r="H1819">
        <v>1325.541626</v>
      </c>
      <c r="I1819">
        <v>1339.1053466999999</v>
      </c>
      <c r="J1819">
        <v>1336.5030518000001</v>
      </c>
      <c r="K1819">
        <v>0</v>
      </c>
      <c r="L1819">
        <v>2750</v>
      </c>
      <c r="M1819">
        <v>2750</v>
      </c>
      <c r="N1819">
        <v>0</v>
      </c>
    </row>
    <row r="1820" spans="1:14" x14ac:dyDescent="0.25">
      <c r="A1820">
        <v>960.16896699999995</v>
      </c>
      <c r="B1820" s="1">
        <f>DATE(2012,12,16) + TIME(4,3,18)</f>
        <v>41259.168958333335</v>
      </c>
      <c r="C1820">
        <v>80</v>
      </c>
      <c r="D1820">
        <v>76.653305054</v>
      </c>
      <c r="E1820">
        <v>50</v>
      </c>
      <c r="F1820">
        <v>49.981178284000002</v>
      </c>
      <c r="G1820">
        <v>1327.4682617000001</v>
      </c>
      <c r="H1820">
        <v>1325.4880370999999</v>
      </c>
      <c r="I1820">
        <v>1339.1005858999999</v>
      </c>
      <c r="J1820">
        <v>1336.5014647999999</v>
      </c>
      <c r="K1820">
        <v>0</v>
      </c>
      <c r="L1820">
        <v>2750</v>
      </c>
      <c r="M1820">
        <v>2750</v>
      </c>
      <c r="N1820">
        <v>0</v>
      </c>
    </row>
    <row r="1821" spans="1:14" x14ac:dyDescent="0.25">
      <c r="A1821">
        <v>961.50609799999995</v>
      </c>
      <c r="B1821" s="1">
        <f>DATE(2012,12,17) + TIME(12,8,46)</f>
        <v>41260.50608796296</v>
      </c>
      <c r="C1821">
        <v>80</v>
      </c>
      <c r="D1821">
        <v>76.579383849999999</v>
      </c>
      <c r="E1821">
        <v>50</v>
      </c>
      <c r="F1821">
        <v>49.981170654000003</v>
      </c>
      <c r="G1821">
        <v>1327.4407959</v>
      </c>
      <c r="H1821">
        <v>1325.4482422000001</v>
      </c>
      <c r="I1821">
        <v>1339.0983887</v>
      </c>
      <c r="J1821">
        <v>1336.5007324000001</v>
      </c>
      <c r="K1821">
        <v>0</v>
      </c>
      <c r="L1821">
        <v>2750</v>
      </c>
      <c r="M1821">
        <v>2750</v>
      </c>
      <c r="N1821">
        <v>0</v>
      </c>
    </row>
    <row r="1822" spans="1:14" x14ac:dyDescent="0.25">
      <c r="A1822">
        <v>962.96609899999999</v>
      </c>
      <c r="B1822" s="1">
        <f>DATE(2012,12,18) + TIME(23,11,10)</f>
        <v>41261.966087962966</v>
      </c>
      <c r="C1822">
        <v>80</v>
      </c>
      <c r="D1822">
        <v>76.491798400999997</v>
      </c>
      <c r="E1822">
        <v>50</v>
      </c>
      <c r="F1822">
        <v>49.981163025000001</v>
      </c>
      <c r="G1822">
        <v>1327.4039307</v>
      </c>
      <c r="H1822">
        <v>1325.3995361</v>
      </c>
      <c r="I1822">
        <v>1339.0941161999999</v>
      </c>
      <c r="J1822">
        <v>1336.4993896000001</v>
      </c>
      <c r="K1822">
        <v>0</v>
      </c>
      <c r="L1822">
        <v>2750</v>
      </c>
      <c r="M1822">
        <v>2750</v>
      </c>
      <c r="N1822">
        <v>0</v>
      </c>
    </row>
    <row r="1823" spans="1:14" x14ac:dyDescent="0.25">
      <c r="A1823">
        <v>964.44480099999998</v>
      </c>
      <c r="B1823" s="1">
        <f>DATE(2012,12,20) + TIME(10,40,30)</f>
        <v>41263.444791666669</v>
      </c>
      <c r="C1823">
        <v>80</v>
      </c>
      <c r="D1823">
        <v>76.395561217999997</v>
      </c>
      <c r="E1823">
        <v>50</v>
      </c>
      <c r="F1823">
        <v>49.981155395999998</v>
      </c>
      <c r="G1823">
        <v>1327.3635254000001</v>
      </c>
      <c r="H1823">
        <v>1325.3458252</v>
      </c>
      <c r="I1823">
        <v>1339.0895995999999</v>
      </c>
      <c r="J1823">
        <v>1336.4979248</v>
      </c>
      <c r="K1823">
        <v>0</v>
      </c>
      <c r="L1823">
        <v>2750</v>
      </c>
      <c r="M1823">
        <v>2750</v>
      </c>
      <c r="N1823">
        <v>0</v>
      </c>
    </row>
    <row r="1824" spans="1:14" x14ac:dyDescent="0.25">
      <c r="A1824">
        <v>965.95387200000005</v>
      </c>
      <c r="B1824" s="1">
        <f>DATE(2012,12,21) + TIME(22,53,34)</f>
        <v>41264.953865740739</v>
      </c>
      <c r="C1824">
        <v>80</v>
      </c>
      <c r="D1824">
        <v>76.295387267999999</v>
      </c>
      <c r="E1824">
        <v>50</v>
      </c>
      <c r="F1824">
        <v>49.981143951</v>
      </c>
      <c r="G1824">
        <v>1327.3221435999999</v>
      </c>
      <c r="H1824">
        <v>1325.2902832</v>
      </c>
      <c r="I1824">
        <v>1339.0850829999999</v>
      </c>
      <c r="J1824">
        <v>1336.496582</v>
      </c>
      <c r="K1824">
        <v>0</v>
      </c>
      <c r="L1824">
        <v>2750</v>
      </c>
      <c r="M1824">
        <v>2750</v>
      </c>
      <c r="N1824">
        <v>0</v>
      </c>
    </row>
    <row r="1825" spans="1:14" x14ac:dyDescent="0.25">
      <c r="A1825">
        <v>967.50507400000004</v>
      </c>
      <c r="B1825" s="1">
        <f>DATE(2012,12,23) + TIME(12,7,18)</f>
        <v>41266.505069444444</v>
      </c>
      <c r="C1825">
        <v>80</v>
      </c>
      <c r="D1825">
        <v>76.191970824999999</v>
      </c>
      <c r="E1825">
        <v>50</v>
      </c>
      <c r="F1825">
        <v>49.981136321999998</v>
      </c>
      <c r="G1825">
        <v>1327.2803954999999</v>
      </c>
      <c r="H1825">
        <v>1325.2342529</v>
      </c>
      <c r="I1825">
        <v>1339.0806885</v>
      </c>
      <c r="J1825">
        <v>1336.4952393000001</v>
      </c>
      <c r="K1825">
        <v>0</v>
      </c>
      <c r="L1825">
        <v>2750</v>
      </c>
      <c r="M1825">
        <v>2750</v>
      </c>
      <c r="N1825">
        <v>0</v>
      </c>
    </row>
    <row r="1826" spans="1:14" x14ac:dyDescent="0.25">
      <c r="A1826">
        <v>969.11136999999997</v>
      </c>
      <c r="B1826" s="1">
        <f>DATE(2012,12,25) + TIME(2,40,22)</f>
        <v>41268.11136574074</v>
      </c>
      <c r="C1826">
        <v>80</v>
      </c>
      <c r="D1826">
        <v>76.084869385000005</v>
      </c>
      <c r="E1826">
        <v>50</v>
      </c>
      <c r="F1826">
        <v>49.981128693000002</v>
      </c>
      <c r="G1826">
        <v>1327.2382812000001</v>
      </c>
      <c r="H1826">
        <v>1325.1778564000001</v>
      </c>
      <c r="I1826">
        <v>1339.0762939000001</v>
      </c>
      <c r="J1826">
        <v>1336.4938964999999</v>
      </c>
      <c r="K1826">
        <v>0</v>
      </c>
      <c r="L1826">
        <v>2750</v>
      </c>
      <c r="M1826">
        <v>2750</v>
      </c>
      <c r="N1826">
        <v>0</v>
      </c>
    </row>
    <row r="1827" spans="1:14" x14ac:dyDescent="0.25">
      <c r="A1827">
        <v>970.78746599999999</v>
      </c>
      <c r="B1827" s="1">
        <f>DATE(2012,12,26) + TIME(18,53,57)</f>
        <v>41269.787465277775</v>
      </c>
      <c r="C1827">
        <v>80</v>
      </c>
      <c r="D1827">
        <v>75.973205566000004</v>
      </c>
      <c r="E1827">
        <v>50</v>
      </c>
      <c r="F1827">
        <v>49.981117249</v>
      </c>
      <c r="G1827">
        <v>1327.1954346</v>
      </c>
      <c r="H1827">
        <v>1325.1207274999999</v>
      </c>
      <c r="I1827">
        <v>1339.0717772999999</v>
      </c>
      <c r="J1827">
        <v>1336.4925536999999</v>
      </c>
      <c r="K1827">
        <v>0</v>
      </c>
      <c r="L1827">
        <v>2750</v>
      </c>
      <c r="M1827">
        <v>2750</v>
      </c>
      <c r="N1827">
        <v>0</v>
      </c>
    </row>
    <row r="1828" spans="1:14" x14ac:dyDescent="0.25">
      <c r="A1828">
        <v>972.54134299999998</v>
      </c>
      <c r="B1828" s="1">
        <f>DATE(2012,12,28) + TIME(12,59,32)</f>
        <v>41271.541342592594</v>
      </c>
      <c r="C1828">
        <v>80</v>
      </c>
      <c r="D1828">
        <v>75.856063843000001</v>
      </c>
      <c r="E1828">
        <v>50</v>
      </c>
      <c r="F1828">
        <v>49.981109619000001</v>
      </c>
      <c r="G1828">
        <v>1327.1518555</v>
      </c>
      <c r="H1828">
        <v>1325.0625</v>
      </c>
      <c r="I1828">
        <v>1339.0672606999999</v>
      </c>
      <c r="J1828">
        <v>1336.4913329999999</v>
      </c>
      <c r="K1828">
        <v>0</v>
      </c>
      <c r="L1828">
        <v>2750</v>
      </c>
      <c r="M1828">
        <v>2750</v>
      </c>
      <c r="N1828">
        <v>0</v>
      </c>
    </row>
    <row r="1829" spans="1:14" x14ac:dyDescent="0.25">
      <c r="A1829">
        <v>974.33015</v>
      </c>
      <c r="B1829" s="1">
        <f>DATE(2012,12,30) + TIME(7,55,24)</f>
        <v>41273.330138888887</v>
      </c>
      <c r="C1829">
        <v>80</v>
      </c>
      <c r="D1829">
        <v>75.733459472999996</v>
      </c>
      <c r="E1829">
        <v>50</v>
      </c>
      <c r="F1829">
        <v>49.981101989999999</v>
      </c>
      <c r="G1829">
        <v>1327.1071777</v>
      </c>
      <c r="H1829">
        <v>1325.0029297000001</v>
      </c>
      <c r="I1829">
        <v>1339.0626221</v>
      </c>
      <c r="J1829">
        <v>1336.4899902</v>
      </c>
      <c r="K1829">
        <v>0</v>
      </c>
      <c r="L1829">
        <v>2750</v>
      </c>
      <c r="M1829">
        <v>2750</v>
      </c>
      <c r="N1829">
        <v>0</v>
      </c>
    </row>
    <row r="1830" spans="1:14" x14ac:dyDescent="0.25">
      <c r="A1830">
        <v>976</v>
      </c>
      <c r="B1830" s="1">
        <f>DATE(2013,1,1) + TIME(0,0,0)</f>
        <v>41275</v>
      </c>
      <c r="C1830">
        <v>80</v>
      </c>
      <c r="D1830">
        <v>75.609542847</v>
      </c>
      <c r="E1830">
        <v>50</v>
      </c>
      <c r="F1830">
        <v>49.98109436</v>
      </c>
      <c r="G1830">
        <v>1327.0622559000001</v>
      </c>
      <c r="H1830">
        <v>1324.9432373</v>
      </c>
      <c r="I1830">
        <v>1339.0581055</v>
      </c>
      <c r="J1830">
        <v>1336.4886475000001</v>
      </c>
      <c r="K1830">
        <v>0</v>
      </c>
      <c r="L1830">
        <v>2750</v>
      </c>
      <c r="M1830">
        <v>2750</v>
      </c>
      <c r="N1830">
        <v>0</v>
      </c>
    </row>
    <row r="1831" spans="1:14" x14ac:dyDescent="0.25">
      <c r="A1831">
        <v>977.79449199999999</v>
      </c>
      <c r="B1831" s="1">
        <f>DATE(2013,1,2) + TIME(19,4,4)</f>
        <v>41276.794490740744</v>
      </c>
      <c r="C1831">
        <v>80</v>
      </c>
      <c r="D1831">
        <v>75.487174988000007</v>
      </c>
      <c r="E1831">
        <v>50</v>
      </c>
      <c r="F1831">
        <v>49.981086730999998</v>
      </c>
      <c r="G1831">
        <v>1327.0197754000001</v>
      </c>
      <c r="H1831">
        <v>1324.8859863</v>
      </c>
      <c r="I1831">
        <v>1339.0539550999999</v>
      </c>
      <c r="J1831">
        <v>1336.4875488</v>
      </c>
      <c r="K1831">
        <v>0</v>
      </c>
      <c r="L1831">
        <v>2750</v>
      </c>
      <c r="M1831">
        <v>2750</v>
      </c>
      <c r="N1831">
        <v>0</v>
      </c>
    </row>
    <row r="1832" spans="1:14" x14ac:dyDescent="0.25">
      <c r="A1832">
        <v>979.65819799999997</v>
      </c>
      <c r="B1832" s="1">
        <f>DATE(2013,1,4) + TIME(15,47,48)</f>
        <v>41278.658194444448</v>
      </c>
      <c r="C1832">
        <v>80</v>
      </c>
      <c r="D1832">
        <v>75.358634949000006</v>
      </c>
      <c r="E1832">
        <v>50</v>
      </c>
      <c r="F1832">
        <v>49.981079102000002</v>
      </c>
      <c r="G1832">
        <v>1326.9765625</v>
      </c>
      <c r="H1832">
        <v>1324.8286132999999</v>
      </c>
      <c r="I1832">
        <v>1339.0495605000001</v>
      </c>
      <c r="J1832">
        <v>1336.4863281</v>
      </c>
      <c r="K1832">
        <v>0</v>
      </c>
      <c r="L1832">
        <v>2750</v>
      </c>
      <c r="M1832">
        <v>2750</v>
      </c>
      <c r="N1832">
        <v>0</v>
      </c>
    </row>
    <row r="1833" spans="1:14" x14ac:dyDescent="0.25">
      <c r="A1833">
        <v>981.57980599999996</v>
      </c>
      <c r="B1833" s="1">
        <f>DATE(2013,1,6) + TIME(13,54,55)</f>
        <v>41280.57980324074</v>
      </c>
      <c r="C1833">
        <v>80</v>
      </c>
      <c r="D1833">
        <v>75.224319457999997</v>
      </c>
      <c r="E1833">
        <v>50</v>
      </c>
      <c r="F1833">
        <v>49.981071471999996</v>
      </c>
      <c r="G1833">
        <v>1326.9326172000001</v>
      </c>
      <c r="H1833">
        <v>1324.7701416</v>
      </c>
      <c r="I1833">
        <v>1339.0451660000001</v>
      </c>
      <c r="J1833">
        <v>1336.4851074000001</v>
      </c>
      <c r="K1833">
        <v>0</v>
      </c>
      <c r="L1833">
        <v>2750</v>
      </c>
      <c r="M1833">
        <v>2750</v>
      </c>
      <c r="N1833">
        <v>0</v>
      </c>
    </row>
    <row r="1834" spans="1:14" x14ac:dyDescent="0.25">
      <c r="A1834">
        <v>983.57055000000003</v>
      </c>
      <c r="B1834" s="1">
        <f>DATE(2013,1,8) + TIME(13,41,35)</f>
        <v>41282.570543981485</v>
      </c>
      <c r="C1834">
        <v>80</v>
      </c>
      <c r="D1834">
        <v>75.084602356000005</v>
      </c>
      <c r="E1834">
        <v>50</v>
      </c>
      <c r="F1834">
        <v>49.981063843000001</v>
      </c>
      <c r="G1834">
        <v>1326.8879394999999</v>
      </c>
      <c r="H1834">
        <v>1324.7109375</v>
      </c>
      <c r="I1834">
        <v>1339.0407714999999</v>
      </c>
      <c r="J1834">
        <v>1336.4838867000001</v>
      </c>
      <c r="K1834">
        <v>0</v>
      </c>
      <c r="L1834">
        <v>2750</v>
      </c>
      <c r="M1834">
        <v>2750</v>
      </c>
      <c r="N1834">
        <v>0</v>
      </c>
    </row>
    <row r="1835" spans="1:14" x14ac:dyDescent="0.25">
      <c r="A1835">
        <v>985.62792899999999</v>
      </c>
      <c r="B1835" s="1">
        <f>DATE(2013,1,10) + TIME(15,4,13)</f>
        <v>41284.627928240741</v>
      </c>
      <c r="C1835">
        <v>80</v>
      </c>
      <c r="D1835">
        <v>74.938980103000006</v>
      </c>
      <c r="E1835">
        <v>50</v>
      </c>
      <c r="F1835">
        <v>49.981060028000002</v>
      </c>
      <c r="G1835">
        <v>1326.8426514</v>
      </c>
      <c r="H1835">
        <v>1324.6508789</v>
      </c>
      <c r="I1835">
        <v>1339.0362548999999</v>
      </c>
      <c r="J1835">
        <v>1336.4826660000001</v>
      </c>
      <c r="K1835">
        <v>0</v>
      </c>
      <c r="L1835">
        <v>2750</v>
      </c>
      <c r="M1835">
        <v>2750</v>
      </c>
      <c r="N1835">
        <v>0</v>
      </c>
    </row>
    <row r="1836" spans="1:14" x14ac:dyDescent="0.25">
      <c r="A1836">
        <v>987.73130800000001</v>
      </c>
      <c r="B1836" s="1">
        <f>DATE(2013,1,12) + TIME(17,33,5)</f>
        <v>41286.731307870374</v>
      </c>
      <c r="C1836">
        <v>80</v>
      </c>
      <c r="D1836">
        <v>74.787643433</v>
      </c>
      <c r="E1836">
        <v>50</v>
      </c>
      <c r="F1836">
        <v>49.981052398999999</v>
      </c>
      <c r="G1836">
        <v>1326.796875</v>
      </c>
      <c r="H1836">
        <v>1324.5902100000001</v>
      </c>
      <c r="I1836">
        <v>1339.0317382999999</v>
      </c>
      <c r="J1836">
        <v>1336.4814452999999</v>
      </c>
      <c r="K1836">
        <v>0</v>
      </c>
      <c r="L1836">
        <v>2750</v>
      </c>
      <c r="M1836">
        <v>2750</v>
      </c>
      <c r="N1836">
        <v>0</v>
      </c>
    </row>
    <row r="1837" spans="1:14" x14ac:dyDescent="0.25">
      <c r="A1837">
        <v>989.88129700000002</v>
      </c>
      <c r="B1837" s="1">
        <f>DATE(2013,1,14) + TIME(21,9,4)</f>
        <v>41288.881296296298</v>
      </c>
      <c r="C1837">
        <v>80</v>
      </c>
      <c r="D1837">
        <v>74.631614685000002</v>
      </c>
      <c r="E1837">
        <v>50</v>
      </c>
      <c r="F1837">
        <v>49.981048584</v>
      </c>
      <c r="G1837">
        <v>1326.7508545000001</v>
      </c>
      <c r="H1837">
        <v>1324.5291748</v>
      </c>
      <c r="I1837">
        <v>1339.0272216999999</v>
      </c>
      <c r="J1837">
        <v>1336.4802245999999</v>
      </c>
      <c r="K1837">
        <v>0</v>
      </c>
      <c r="L1837">
        <v>2750</v>
      </c>
      <c r="M1837">
        <v>2750</v>
      </c>
      <c r="N1837">
        <v>0</v>
      </c>
    </row>
    <row r="1838" spans="1:14" x14ac:dyDescent="0.25">
      <c r="A1838">
        <v>992.08922600000005</v>
      </c>
      <c r="B1838" s="1">
        <f>DATE(2013,1,17) + TIME(2,8,29)</f>
        <v>41291.089224537034</v>
      </c>
      <c r="C1838">
        <v>80</v>
      </c>
      <c r="D1838">
        <v>74.470916747999993</v>
      </c>
      <c r="E1838">
        <v>50</v>
      </c>
      <c r="F1838">
        <v>49.981040954999997</v>
      </c>
      <c r="G1838">
        <v>1326.7047118999999</v>
      </c>
      <c r="H1838">
        <v>1324.4680175999999</v>
      </c>
      <c r="I1838">
        <v>1339.0227050999999</v>
      </c>
      <c r="J1838">
        <v>1336.4790039</v>
      </c>
      <c r="K1838">
        <v>0</v>
      </c>
      <c r="L1838">
        <v>2750</v>
      </c>
      <c r="M1838">
        <v>2750</v>
      </c>
      <c r="N1838">
        <v>0</v>
      </c>
    </row>
    <row r="1839" spans="1:14" x14ac:dyDescent="0.25">
      <c r="A1839">
        <v>994.34546599999999</v>
      </c>
      <c r="B1839" s="1">
        <f>DATE(2013,1,19) + TIME(8,17,28)</f>
        <v>41293.345462962963</v>
      </c>
      <c r="C1839">
        <v>80</v>
      </c>
      <c r="D1839">
        <v>74.305114746000001</v>
      </c>
      <c r="E1839">
        <v>50</v>
      </c>
      <c r="F1839">
        <v>49.981037139999998</v>
      </c>
      <c r="G1839">
        <v>1326.6583252</v>
      </c>
      <c r="H1839">
        <v>1324.4067382999999</v>
      </c>
      <c r="I1839">
        <v>1339.0181885</v>
      </c>
      <c r="J1839">
        <v>1336.4777832</v>
      </c>
      <c r="K1839">
        <v>0</v>
      </c>
      <c r="L1839">
        <v>2750</v>
      </c>
      <c r="M1839">
        <v>2750</v>
      </c>
      <c r="N1839">
        <v>0</v>
      </c>
    </row>
    <row r="1840" spans="1:14" x14ac:dyDescent="0.25">
      <c r="A1840">
        <v>996.64694099999997</v>
      </c>
      <c r="B1840" s="1">
        <f>DATE(2013,1,21) + TIME(15,31,35)</f>
        <v>41295.646932870368</v>
      </c>
      <c r="C1840">
        <v>80</v>
      </c>
      <c r="D1840">
        <v>74.134544372999997</v>
      </c>
      <c r="E1840">
        <v>50</v>
      </c>
      <c r="F1840">
        <v>49.981033324999999</v>
      </c>
      <c r="G1840">
        <v>1326.6119385</v>
      </c>
      <c r="H1840">
        <v>1324.3454589999999</v>
      </c>
      <c r="I1840">
        <v>1339.0136719</v>
      </c>
      <c r="J1840">
        <v>1336.4765625</v>
      </c>
      <c r="K1840">
        <v>0</v>
      </c>
      <c r="L1840">
        <v>2750</v>
      </c>
      <c r="M1840">
        <v>2750</v>
      </c>
      <c r="N1840">
        <v>0</v>
      </c>
    </row>
    <row r="1841" spans="1:14" x14ac:dyDescent="0.25">
      <c r="A1841">
        <v>999.00870399999997</v>
      </c>
      <c r="B1841" s="1">
        <f>DATE(2013,1,24) + TIME(0,12,31)</f>
        <v>41298.008692129632</v>
      </c>
      <c r="C1841">
        <v>80</v>
      </c>
      <c r="D1841">
        <v>73.959228515999996</v>
      </c>
      <c r="E1841">
        <v>50</v>
      </c>
      <c r="F1841">
        <v>49.981025696000003</v>
      </c>
      <c r="G1841">
        <v>1326.5655518000001</v>
      </c>
      <c r="H1841">
        <v>1324.2841797000001</v>
      </c>
      <c r="I1841">
        <v>1339.0091553</v>
      </c>
      <c r="J1841">
        <v>1336.4753418</v>
      </c>
      <c r="K1841">
        <v>0</v>
      </c>
      <c r="L1841">
        <v>2750</v>
      </c>
      <c r="M1841">
        <v>2750</v>
      </c>
      <c r="N1841">
        <v>0</v>
      </c>
    </row>
    <row r="1842" spans="1:14" x14ac:dyDescent="0.25">
      <c r="A1842">
        <v>1001.457013</v>
      </c>
      <c r="B1842" s="1">
        <f>DATE(2013,1,26) + TIME(10,58,5)</f>
        <v>41300.457002314812</v>
      </c>
      <c r="C1842">
        <v>80</v>
      </c>
      <c r="D1842">
        <v>73.778076171999999</v>
      </c>
      <c r="E1842">
        <v>50</v>
      </c>
      <c r="F1842">
        <v>49.981025696000003</v>
      </c>
      <c r="G1842">
        <v>1326.519043</v>
      </c>
      <c r="H1842">
        <v>1324.2227783000001</v>
      </c>
      <c r="I1842">
        <v>1339.0045166</v>
      </c>
      <c r="J1842">
        <v>1336.4741211</v>
      </c>
      <c r="K1842">
        <v>0</v>
      </c>
      <c r="L1842">
        <v>2750</v>
      </c>
      <c r="M1842">
        <v>2750</v>
      </c>
      <c r="N1842">
        <v>0</v>
      </c>
    </row>
    <row r="1843" spans="1:14" x14ac:dyDescent="0.25">
      <c r="A1843">
        <v>1004.015716</v>
      </c>
      <c r="B1843" s="1">
        <f>DATE(2013,1,29) + TIME(0,22,37)</f>
        <v>41303.015706018516</v>
      </c>
      <c r="C1843">
        <v>80</v>
      </c>
      <c r="D1843">
        <v>73.58921814</v>
      </c>
      <c r="E1843">
        <v>50</v>
      </c>
      <c r="F1843">
        <v>49.981021880999997</v>
      </c>
      <c r="G1843">
        <v>1326.4720459</v>
      </c>
      <c r="H1843">
        <v>1324.1607666</v>
      </c>
      <c r="I1843">
        <v>1339</v>
      </c>
      <c r="J1843">
        <v>1336.4727783000001</v>
      </c>
      <c r="K1843">
        <v>0</v>
      </c>
      <c r="L1843">
        <v>2750</v>
      </c>
      <c r="M1843">
        <v>2750</v>
      </c>
      <c r="N1843">
        <v>0</v>
      </c>
    </row>
    <row r="1844" spans="1:14" x14ac:dyDescent="0.25">
      <c r="A1844">
        <v>1006.636499</v>
      </c>
      <c r="B1844" s="1">
        <f>DATE(2013,1,31) + TIME(15,16,33)</f>
        <v>41305.636493055557</v>
      </c>
      <c r="C1844">
        <v>80</v>
      </c>
      <c r="D1844">
        <v>73.391593932999996</v>
      </c>
      <c r="E1844">
        <v>50</v>
      </c>
      <c r="F1844">
        <v>49.981018065999997</v>
      </c>
      <c r="G1844">
        <v>1326.4240723</v>
      </c>
      <c r="H1844">
        <v>1324.0977783000001</v>
      </c>
      <c r="I1844">
        <v>1338.9952393000001</v>
      </c>
      <c r="J1844">
        <v>1336.4715576000001</v>
      </c>
      <c r="K1844">
        <v>0</v>
      </c>
      <c r="L1844">
        <v>2750</v>
      </c>
      <c r="M1844">
        <v>2750</v>
      </c>
      <c r="N1844">
        <v>0</v>
      </c>
    </row>
    <row r="1845" spans="1:14" x14ac:dyDescent="0.25">
      <c r="A1845">
        <v>1007</v>
      </c>
      <c r="B1845" s="1">
        <f>DATE(2013,2,1) + TIME(0,0,0)</f>
        <v>41306</v>
      </c>
      <c r="C1845">
        <v>80</v>
      </c>
      <c r="D1845">
        <v>73.288024902000004</v>
      </c>
      <c r="E1845">
        <v>50</v>
      </c>
      <c r="F1845">
        <v>49.981010437000002</v>
      </c>
      <c r="G1845">
        <v>1326.3778076000001</v>
      </c>
      <c r="H1845">
        <v>1324.0408935999999</v>
      </c>
      <c r="I1845">
        <v>1338.9903564000001</v>
      </c>
      <c r="J1845">
        <v>1336.4700928</v>
      </c>
      <c r="K1845">
        <v>0</v>
      </c>
      <c r="L1845">
        <v>2750</v>
      </c>
      <c r="M1845">
        <v>2750</v>
      </c>
      <c r="N1845">
        <v>0</v>
      </c>
    </row>
    <row r="1846" spans="1:14" x14ac:dyDescent="0.25">
      <c r="A1846">
        <v>1009.648612</v>
      </c>
      <c r="B1846" s="1">
        <f>DATE(2013,2,3) + TIME(15,34,0)</f>
        <v>41308.648611111108</v>
      </c>
      <c r="C1846">
        <v>80</v>
      </c>
      <c r="D1846">
        <v>73.147834778000004</v>
      </c>
      <c r="E1846">
        <v>50</v>
      </c>
      <c r="F1846">
        <v>49.981014252000001</v>
      </c>
      <c r="G1846">
        <v>1326.3632812000001</v>
      </c>
      <c r="H1846">
        <v>1324.0145264</v>
      </c>
      <c r="I1846">
        <v>1338.9898682</v>
      </c>
      <c r="J1846">
        <v>1336.4699707</v>
      </c>
      <c r="K1846">
        <v>0</v>
      </c>
      <c r="L1846">
        <v>2750</v>
      </c>
      <c r="M1846">
        <v>2750</v>
      </c>
      <c r="N1846">
        <v>0</v>
      </c>
    </row>
    <row r="1847" spans="1:14" x14ac:dyDescent="0.25">
      <c r="A1847">
        <v>1012.344472</v>
      </c>
      <c r="B1847" s="1">
        <f>DATE(2013,2,6) + TIME(8,16,2)</f>
        <v>41311.344467592593</v>
      </c>
      <c r="C1847">
        <v>80</v>
      </c>
      <c r="D1847">
        <v>72.949638367000006</v>
      </c>
      <c r="E1847">
        <v>50</v>
      </c>
      <c r="F1847">
        <v>49.981014252000001</v>
      </c>
      <c r="G1847">
        <v>1326.3203125</v>
      </c>
      <c r="H1847">
        <v>1323.9605713000001</v>
      </c>
      <c r="I1847">
        <v>1338.9851074000001</v>
      </c>
      <c r="J1847">
        <v>1336.4686279</v>
      </c>
      <c r="K1847">
        <v>0</v>
      </c>
      <c r="L1847">
        <v>2750</v>
      </c>
      <c r="M1847">
        <v>2750</v>
      </c>
      <c r="N1847">
        <v>0</v>
      </c>
    </row>
    <row r="1848" spans="1:14" x14ac:dyDescent="0.25">
      <c r="A1848">
        <v>1015.072859</v>
      </c>
      <c r="B1848" s="1">
        <f>DATE(2013,2,9) + TIME(1,44,55)</f>
        <v>41314.072858796295</v>
      </c>
      <c r="C1848">
        <v>80</v>
      </c>
      <c r="D1848">
        <v>72.738700867000006</v>
      </c>
      <c r="E1848">
        <v>50</v>
      </c>
      <c r="F1848">
        <v>49.981010437000002</v>
      </c>
      <c r="G1848">
        <v>1326.2736815999999</v>
      </c>
      <c r="H1848">
        <v>1323.8995361</v>
      </c>
      <c r="I1848">
        <v>1338.9804687999999</v>
      </c>
      <c r="J1848">
        <v>1336.4672852000001</v>
      </c>
      <c r="K1848">
        <v>0</v>
      </c>
      <c r="L1848">
        <v>2750</v>
      </c>
      <c r="M1848">
        <v>2750</v>
      </c>
      <c r="N1848">
        <v>0</v>
      </c>
    </row>
    <row r="1849" spans="1:14" x14ac:dyDescent="0.25">
      <c r="A1849">
        <v>1017.881053</v>
      </c>
      <c r="B1849" s="1">
        <f>DATE(2013,2,11) + TIME(21,8,42)</f>
        <v>41316.881041666667</v>
      </c>
      <c r="C1849">
        <v>80</v>
      </c>
      <c r="D1849">
        <v>72.522155761999997</v>
      </c>
      <c r="E1849">
        <v>50</v>
      </c>
      <c r="F1849">
        <v>49.981010437000002</v>
      </c>
      <c r="G1849">
        <v>1326.2268065999999</v>
      </c>
      <c r="H1849">
        <v>1323.8378906</v>
      </c>
      <c r="I1849">
        <v>1338.9758300999999</v>
      </c>
      <c r="J1849">
        <v>1336.4659423999999</v>
      </c>
      <c r="K1849">
        <v>0</v>
      </c>
      <c r="L1849">
        <v>2750</v>
      </c>
      <c r="M1849">
        <v>2750</v>
      </c>
      <c r="N1849">
        <v>0</v>
      </c>
    </row>
    <row r="1850" spans="1:14" x14ac:dyDescent="0.25">
      <c r="A1850">
        <v>1020.8093229999999</v>
      </c>
      <c r="B1850" s="1">
        <f>DATE(2013,2,14) + TIME(19,25,25)</f>
        <v>41319.809317129628</v>
      </c>
      <c r="C1850">
        <v>80</v>
      </c>
      <c r="D1850">
        <v>72.297981261999993</v>
      </c>
      <c r="E1850">
        <v>50</v>
      </c>
      <c r="F1850">
        <v>49.981010437000002</v>
      </c>
      <c r="G1850">
        <v>1326.1798096</v>
      </c>
      <c r="H1850">
        <v>1323.7761230000001</v>
      </c>
      <c r="I1850">
        <v>1338.9711914</v>
      </c>
      <c r="J1850">
        <v>1336.4644774999999</v>
      </c>
      <c r="K1850">
        <v>0</v>
      </c>
      <c r="L1850">
        <v>2750</v>
      </c>
      <c r="M1850">
        <v>2750</v>
      </c>
      <c r="N1850">
        <v>0</v>
      </c>
    </row>
    <row r="1851" spans="1:14" x14ac:dyDescent="0.25">
      <c r="A1851">
        <v>1023.8695760000001</v>
      </c>
      <c r="B1851" s="1">
        <f>DATE(2013,2,17) + TIME(20,52,11)</f>
        <v>41322.869571759256</v>
      </c>
      <c r="C1851">
        <v>80</v>
      </c>
      <c r="D1851">
        <v>72.063400268999999</v>
      </c>
      <c r="E1851">
        <v>50</v>
      </c>
      <c r="F1851">
        <v>49.981010437000002</v>
      </c>
      <c r="G1851">
        <v>1326.1320800999999</v>
      </c>
      <c r="H1851">
        <v>1323.713501</v>
      </c>
      <c r="I1851">
        <v>1338.9663086</v>
      </c>
      <c r="J1851">
        <v>1336.4630127</v>
      </c>
      <c r="K1851">
        <v>0</v>
      </c>
      <c r="L1851">
        <v>2750</v>
      </c>
      <c r="M1851">
        <v>2750</v>
      </c>
      <c r="N1851">
        <v>0</v>
      </c>
    </row>
    <row r="1852" spans="1:14" x14ac:dyDescent="0.25">
      <c r="A1852">
        <v>1026.933884</v>
      </c>
      <c r="B1852" s="1">
        <f>DATE(2013,2,20) + TIME(22,24,47)</f>
        <v>41325.933877314812</v>
      </c>
      <c r="C1852">
        <v>80</v>
      </c>
      <c r="D1852">
        <v>71.818511963000006</v>
      </c>
      <c r="E1852">
        <v>50</v>
      </c>
      <c r="F1852">
        <v>49.981010437000002</v>
      </c>
      <c r="G1852">
        <v>1326.083374</v>
      </c>
      <c r="H1852">
        <v>1323.6497803</v>
      </c>
      <c r="I1852">
        <v>1338.9614257999999</v>
      </c>
      <c r="J1852">
        <v>1336.4614257999999</v>
      </c>
      <c r="K1852">
        <v>0</v>
      </c>
      <c r="L1852">
        <v>2750</v>
      </c>
      <c r="M1852">
        <v>2750</v>
      </c>
      <c r="N1852">
        <v>0</v>
      </c>
    </row>
    <row r="1853" spans="1:14" x14ac:dyDescent="0.25">
      <c r="A1853">
        <v>1030.055707</v>
      </c>
      <c r="B1853" s="1">
        <f>DATE(2013,2,24) + TIME(1,20,13)</f>
        <v>41329.055706018517</v>
      </c>
      <c r="C1853">
        <v>80</v>
      </c>
      <c r="D1853">
        <v>71.570304871000005</v>
      </c>
      <c r="E1853">
        <v>50</v>
      </c>
      <c r="F1853">
        <v>49.981014252000001</v>
      </c>
      <c r="G1853">
        <v>1326.0352783000001</v>
      </c>
      <c r="H1853">
        <v>1323.5864257999999</v>
      </c>
      <c r="I1853">
        <v>1338.956543</v>
      </c>
      <c r="J1853">
        <v>1336.4599608999999</v>
      </c>
      <c r="K1853">
        <v>0</v>
      </c>
      <c r="L1853">
        <v>2750</v>
      </c>
      <c r="M1853">
        <v>2750</v>
      </c>
      <c r="N1853">
        <v>0</v>
      </c>
    </row>
    <row r="1854" spans="1:14" x14ac:dyDescent="0.25">
      <c r="A1854">
        <v>1033.283261</v>
      </c>
      <c r="B1854" s="1">
        <f>DATE(2013,2,27) + TIME(6,47,53)</f>
        <v>41332.283252314817</v>
      </c>
      <c r="C1854">
        <v>80</v>
      </c>
      <c r="D1854">
        <v>71.315986632999994</v>
      </c>
      <c r="E1854">
        <v>50</v>
      </c>
      <c r="F1854">
        <v>49.981014252000001</v>
      </c>
      <c r="G1854">
        <v>1325.9874268000001</v>
      </c>
      <c r="H1854">
        <v>1323.5236815999999</v>
      </c>
      <c r="I1854">
        <v>1338.9516602000001</v>
      </c>
      <c r="J1854">
        <v>1336.458374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1035</v>
      </c>
      <c r="B1855" s="1">
        <f>DATE(2013,3,1) + TIME(0,0,0)</f>
        <v>41334</v>
      </c>
      <c r="C1855">
        <v>80</v>
      </c>
      <c r="D1855">
        <v>71.079689025999997</v>
      </c>
      <c r="E1855">
        <v>50</v>
      </c>
      <c r="F1855">
        <v>49.981006622000002</v>
      </c>
      <c r="G1855">
        <v>1325.9398193</v>
      </c>
      <c r="H1855">
        <v>1323.4622803</v>
      </c>
      <c r="I1855">
        <v>1338.9466553</v>
      </c>
      <c r="J1855">
        <v>1336.4566649999999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1038.249654</v>
      </c>
      <c r="B1856" s="1">
        <f>DATE(2013,3,4) + TIME(5,59,30)</f>
        <v>41337.249652777777</v>
      </c>
      <c r="C1856">
        <v>80</v>
      </c>
      <c r="D1856">
        <v>70.899719238000003</v>
      </c>
      <c r="E1856">
        <v>50</v>
      </c>
      <c r="F1856">
        <v>49.981018065999997</v>
      </c>
      <c r="G1856">
        <v>1325.9083252</v>
      </c>
      <c r="H1856">
        <v>1323.4165039</v>
      </c>
      <c r="I1856">
        <v>1338.9440918</v>
      </c>
      <c r="J1856">
        <v>1336.4558105000001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1041.586546</v>
      </c>
      <c r="B1857" s="1">
        <f>DATE(2013,3,7) + TIME(14,4,37)</f>
        <v>41340.586539351854</v>
      </c>
      <c r="C1857">
        <v>80</v>
      </c>
      <c r="D1857">
        <v>70.641929626000007</v>
      </c>
      <c r="E1857">
        <v>50</v>
      </c>
      <c r="F1857">
        <v>49.981021880999997</v>
      </c>
      <c r="G1857">
        <v>1325.8664550999999</v>
      </c>
      <c r="H1857">
        <v>1323.3641356999999</v>
      </c>
      <c r="I1857">
        <v>1338.9392089999999</v>
      </c>
      <c r="J1857">
        <v>1336.4541016000001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1045.036705</v>
      </c>
      <c r="B1858" s="1">
        <f>DATE(2013,3,11) + TIME(0,52,51)</f>
        <v>41344.03670138889</v>
      </c>
      <c r="C1858">
        <v>80</v>
      </c>
      <c r="D1858">
        <v>70.366760253999999</v>
      </c>
      <c r="E1858">
        <v>50</v>
      </c>
      <c r="F1858">
        <v>49.981029509999999</v>
      </c>
      <c r="G1858">
        <v>1325.8204346</v>
      </c>
      <c r="H1858">
        <v>1323.3040771000001</v>
      </c>
      <c r="I1858">
        <v>1338.9342041</v>
      </c>
      <c r="J1858">
        <v>1336.4523925999999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1048.6263690000001</v>
      </c>
      <c r="B1859" s="1">
        <f>DATE(2013,3,14) + TIME(15,1,58)</f>
        <v>41347.62636574074</v>
      </c>
      <c r="C1859">
        <v>80</v>
      </c>
      <c r="D1859">
        <v>70.080322265999996</v>
      </c>
      <c r="E1859">
        <v>50</v>
      </c>
      <c r="F1859">
        <v>49.981033324999999</v>
      </c>
      <c r="G1859">
        <v>1325.7735596</v>
      </c>
      <c r="H1859">
        <v>1323.2427978999999</v>
      </c>
      <c r="I1859">
        <v>1338.9291992000001</v>
      </c>
      <c r="J1859">
        <v>1336.4505615</v>
      </c>
      <c r="K1859">
        <v>0</v>
      </c>
      <c r="L1859">
        <v>2750</v>
      </c>
      <c r="M1859">
        <v>2750</v>
      </c>
      <c r="N1859">
        <v>0</v>
      </c>
    </row>
    <row r="1860" spans="1:14" x14ac:dyDescent="0.25">
      <c r="A1860">
        <v>1052.349667</v>
      </c>
      <c r="B1860" s="1">
        <f>DATE(2013,3,18) + TIME(8,23,31)</f>
        <v>41351.349664351852</v>
      </c>
      <c r="C1860">
        <v>80</v>
      </c>
      <c r="D1860">
        <v>69.779396057</v>
      </c>
      <c r="E1860">
        <v>50</v>
      </c>
      <c r="F1860">
        <v>49.981040954999997</v>
      </c>
      <c r="G1860">
        <v>1325.7259521000001</v>
      </c>
      <c r="H1860">
        <v>1323.1804199000001</v>
      </c>
      <c r="I1860">
        <v>1338.9240723</v>
      </c>
      <c r="J1860">
        <v>1336.4486084</v>
      </c>
      <c r="K1860">
        <v>0</v>
      </c>
      <c r="L1860">
        <v>2750</v>
      </c>
      <c r="M1860">
        <v>2750</v>
      </c>
      <c r="N1860">
        <v>0</v>
      </c>
    </row>
    <row r="1861" spans="1:14" x14ac:dyDescent="0.25">
      <c r="A1861">
        <v>1056.1559010000001</v>
      </c>
      <c r="B1861" s="1">
        <f>DATE(2013,3,22) + TIME(3,44,29)</f>
        <v>41355.155891203707</v>
      </c>
      <c r="C1861">
        <v>80</v>
      </c>
      <c r="D1861">
        <v>69.468231200999995</v>
      </c>
      <c r="E1861">
        <v>50</v>
      </c>
      <c r="F1861">
        <v>49.981048584</v>
      </c>
      <c r="G1861">
        <v>1325.6779785000001</v>
      </c>
      <c r="H1861">
        <v>1323.1174315999999</v>
      </c>
      <c r="I1861">
        <v>1338.9187012</v>
      </c>
      <c r="J1861">
        <v>1336.4465332</v>
      </c>
      <c r="K1861">
        <v>0</v>
      </c>
      <c r="L1861">
        <v>2750</v>
      </c>
      <c r="M1861">
        <v>2750</v>
      </c>
      <c r="N1861">
        <v>0</v>
      </c>
    </row>
    <row r="1862" spans="1:14" x14ac:dyDescent="0.25">
      <c r="A1862">
        <v>1060.046233</v>
      </c>
      <c r="B1862" s="1">
        <f>DATE(2013,3,26) + TIME(1,6,34)</f>
        <v>41359.046226851853</v>
      </c>
      <c r="C1862">
        <v>80</v>
      </c>
      <c r="D1862">
        <v>69.143539429</v>
      </c>
      <c r="E1862">
        <v>50</v>
      </c>
      <c r="F1862">
        <v>49.981056213000002</v>
      </c>
      <c r="G1862">
        <v>1325.6298827999999</v>
      </c>
      <c r="H1862">
        <v>1323.0543213000001</v>
      </c>
      <c r="I1862">
        <v>1338.9134521000001</v>
      </c>
      <c r="J1862">
        <v>1336.4444579999999</v>
      </c>
      <c r="K1862">
        <v>0</v>
      </c>
      <c r="L1862">
        <v>2750</v>
      </c>
      <c r="M1862">
        <v>2750</v>
      </c>
      <c r="N1862">
        <v>0</v>
      </c>
    </row>
    <row r="1863" spans="1:14" x14ac:dyDescent="0.25">
      <c r="A1863">
        <v>1064.00361</v>
      </c>
      <c r="B1863" s="1">
        <f>DATE(2013,3,30) + TIME(0,5,11)</f>
        <v>41363.003599537034</v>
      </c>
      <c r="C1863">
        <v>80</v>
      </c>
      <c r="D1863">
        <v>68.817192078000005</v>
      </c>
      <c r="E1863">
        <v>50</v>
      </c>
      <c r="F1863">
        <v>49.981063843000001</v>
      </c>
      <c r="G1863">
        <v>1325.5820312000001</v>
      </c>
      <c r="H1863">
        <v>1322.9914550999999</v>
      </c>
      <c r="I1863">
        <v>1338.9079589999999</v>
      </c>
      <c r="J1863">
        <v>1336.4422606999999</v>
      </c>
      <c r="K1863">
        <v>0</v>
      </c>
      <c r="L1863">
        <v>2750</v>
      </c>
      <c r="M1863">
        <v>2750</v>
      </c>
      <c r="N1863">
        <v>0</v>
      </c>
    </row>
    <row r="1864" spans="1:14" x14ac:dyDescent="0.25">
      <c r="A1864">
        <v>1066</v>
      </c>
      <c r="B1864" s="1">
        <f>DATE(2013,4,1) + TIME(0,0,0)</f>
        <v>41365</v>
      </c>
      <c r="C1864">
        <v>80</v>
      </c>
      <c r="D1864">
        <v>68.502761840999995</v>
      </c>
      <c r="E1864">
        <v>50</v>
      </c>
      <c r="F1864">
        <v>49.981060028000002</v>
      </c>
      <c r="G1864">
        <v>1325.5347899999999</v>
      </c>
      <c r="H1864">
        <v>1322.9304199000001</v>
      </c>
      <c r="I1864">
        <v>1338.9025879000001</v>
      </c>
      <c r="J1864">
        <v>1336.4400635</v>
      </c>
      <c r="K1864">
        <v>0</v>
      </c>
      <c r="L1864">
        <v>2750</v>
      </c>
      <c r="M1864">
        <v>2750</v>
      </c>
      <c r="N1864">
        <v>0</v>
      </c>
    </row>
    <row r="1865" spans="1:14" x14ac:dyDescent="0.25">
      <c r="A1865">
        <v>1069.9967730000001</v>
      </c>
      <c r="B1865" s="1">
        <f>DATE(2013,4,4) + TIME(23,55,21)</f>
        <v>41368.996770833335</v>
      </c>
      <c r="C1865">
        <v>80</v>
      </c>
      <c r="D1865">
        <v>68.291053771999998</v>
      </c>
      <c r="E1865">
        <v>50</v>
      </c>
      <c r="F1865">
        <v>49.981079102000002</v>
      </c>
      <c r="G1865">
        <v>1325.5053711</v>
      </c>
      <c r="H1865">
        <v>1322.8869629000001</v>
      </c>
      <c r="I1865">
        <v>1338.8999022999999</v>
      </c>
      <c r="J1865">
        <v>1336.4389647999999</v>
      </c>
      <c r="K1865">
        <v>0</v>
      </c>
      <c r="L1865">
        <v>2750</v>
      </c>
      <c r="M1865">
        <v>2750</v>
      </c>
      <c r="N1865">
        <v>0</v>
      </c>
    </row>
    <row r="1866" spans="1:14" x14ac:dyDescent="0.25">
      <c r="A1866">
        <v>1074.1405010000001</v>
      </c>
      <c r="B1866" s="1">
        <f>DATE(2013,4,9) + TIME(3,22,19)</f>
        <v>41373.140497685185</v>
      </c>
      <c r="C1866">
        <v>80</v>
      </c>
      <c r="D1866">
        <v>67.949821471999996</v>
      </c>
      <c r="E1866">
        <v>50</v>
      </c>
      <c r="F1866">
        <v>49.981090545999997</v>
      </c>
      <c r="G1866">
        <v>1325.4644774999999</v>
      </c>
      <c r="H1866">
        <v>1322.8360596</v>
      </c>
      <c r="I1866">
        <v>1338.8945312000001</v>
      </c>
      <c r="J1866">
        <v>1336.4366454999999</v>
      </c>
      <c r="K1866">
        <v>0</v>
      </c>
      <c r="L1866">
        <v>2750</v>
      </c>
      <c r="M1866">
        <v>2750</v>
      </c>
      <c r="N1866">
        <v>0</v>
      </c>
    </row>
    <row r="1867" spans="1:14" x14ac:dyDescent="0.25">
      <c r="A1867">
        <v>1078.4338540000001</v>
      </c>
      <c r="B1867" s="1">
        <f>DATE(2013,4,13) + TIME(10,24,45)</f>
        <v>41377.433854166666</v>
      </c>
      <c r="C1867">
        <v>80</v>
      </c>
      <c r="D1867">
        <v>67.603561400999993</v>
      </c>
      <c r="E1867">
        <v>50</v>
      </c>
      <c r="F1867">
        <v>49.981101989999999</v>
      </c>
      <c r="G1867">
        <v>1325.4193115</v>
      </c>
      <c r="H1867">
        <v>1322.7768555</v>
      </c>
      <c r="I1867">
        <v>1338.8890381000001</v>
      </c>
      <c r="J1867">
        <v>1336.4342041</v>
      </c>
      <c r="K1867">
        <v>0</v>
      </c>
      <c r="L1867">
        <v>2750</v>
      </c>
      <c r="M1867">
        <v>2750</v>
      </c>
      <c r="N1867">
        <v>0</v>
      </c>
    </row>
    <row r="1868" spans="1:14" x14ac:dyDescent="0.25">
      <c r="A1868">
        <v>1080.6781739999999</v>
      </c>
      <c r="B1868" s="1">
        <f>DATE(2013,4,15) + TIME(16,16,34)</f>
        <v>41379.678171296298</v>
      </c>
      <c r="C1868">
        <v>80</v>
      </c>
      <c r="D1868">
        <v>67.236145019999995</v>
      </c>
      <c r="E1868">
        <v>50</v>
      </c>
      <c r="F1868">
        <v>49.981098175</v>
      </c>
      <c r="G1868">
        <v>1325.3726807</v>
      </c>
      <c r="H1868">
        <v>1322.7161865</v>
      </c>
      <c r="I1868">
        <v>1338.8834228999999</v>
      </c>
      <c r="J1868">
        <v>1336.4316406</v>
      </c>
      <c r="K1868">
        <v>0</v>
      </c>
      <c r="L1868">
        <v>2750</v>
      </c>
      <c r="M1868">
        <v>2750</v>
      </c>
      <c r="N1868">
        <v>0</v>
      </c>
    </row>
    <row r="1869" spans="1:14" x14ac:dyDescent="0.25">
      <c r="A1869">
        <v>1082.8225829999999</v>
      </c>
      <c r="B1869" s="1">
        <f>DATE(2013,4,17) + TIME(19,44,31)</f>
        <v>41381.822581018518</v>
      </c>
      <c r="C1869">
        <v>80</v>
      </c>
      <c r="D1869">
        <v>67.037933350000003</v>
      </c>
      <c r="E1869">
        <v>50</v>
      </c>
      <c r="F1869">
        <v>49.981101989999999</v>
      </c>
      <c r="G1869">
        <v>1325.3443603999999</v>
      </c>
      <c r="H1869">
        <v>1322.6757812000001</v>
      </c>
      <c r="I1869">
        <v>1338.8804932</v>
      </c>
      <c r="J1869">
        <v>1336.4302978999999</v>
      </c>
      <c r="K1869">
        <v>0</v>
      </c>
      <c r="L1869">
        <v>2750</v>
      </c>
      <c r="M1869">
        <v>2750</v>
      </c>
      <c r="N1869">
        <v>0</v>
      </c>
    </row>
    <row r="1870" spans="1:14" x14ac:dyDescent="0.25">
      <c r="A1870">
        <v>1084.9669919999999</v>
      </c>
      <c r="B1870" s="1">
        <f>DATE(2013,4,19) + TIME(23,12,28)</f>
        <v>41383.966990740744</v>
      </c>
      <c r="C1870">
        <v>80</v>
      </c>
      <c r="D1870">
        <v>66.826919556000007</v>
      </c>
      <c r="E1870">
        <v>50</v>
      </c>
      <c r="F1870">
        <v>49.981109619000001</v>
      </c>
      <c r="G1870">
        <v>1325.3206786999999</v>
      </c>
      <c r="H1870">
        <v>1322.6434326000001</v>
      </c>
      <c r="I1870">
        <v>1338.8778076000001</v>
      </c>
      <c r="J1870">
        <v>1336.4289550999999</v>
      </c>
      <c r="K1870">
        <v>0</v>
      </c>
      <c r="L1870">
        <v>2750</v>
      </c>
      <c r="M1870">
        <v>2750</v>
      </c>
      <c r="N1870">
        <v>0</v>
      </c>
    </row>
    <row r="1871" spans="1:14" x14ac:dyDescent="0.25">
      <c r="A1871">
        <v>1087.1114009999999</v>
      </c>
      <c r="B1871" s="1">
        <f>DATE(2013,4,22) + TIME(2,40,25)</f>
        <v>41386.111400462964</v>
      </c>
      <c r="C1871">
        <v>80</v>
      </c>
      <c r="D1871">
        <v>66.644645690999994</v>
      </c>
      <c r="E1871">
        <v>50</v>
      </c>
      <c r="F1871">
        <v>49.981113434000001</v>
      </c>
      <c r="G1871">
        <v>1325.2984618999999</v>
      </c>
      <c r="H1871">
        <v>1322.6136475000001</v>
      </c>
      <c r="I1871">
        <v>1338.875</v>
      </c>
      <c r="J1871">
        <v>1336.4277344</v>
      </c>
      <c r="K1871">
        <v>0</v>
      </c>
      <c r="L1871">
        <v>2750</v>
      </c>
      <c r="M1871">
        <v>2750</v>
      </c>
      <c r="N1871">
        <v>0</v>
      </c>
    </row>
    <row r="1872" spans="1:14" x14ac:dyDescent="0.25">
      <c r="A1872">
        <v>1089.2558100000001</v>
      </c>
      <c r="B1872" s="1">
        <f>DATE(2013,4,24) + TIME(6,8,21)</f>
        <v>41388.255798611113</v>
      </c>
      <c r="C1872">
        <v>80</v>
      </c>
      <c r="D1872">
        <v>66.445343018000003</v>
      </c>
      <c r="E1872">
        <v>50</v>
      </c>
      <c r="F1872">
        <v>49.981121063000003</v>
      </c>
      <c r="G1872">
        <v>1325.2769774999999</v>
      </c>
      <c r="H1872">
        <v>1322.5852050999999</v>
      </c>
      <c r="I1872">
        <v>1338.8723144999999</v>
      </c>
      <c r="J1872">
        <v>1336.4263916</v>
      </c>
      <c r="K1872">
        <v>0</v>
      </c>
      <c r="L1872">
        <v>2750</v>
      </c>
      <c r="M1872">
        <v>2750</v>
      </c>
      <c r="N1872">
        <v>0</v>
      </c>
    </row>
    <row r="1873" spans="1:14" x14ac:dyDescent="0.25">
      <c r="A1873">
        <v>1091.4002190000001</v>
      </c>
      <c r="B1873" s="1">
        <f>DATE(2013,4,26) + TIME(9,36,18)</f>
        <v>41390.400208333333</v>
      </c>
      <c r="C1873">
        <v>80</v>
      </c>
      <c r="D1873">
        <v>66.257591247999997</v>
      </c>
      <c r="E1873">
        <v>50</v>
      </c>
      <c r="F1873">
        <v>49.981128693000002</v>
      </c>
      <c r="G1873">
        <v>1325.2559814000001</v>
      </c>
      <c r="H1873">
        <v>1322.5573730000001</v>
      </c>
      <c r="I1873">
        <v>1338.8696289</v>
      </c>
      <c r="J1873">
        <v>1336.4250488</v>
      </c>
      <c r="K1873">
        <v>0</v>
      </c>
      <c r="L1873">
        <v>2750</v>
      </c>
      <c r="M1873">
        <v>2750</v>
      </c>
      <c r="N1873">
        <v>0</v>
      </c>
    </row>
    <row r="1874" spans="1:14" x14ac:dyDescent="0.25">
      <c r="A1874">
        <v>1093.5446280000001</v>
      </c>
      <c r="B1874" s="1">
        <f>DATE(2013,4,28) + TIME(13,4,15)</f>
        <v>41392.544618055559</v>
      </c>
      <c r="C1874">
        <v>80</v>
      </c>
      <c r="D1874">
        <v>66.061080933</v>
      </c>
      <c r="E1874">
        <v>50</v>
      </c>
      <c r="F1874">
        <v>49.981136321999998</v>
      </c>
      <c r="G1874">
        <v>1325.2353516000001</v>
      </c>
      <c r="H1874">
        <v>1322.5300293</v>
      </c>
      <c r="I1874">
        <v>1338.8668213000001</v>
      </c>
      <c r="J1874">
        <v>1336.4237060999999</v>
      </c>
      <c r="K1874">
        <v>0</v>
      </c>
      <c r="L1874">
        <v>2750</v>
      </c>
      <c r="M1874">
        <v>2750</v>
      </c>
      <c r="N1874">
        <v>0</v>
      </c>
    </row>
    <row r="1875" spans="1:14" x14ac:dyDescent="0.25">
      <c r="A1875">
        <v>1096</v>
      </c>
      <c r="B1875" s="1">
        <f>DATE(2013,5,1) + TIME(0,0,0)</f>
        <v>41395</v>
      </c>
      <c r="C1875">
        <v>80</v>
      </c>
      <c r="D1875">
        <v>65.865524292000003</v>
      </c>
      <c r="E1875">
        <v>50</v>
      </c>
      <c r="F1875">
        <v>49.981143951</v>
      </c>
      <c r="G1875">
        <v>1325.2155762</v>
      </c>
      <c r="H1875">
        <v>1322.5039062000001</v>
      </c>
      <c r="I1875">
        <v>1338.8641356999999</v>
      </c>
      <c r="J1875">
        <v>1336.4224853999999</v>
      </c>
      <c r="K1875">
        <v>0</v>
      </c>
      <c r="L1875">
        <v>2750</v>
      </c>
      <c r="M1875">
        <v>2750</v>
      </c>
      <c r="N1875">
        <v>0</v>
      </c>
    </row>
    <row r="1876" spans="1:14" x14ac:dyDescent="0.25">
      <c r="A1876">
        <v>1096.0000010000001</v>
      </c>
      <c r="B1876" s="1">
        <f>DATE(2013,5,1) + TIME(0,0,0)</f>
        <v>41395</v>
      </c>
      <c r="C1876">
        <v>80</v>
      </c>
      <c r="D1876">
        <v>65.865699767999999</v>
      </c>
      <c r="E1876">
        <v>50</v>
      </c>
      <c r="F1876">
        <v>49.981052398999999</v>
      </c>
      <c r="G1876">
        <v>1328.9078368999999</v>
      </c>
      <c r="H1876">
        <v>1326.3000488</v>
      </c>
      <c r="I1876">
        <v>1335.6722411999999</v>
      </c>
      <c r="J1876">
        <v>1333.7197266000001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1096.000004</v>
      </c>
      <c r="B1877" s="1">
        <f>DATE(2013,5,1) + TIME(0,0,0)</f>
        <v>41395</v>
      </c>
      <c r="C1877">
        <v>80</v>
      </c>
      <c r="D1877">
        <v>65.865982056000007</v>
      </c>
      <c r="E1877">
        <v>50</v>
      </c>
      <c r="F1877">
        <v>49.980903625000003</v>
      </c>
      <c r="G1877">
        <v>1330.2729492000001</v>
      </c>
      <c r="H1877">
        <v>1327.7951660000001</v>
      </c>
      <c r="I1877">
        <v>1334.5004882999999</v>
      </c>
      <c r="J1877">
        <v>1332.5480957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1096.0000130000001</v>
      </c>
      <c r="B1878" s="1">
        <f>DATE(2013,5,1) + TIME(0,0,1)</f>
        <v>41395.000011574077</v>
      </c>
      <c r="C1878">
        <v>80</v>
      </c>
      <c r="D1878">
        <v>65.866455078000001</v>
      </c>
      <c r="E1878">
        <v>50</v>
      </c>
      <c r="F1878">
        <v>49.980735779</v>
      </c>
      <c r="G1878">
        <v>1331.9061279</v>
      </c>
      <c r="H1878">
        <v>1329.3983154</v>
      </c>
      <c r="I1878">
        <v>1333.1722411999999</v>
      </c>
      <c r="J1878">
        <v>1331.2203368999999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1096.0000399999999</v>
      </c>
      <c r="B1879" s="1">
        <f>DATE(2013,5,1) + TIME(0,0,3)</f>
        <v>41395.000034722223</v>
      </c>
      <c r="C1879">
        <v>80</v>
      </c>
      <c r="D1879">
        <v>65.867454529</v>
      </c>
      <c r="E1879">
        <v>50</v>
      </c>
      <c r="F1879">
        <v>49.980567932</v>
      </c>
      <c r="G1879">
        <v>1333.5555420000001</v>
      </c>
      <c r="H1879">
        <v>1330.979126</v>
      </c>
      <c r="I1879">
        <v>1331.8717041</v>
      </c>
      <c r="J1879">
        <v>1329.9199219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1096.000121</v>
      </c>
      <c r="B1880" s="1">
        <f>DATE(2013,5,1) + TIME(0,0,10)</f>
        <v>41395.000115740739</v>
      </c>
      <c r="C1880">
        <v>80</v>
      </c>
      <c r="D1880">
        <v>65.870094299000002</v>
      </c>
      <c r="E1880">
        <v>50</v>
      </c>
      <c r="F1880">
        <v>49.980400084999999</v>
      </c>
      <c r="G1880">
        <v>1335.1711425999999</v>
      </c>
      <c r="H1880">
        <v>1332.5296631000001</v>
      </c>
      <c r="I1880">
        <v>1330.5939940999999</v>
      </c>
      <c r="J1880">
        <v>1328.6362305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1096.000364</v>
      </c>
      <c r="B1881" s="1">
        <f>DATE(2013,5,1) + TIME(0,0,31)</f>
        <v>41395.000358796293</v>
      </c>
      <c r="C1881">
        <v>80</v>
      </c>
      <c r="D1881">
        <v>65.877761840999995</v>
      </c>
      <c r="E1881">
        <v>50</v>
      </c>
      <c r="F1881">
        <v>49.980213165000002</v>
      </c>
      <c r="G1881">
        <v>1336.7569579999999</v>
      </c>
      <c r="H1881">
        <v>1334.0488281</v>
      </c>
      <c r="I1881">
        <v>1329.2983397999999</v>
      </c>
      <c r="J1881">
        <v>1327.3165283000001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1096.0010930000001</v>
      </c>
      <c r="B1882" s="1">
        <f>DATE(2013,5,1) + TIME(0,1,34)</f>
        <v>41395.001087962963</v>
      </c>
      <c r="C1882">
        <v>80</v>
      </c>
      <c r="D1882">
        <v>65.900817871000001</v>
      </c>
      <c r="E1882">
        <v>50</v>
      </c>
      <c r="F1882">
        <v>49.979980468999997</v>
      </c>
      <c r="G1882">
        <v>1338.1982422000001</v>
      </c>
      <c r="H1882">
        <v>1335.4272461</v>
      </c>
      <c r="I1882">
        <v>1328.0288086</v>
      </c>
      <c r="J1882">
        <v>1326.0098877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1096.0032799999999</v>
      </c>
      <c r="B1883" s="1">
        <f>DATE(2013,5,1) + TIME(0,4,43)</f>
        <v>41395.003275462965</v>
      </c>
      <c r="C1883">
        <v>80</v>
      </c>
      <c r="D1883">
        <v>65.970230103000006</v>
      </c>
      <c r="E1883">
        <v>50</v>
      </c>
      <c r="F1883">
        <v>49.979637146000002</v>
      </c>
      <c r="G1883">
        <v>1339.2454834</v>
      </c>
      <c r="H1883">
        <v>1336.4366454999999</v>
      </c>
      <c r="I1883">
        <v>1327.0069579999999</v>
      </c>
      <c r="J1883">
        <v>1324.9630127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1096.0098410000001</v>
      </c>
      <c r="B1884" s="1">
        <f>DATE(2013,5,1) + TIME(0,14,10)</f>
        <v>41395.009837962964</v>
      </c>
      <c r="C1884">
        <v>80</v>
      </c>
      <c r="D1884">
        <v>66.175949097</v>
      </c>
      <c r="E1884">
        <v>50</v>
      </c>
      <c r="F1884">
        <v>49.978919982999997</v>
      </c>
      <c r="G1884">
        <v>1339.7648925999999</v>
      </c>
      <c r="H1884">
        <v>1336.9519043</v>
      </c>
      <c r="I1884">
        <v>1326.4643555</v>
      </c>
      <c r="J1884">
        <v>1324.4116211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1096.0271660000001</v>
      </c>
      <c r="B1885" s="1">
        <f>DATE(2013,5,1) + TIME(0,39,7)</f>
        <v>41395.02716435185</v>
      </c>
      <c r="C1885">
        <v>80</v>
      </c>
      <c r="D1885">
        <v>66.697868346999996</v>
      </c>
      <c r="E1885">
        <v>50</v>
      </c>
      <c r="F1885">
        <v>49.977218628000003</v>
      </c>
      <c r="G1885">
        <v>1339.8759766000001</v>
      </c>
      <c r="H1885">
        <v>1337.0864257999999</v>
      </c>
      <c r="I1885">
        <v>1326.3304443</v>
      </c>
      <c r="J1885">
        <v>1324.276001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1096.0448249999999</v>
      </c>
      <c r="B1886" s="1">
        <f>DATE(2013,5,1) + TIME(1,4,32)</f>
        <v>41395.044814814813</v>
      </c>
      <c r="C1886">
        <v>80</v>
      </c>
      <c r="D1886">
        <v>67.211090088000006</v>
      </c>
      <c r="E1886">
        <v>50</v>
      </c>
      <c r="F1886">
        <v>49.975513458000002</v>
      </c>
      <c r="G1886">
        <v>1339.8903809000001</v>
      </c>
      <c r="H1886">
        <v>1337.1109618999999</v>
      </c>
      <c r="I1886">
        <v>1326.3188477000001</v>
      </c>
      <c r="J1886">
        <v>1324.2642822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1096.0628509999999</v>
      </c>
      <c r="B1887" s="1">
        <f>DATE(2013,5,1) + TIME(1,30,30)</f>
        <v>41395.062847222223</v>
      </c>
      <c r="C1887">
        <v>80</v>
      </c>
      <c r="D1887">
        <v>67.716087341000005</v>
      </c>
      <c r="E1887">
        <v>50</v>
      </c>
      <c r="F1887">
        <v>49.973785399999997</v>
      </c>
      <c r="G1887">
        <v>1339.8891602000001</v>
      </c>
      <c r="H1887">
        <v>1337.1192627</v>
      </c>
      <c r="I1887">
        <v>1326.3186035000001</v>
      </c>
      <c r="J1887">
        <v>1324.2639160000001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1096.081259</v>
      </c>
      <c r="B1888" s="1">
        <f>DATE(2013,5,1) + TIME(1,57,0)</f>
        <v>41395.081250000003</v>
      </c>
      <c r="C1888">
        <v>80</v>
      </c>
      <c r="D1888">
        <v>68.212875366000006</v>
      </c>
      <c r="E1888">
        <v>50</v>
      </c>
      <c r="F1888">
        <v>49.97203064</v>
      </c>
      <c r="G1888">
        <v>1339.8875731999999</v>
      </c>
      <c r="H1888">
        <v>1337.1259766000001</v>
      </c>
      <c r="I1888">
        <v>1326.3188477000001</v>
      </c>
      <c r="J1888">
        <v>1324.2641602000001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1096.10007</v>
      </c>
      <c r="B1889" s="1">
        <f>DATE(2013,5,1) + TIME(2,24,6)</f>
        <v>41395.100069444445</v>
      </c>
      <c r="C1889">
        <v>80</v>
      </c>
      <c r="D1889">
        <v>68.701438904</v>
      </c>
      <c r="E1889">
        <v>50</v>
      </c>
      <c r="F1889">
        <v>49.970256804999998</v>
      </c>
      <c r="G1889">
        <v>1339.8876952999999</v>
      </c>
      <c r="H1889">
        <v>1337.1334228999999</v>
      </c>
      <c r="I1889">
        <v>1326.3189697</v>
      </c>
      <c r="J1889">
        <v>1324.2642822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1096.1193020000001</v>
      </c>
      <c r="B1890" s="1">
        <f>DATE(2013,5,1) + TIME(2,51,47)</f>
        <v>41395.119293981479</v>
      </c>
      <c r="C1890">
        <v>80</v>
      </c>
      <c r="D1890">
        <v>69.181747436999999</v>
      </c>
      <c r="E1890">
        <v>50</v>
      </c>
      <c r="F1890">
        <v>49.968452454000001</v>
      </c>
      <c r="G1890">
        <v>1339.8900146000001</v>
      </c>
      <c r="H1890">
        <v>1337.1419678</v>
      </c>
      <c r="I1890">
        <v>1326.3190918</v>
      </c>
      <c r="J1890">
        <v>1324.2642822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1096.1389750000001</v>
      </c>
      <c r="B1891" s="1">
        <f>DATE(2013,5,1) + TIME(3,20,7)</f>
        <v>41395.138969907406</v>
      </c>
      <c r="C1891">
        <v>80</v>
      </c>
      <c r="D1891">
        <v>69.653755188000005</v>
      </c>
      <c r="E1891">
        <v>50</v>
      </c>
      <c r="F1891">
        <v>49.966625213999997</v>
      </c>
      <c r="G1891">
        <v>1339.8942870999999</v>
      </c>
      <c r="H1891">
        <v>1337.1516113</v>
      </c>
      <c r="I1891">
        <v>1326.3192139</v>
      </c>
      <c r="J1891">
        <v>1324.2642822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1096.1591100000001</v>
      </c>
      <c r="B1892" s="1">
        <f>DATE(2013,5,1) + TIME(3,49,7)</f>
        <v>41395.159108796295</v>
      </c>
      <c r="C1892">
        <v>80</v>
      </c>
      <c r="D1892">
        <v>70.117218018000003</v>
      </c>
      <c r="E1892">
        <v>50</v>
      </c>
      <c r="F1892">
        <v>49.964767455999997</v>
      </c>
      <c r="G1892">
        <v>1339.9007568</v>
      </c>
      <c r="H1892">
        <v>1337.1623535000001</v>
      </c>
      <c r="I1892">
        <v>1326.3192139</v>
      </c>
      <c r="J1892">
        <v>1324.2642822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1096.1797320000001</v>
      </c>
      <c r="B1893" s="1">
        <f>DATE(2013,5,1) + TIME(4,18,48)</f>
        <v>41395.179722222223</v>
      </c>
      <c r="C1893">
        <v>80</v>
      </c>
      <c r="D1893">
        <v>70.571990967000005</v>
      </c>
      <c r="E1893">
        <v>50</v>
      </c>
      <c r="F1893">
        <v>49.962879180999998</v>
      </c>
      <c r="G1893">
        <v>1339.9090576000001</v>
      </c>
      <c r="H1893">
        <v>1337.1741943</v>
      </c>
      <c r="I1893">
        <v>1326.3192139</v>
      </c>
      <c r="J1893">
        <v>1324.2642822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1096.20084</v>
      </c>
      <c r="B1894" s="1">
        <f>DATE(2013,5,1) + TIME(4,49,12)</f>
        <v>41395.200833333336</v>
      </c>
      <c r="C1894">
        <v>80</v>
      </c>
      <c r="D1894">
        <v>71.017662048000005</v>
      </c>
      <c r="E1894">
        <v>50</v>
      </c>
      <c r="F1894">
        <v>49.960960387999997</v>
      </c>
      <c r="G1894">
        <v>1339.9193115</v>
      </c>
      <c r="H1894">
        <v>1337.1870117000001</v>
      </c>
      <c r="I1894">
        <v>1326.3193358999999</v>
      </c>
      <c r="J1894">
        <v>1324.2642822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1096.22244</v>
      </c>
      <c r="B1895" s="1">
        <f>DATE(2013,5,1) + TIME(5,20,18)</f>
        <v>41395.222430555557</v>
      </c>
      <c r="C1895">
        <v>80</v>
      </c>
      <c r="D1895">
        <v>71.453758239999999</v>
      </c>
      <c r="E1895">
        <v>50</v>
      </c>
      <c r="F1895">
        <v>49.959014893000003</v>
      </c>
      <c r="G1895">
        <v>1339.9313964999999</v>
      </c>
      <c r="H1895">
        <v>1337.2008057</v>
      </c>
      <c r="I1895">
        <v>1326.3193358999999</v>
      </c>
      <c r="J1895">
        <v>1324.2641602000001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1096.2445560000001</v>
      </c>
      <c r="B1896" s="1">
        <f>DATE(2013,5,1) + TIME(5,52,9)</f>
        <v>41395.24454861111</v>
      </c>
      <c r="C1896">
        <v>80</v>
      </c>
      <c r="D1896">
        <v>71.880187988000003</v>
      </c>
      <c r="E1896">
        <v>50</v>
      </c>
      <c r="F1896">
        <v>49.957035064999999</v>
      </c>
      <c r="G1896">
        <v>1339.9451904</v>
      </c>
      <c r="H1896">
        <v>1337.2155762</v>
      </c>
      <c r="I1896">
        <v>1326.3193358999999</v>
      </c>
      <c r="J1896">
        <v>1324.2641602000001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1096.2672150000001</v>
      </c>
      <c r="B1897" s="1">
        <f>DATE(2013,5,1) + TIME(6,24,47)</f>
        <v>41395.267210648148</v>
      </c>
      <c r="C1897">
        <v>80</v>
      </c>
      <c r="D1897">
        <v>72.296859741000006</v>
      </c>
      <c r="E1897">
        <v>50</v>
      </c>
      <c r="F1897">
        <v>49.955028534</v>
      </c>
      <c r="G1897">
        <v>1339.9605713000001</v>
      </c>
      <c r="H1897">
        <v>1337.2312012</v>
      </c>
      <c r="I1897">
        <v>1326.3193358999999</v>
      </c>
      <c r="J1897">
        <v>1324.2640381000001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1096.290446</v>
      </c>
      <c r="B1898" s="1">
        <f>DATE(2013,5,1) + TIME(6,58,14)</f>
        <v>41395.290439814817</v>
      </c>
      <c r="C1898">
        <v>80</v>
      </c>
      <c r="D1898">
        <v>72.703659058</v>
      </c>
      <c r="E1898">
        <v>50</v>
      </c>
      <c r="F1898">
        <v>49.952983856000003</v>
      </c>
      <c r="G1898">
        <v>1339.9775391000001</v>
      </c>
      <c r="H1898">
        <v>1337.2475586</v>
      </c>
      <c r="I1898">
        <v>1326.3193358999999</v>
      </c>
      <c r="J1898">
        <v>1324.2639160000001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1096.314275</v>
      </c>
      <c r="B1899" s="1">
        <f>DATE(2013,5,1) + TIME(7,32,33)</f>
        <v>41395.314270833333</v>
      </c>
      <c r="C1899">
        <v>80</v>
      </c>
      <c r="D1899">
        <v>73.100395203000005</v>
      </c>
      <c r="E1899">
        <v>50</v>
      </c>
      <c r="F1899">
        <v>49.950904846</v>
      </c>
      <c r="G1899">
        <v>1339.9958495999999</v>
      </c>
      <c r="H1899">
        <v>1337.2646483999999</v>
      </c>
      <c r="I1899">
        <v>1326.3192139</v>
      </c>
      <c r="J1899">
        <v>1324.2637939000001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1096.3387359999999</v>
      </c>
      <c r="B1900" s="1">
        <f>DATE(2013,5,1) + TIME(8,7,46)</f>
        <v>41395.338726851849</v>
      </c>
      <c r="C1900">
        <v>80</v>
      </c>
      <c r="D1900">
        <v>73.486961364999999</v>
      </c>
      <c r="E1900">
        <v>50</v>
      </c>
      <c r="F1900">
        <v>49.948787689</v>
      </c>
      <c r="G1900">
        <v>1340.015625</v>
      </c>
      <c r="H1900">
        <v>1337.2825928</v>
      </c>
      <c r="I1900">
        <v>1326.3192139</v>
      </c>
      <c r="J1900">
        <v>1324.2636719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1096.3638659999999</v>
      </c>
      <c r="B1901" s="1">
        <f>DATE(2013,5,1) + TIME(8,43,58)</f>
        <v>41395.363865740743</v>
      </c>
      <c r="C1901">
        <v>80</v>
      </c>
      <c r="D1901">
        <v>73.863235474000007</v>
      </c>
      <c r="E1901">
        <v>50</v>
      </c>
      <c r="F1901">
        <v>49.946628570999998</v>
      </c>
      <c r="G1901">
        <v>1340.0366211</v>
      </c>
      <c r="H1901">
        <v>1337.3011475000001</v>
      </c>
      <c r="I1901">
        <v>1326.3190918</v>
      </c>
      <c r="J1901">
        <v>1324.2635498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1096.3897019999999</v>
      </c>
      <c r="B1902" s="1">
        <f>DATE(2013,5,1) + TIME(9,21,10)</f>
        <v>41395.389699074076</v>
      </c>
      <c r="C1902">
        <v>80</v>
      </c>
      <c r="D1902">
        <v>74.229057311999995</v>
      </c>
      <c r="E1902">
        <v>50</v>
      </c>
      <c r="F1902">
        <v>49.944431305000002</v>
      </c>
      <c r="G1902">
        <v>1340.0588379000001</v>
      </c>
      <c r="H1902">
        <v>1337.3203125</v>
      </c>
      <c r="I1902">
        <v>1326.3190918</v>
      </c>
      <c r="J1902">
        <v>1324.2634277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1096.4162839999999</v>
      </c>
      <c r="B1903" s="1">
        <f>DATE(2013,5,1) + TIME(9,59,26)</f>
        <v>41395.416273148148</v>
      </c>
      <c r="C1903">
        <v>80</v>
      </c>
      <c r="D1903">
        <v>74.584259032999995</v>
      </c>
      <c r="E1903">
        <v>50</v>
      </c>
      <c r="F1903">
        <v>49.942188262999998</v>
      </c>
      <c r="G1903">
        <v>1340.0822754000001</v>
      </c>
      <c r="H1903">
        <v>1337.3399658000001</v>
      </c>
      <c r="I1903">
        <v>1326.3189697</v>
      </c>
      <c r="J1903">
        <v>1324.2633057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1096.4436559999999</v>
      </c>
      <c r="B1904" s="1">
        <f>DATE(2013,5,1) + TIME(10,38,51)</f>
        <v>41395.443645833337</v>
      </c>
      <c r="C1904">
        <v>80</v>
      </c>
      <c r="D1904">
        <v>74.928680420000006</v>
      </c>
      <c r="E1904">
        <v>50</v>
      </c>
      <c r="F1904">
        <v>49.939899445000002</v>
      </c>
      <c r="G1904">
        <v>1340.1066894999999</v>
      </c>
      <c r="H1904">
        <v>1337.3603516000001</v>
      </c>
      <c r="I1904">
        <v>1326.3189697</v>
      </c>
      <c r="J1904">
        <v>1324.2631836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1096.471863</v>
      </c>
      <c r="B1905" s="1">
        <f>DATE(2013,5,1) + TIME(11,19,29)</f>
        <v>41395.471863425926</v>
      </c>
      <c r="C1905">
        <v>80</v>
      </c>
      <c r="D1905">
        <v>75.261940002000003</v>
      </c>
      <c r="E1905">
        <v>50</v>
      </c>
      <c r="F1905">
        <v>49.937557220000002</v>
      </c>
      <c r="G1905">
        <v>1340.1320800999999</v>
      </c>
      <c r="H1905">
        <v>1337.3811035000001</v>
      </c>
      <c r="I1905">
        <v>1326.3188477000001</v>
      </c>
      <c r="J1905">
        <v>1324.2629394999999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1096.500957</v>
      </c>
      <c r="B1906" s="1">
        <f>DATE(2013,5,1) + TIME(12,1,22)</f>
        <v>41395.500949074078</v>
      </c>
      <c r="C1906">
        <v>80</v>
      </c>
      <c r="D1906">
        <v>75.584014893000003</v>
      </c>
      <c r="E1906">
        <v>50</v>
      </c>
      <c r="F1906">
        <v>49.935165404999999</v>
      </c>
      <c r="G1906">
        <v>1340.1584473</v>
      </c>
      <c r="H1906">
        <v>1337.4022216999999</v>
      </c>
      <c r="I1906">
        <v>1326.3187256000001</v>
      </c>
      <c r="J1906">
        <v>1324.2628173999999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1096.530992</v>
      </c>
      <c r="B1907" s="1">
        <f>DATE(2013,5,1) + TIME(12,44,37)</f>
        <v>41395.5309837963</v>
      </c>
      <c r="C1907">
        <v>80</v>
      </c>
      <c r="D1907">
        <v>75.894783020000006</v>
      </c>
      <c r="E1907">
        <v>50</v>
      </c>
      <c r="F1907">
        <v>49.932720183999997</v>
      </c>
      <c r="G1907">
        <v>1340.1855469</v>
      </c>
      <c r="H1907">
        <v>1337.4238281</v>
      </c>
      <c r="I1907">
        <v>1326.3186035000001</v>
      </c>
      <c r="J1907">
        <v>1324.2625731999999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1096.5620269999999</v>
      </c>
      <c r="B1908" s="1">
        <f>DATE(2013,5,1) + TIME(13,29,19)</f>
        <v>41395.562025462961</v>
      </c>
      <c r="C1908">
        <v>80</v>
      </c>
      <c r="D1908">
        <v>76.194076538000004</v>
      </c>
      <c r="E1908">
        <v>50</v>
      </c>
      <c r="F1908">
        <v>49.930213928000001</v>
      </c>
      <c r="G1908">
        <v>1340.2133789</v>
      </c>
      <c r="H1908">
        <v>1337.4456786999999</v>
      </c>
      <c r="I1908">
        <v>1326.3184814000001</v>
      </c>
      <c r="J1908">
        <v>1324.2623291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1096.5941339999999</v>
      </c>
      <c r="B1909" s="1">
        <f>DATE(2013,5,1) + TIME(14,15,33)</f>
        <v>41395.594131944446</v>
      </c>
      <c r="C1909">
        <v>80</v>
      </c>
      <c r="D1909">
        <v>76.481788635000001</v>
      </c>
      <c r="E1909">
        <v>50</v>
      </c>
      <c r="F1909">
        <v>49.927642822000003</v>
      </c>
      <c r="G1909">
        <v>1340.2419434000001</v>
      </c>
      <c r="H1909">
        <v>1337.4678954999999</v>
      </c>
      <c r="I1909">
        <v>1326.3183594</v>
      </c>
      <c r="J1909">
        <v>1324.2620850000001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1096.627387</v>
      </c>
      <c r="B1910" s="1">
        <f>DATE(2013,5,1) + TIME(15,3,26)</f>
        <v>41395.627384259256</v>
      </c>
      <c r="C1910">
        <v>80</v>
      </c>
      <c r="D1910">
        <v>76.7578125</v>
      </c>
      <c r="E1910">
        <v>50</v>
      </c>
      <c r="F1910">
        <v>49.925006865999997</v>
      </c>
      <c r="G1910">
        <v>1340.2711182</v>
      </c>
      <c r="H1910">
        <v>1337.4903564000001</v>
      </c>
      <c r="I1910">
        <v>1326.3182373</v>
      </c>
      <c r="J1910">
        <v>1324.2618408000001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1096.6618559999999</v>
      </c>
      <c r="B1911" s="1">
        <f>DATE(2013,5,1) + TIME(15,53,4)</f>
        <v>41395.661851851852</v>
      </c>
      <c r="C1911">
        <v>80</v>
      </c>
      <c r="D1911">
        <v>77.021919249999996</v>
      </c>
      <c r="E1911">
        <v>50</v>
      </c>
      <c r="F1911">
        <v>49.922294616999999</v>
      </c>
      <c r="G1911">
        <v>1340.3006591999999</v>
      </c>
      <c r="H1911">
        <v>1337.5129394999999</v>
      </c>
      <c r="I1911">
        <v>1326.3181152</v>
      </c>
      <c r="J1911">
        <v>1324.2615966999999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1096.697625</v>
      </c>
      <c r="B1912" s="1">
        <f>DATE(2013,5,1) + TIME(16,44,34)</f>
        <v>41395.697615740741</v>
      </c>
      <c r="C1912">
        <v>80</v>
      </c>
      <c r="D1912">
        <v>77.274009704999997</v>
      </c>
      <c r="E1912">
        <v>50</v>
      </c>
      <c r="F1912">
        <v>49.919513702000003</v>
      </c>
      <c r="G1912">
        <v>1340.3308105000001</v>
      </c>
      <c r="H1912">
        <v>1337.5357666</v>
      </c>
      <c r="I1912">
        <v>1326.3178711</v>
      </c>
      <c r="J1912">
        <v>1324.2613524999999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1096.7347910000001</v>
      </c>
      <c r="B1913" s="1">
        <f>DATE(2013,5,1) + TIME(17,38,5)</f>
        <v>41395.734780092593</v>
      </c>
      <c r="C1913">
        <v>80</v>
      </c>
      <c r="D1913">
        <v>77.513977050999998</v>
      </c>
      <c r="E1913">
        <v>50</v>
      </c>
      <c r="F1913">
        <v>49.91664505</v>
      </c>
      <c r="G1913">
        <v>1340.3612060999999</v>
      </c>
      <c r="H1913">
        <v>1337.5587158000001</v>
      </c>
      <c r="I1913">
        <v>1326.317749</v>
      </c>
      <c r="J1913">
        <v>1324.2611084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1096.7734559999999</v>
      </c>
      <c r="B1914" s="1">
        <f>DATE(2013,5,1) + TIME(18,33,46)</f>
        <v>41395.773449074077</v>
      </c>
      <c r="C1914">
        <v>80</v>
      </c>
      <c r="D1914">
        <v>77.741760253999999</v>
      </c>
      <c r="E1914">
        <v>50</v>
      </c>
      <c r="F1914">
        <v>49.913692474000001</v>
      </c>
      <c r="G1914">
        <v>1340.3919678</v>
      </c>
      <c r="H1914">
        <v>1337.581543</v>
      </c>
      <c r="I1914">
        <v>1326.3176269999999</v>
      </c>
      <c r="J1914">
        <v>1324.2608643000001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1096.8137380000001</v>
      </c>
      <c r="B1915" s="1">
        <f>DATE(2013,5,1) + TIME(19,31,46)</f>
        <v>41395.813726851855</v>
      </c>
      <c r="C1915">
        <v>80</v>
      </c>
      <c r="D1915">
        <v>77.957298279</v>
      </c>
      <c r="E1915">
        <v>50</v>
      </c>
      <c r="F1915">
        <v>49.910648346000002</v>
      </c>
      <c r="G1915">
        <v>1340.4228516000001</v>
      </c>
      <c r="H1915">
        <v>1337.6044922000001</v>
      </c>
      <c r="I1915">
        <v>1326.3173827999999</v>
      </c>
      <c r="J1915">
        <v>1324.2604980000001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1096.855767</v>
      </c>
      <c r="B1916" s="1">
        <f>DATE(2013,5,1) + TIME(20,32,18)</f>
        <v>41395.855763888889</v>
      </c>
      <c r="C1916">
        <v>80</v>
      </c>
      <c r="D1916">
        <v>78.160575867000006</v>
      </c>
      <c r="E1916">
        <v>50</v>
      </c>
      <c r="F1916">
        <v>49.907501220999997</v>
      </c>
      <c r="G1916">
        <v>1340.4538574000001</v>
      </c>
      <c r="H1916">
        <v>1337.6273193</v>
      </c>
      <c r="I1916">
        <v>1326.3171387</v>
      </c>
      <c r="J1916">
        <v>1324.2602539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1096.8996870000001</v>
      </c>
      <c r="B1917" s="1">
        <f>DATE(2013,5,1) + TIME(21,35,32)</f>
        <v>41395.899675925924</v>
      </c>
      <c r="C1917">
        <v>80</v>
      </c>
      <c r="D1917">
        <v>78.351600646999998</v>
      </c>
      <c r="E1917">
        <v>50</v>
      </c>
      <c r="F1917">
        <v>49.904243469000001</v>
      </c>
      <c r="G1917">
        <v>1340.4848632999999</v>
      </c>
      <c r="H1917">
        <v>1337.6501464999999</v>
      </c>
      <c r="I1917">
        <v>1326.3170166</v>
      </c>
      <c r="J1917">
        <v>1324.2598877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1096.9456640000001</v>
      </c>
      <c r="B1918" s="1">
        <f>DATE(2013,5,1) + TIME(22,41,45)</f>
        <v>41395.945659722223</v>
      </c>
      <c r="C1918">
        <v>80</v>
      </c>
      <c r="D1918">
        <v>78.530426024999997</v>
      </c>
      <c r="E1918">
        <v>50</v>
      </c>
      <c r="F1918">
        <v>49.900871277</v>
      </c>
      <c r="G1918">
        <v>1340.5158690999999</v>
      </c>
      <c r="H1918">
        <v>1337.6727295000001</v>
      </c>
      <c r="I1918">
        <v>1326.3167725000001</v>
      </c>
      <c r="J1918">
        <v>1324.2596435999999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1096.993849</v>
      </c>
      <c r="B1919" s="1">
        <f>DATE(2013,5,1) + TIME(23,51,8)</f>
        <v>41395.993842592594</v>
      </c>
      <c r="C1919">
        <v>80</v>
      </c>
      <c r="D1919">
        <v>78.697021484000004</v>
      </c>
      <c r="E1919">
        <v>50</v>
      </c>
      <c r="F1919">
        <v>49.897373199</v>
      </c>
      <c r="G1919">
        <v>1340.5466309000001</v>
      </c>
      <c r="H1919">
        <v>1337.6951904</v>
      </c>
      <c r="I1919">
        <v>1326.3165283000001</v>
      </c>
      <c r="J1919">
        <v>1324.2592772999999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1097.044296</v>
      </c>
      <c r="B1920" s="1">
        <f>DATE(2013,5,2) + TIME(1,3,47)</f>
        <v>41396.044293981482</v>
      </c>
      <c r="C1920">
        <v>80</v>
      </c>
      <c r="D1920">
        <v>78.851127625000004</v>
      </c>
      <c r="E1920">
        <v>50</v>
      </c>
      <c r="F1920">
        <v>49.893745422000002</v>
      </c>
      <c r="G1920">
        <v>1340.5773925999999</v>
      </c>
      <c r="H1920">
        <v>1337.7172852000001</v>
      </c>
      <c r="I1920">
        <v>1326.3162841999999</v>
      </c>
      <c r="J1920">
        <v>1324.2589111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1097.09719</v>
      </c>
      <c r="B1921" s="1">
        <f>DATE(2013,5,2) + TIME(2,19,57)</f>
        <v>41396.097187500003</v>
      </c>
      <c r="C1921">
        <v>80</v>
      </c>
      <c r="D1921">
        <v>78.992950438999998</v>
      </c>
      <c r="E1921">
        <v>50</v>
      </c>
      <c r="F1921">
        <v>49.889984130999999</v>
      </c>
      <c r="G1921">
        <v>1340.6076660000001</v>
      </c>
      <c r="H1921">
        <v>1337.7391356999999</v>
      </c>
      <c r="I1921">
        <v>1326.3160399999999</v>
      </c>
      <c r="J1921">
        <v>1324.2585449000001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1097.1527369999999</v>
      </c>
      <c r="B1922" s="1">
        <f>DATE(2013,5,2) + TIME(3,39,56)</f>
        <v>41396.152731481481</v>
      </c>
      <c r="C1922">
        <v>80</v>
      </c>
      <c r="D1922">
        <v>79.122764587000006</v>
      </c>
      <c r="E1922">
        <v>50</v>
      </c>
      <c r="F1922">
        <v>49.886077880999999</v>
      </c>
      <c r="G1922">
        <v>1340.6374512</v>
      </c>
      <c r="H1922">
        <v>1337.7604980000001</v>
      </c>
      <c r="I1922">
        <v>1326.3157959</v>
      </c>
      <c r="J1922">
        <v>1324.2581786999999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1097.211166</v>
      </c>
      <c r="B1923" s="1">
        <f>DATE(2013,5,2) + TIME(5,4,4)</f>
        <v>41396.211157407408</v>
      </c>
      <c r="C1923">
        <v>80</v>
      </c>
      <c r="D1923">
        <v>79.240882873999993</v>
      </c>
      <c r="E1923">
        <v>50</v>
      </c>
      <c r="F1923">
        <v>49.882011413999997</v>
      </c>
      <c r="G1923">
        <v>1340.666626</v>
      </c>
      <c r="H1923">
        <v>1337.7813721</v>
      </c>
      <c r="I1923">
        <v>1326.3155518000001</v>
      </c>
      <c r="J1923">
        <v>1324.2578125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1097.2727359999999</v>
      </c>
      <c r="B1924" s="1">
        <f>DATE(2013,5,2) + TIME(6,32,44)</f>
        <v>41396.272731481484</v>
      </c>
      <c r="C1924">
        <v>80</v>
      </c>
      <c r="D1924">
        <v>79.347686768000003</v>
      </c>
      <c r="E1924">
        <v>50</v>
      </c>
      <c r="F1924">
        <v>49.877769469999997</v>
      </c>
      <c r="G1924">
        <v>1340.6951904</v>
      </c>
      <c r="H1924">
        <v>1337.8017577999999</v>
      </c>
      <c r="I1924">
        <v>1326.3153076000001</v>
      </c>
      <c r="J1924">
        <v>1324.2573242000001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1097.3377390000001</v>
      </c>
      <c r="B1925" s="1">
        <f>DATE(2013,5,2) + TIME(8,6,20)</f>
        <v>41396.337731481479</v>
      </c>
      <c r="C1925">
        <v>80</v>
      </c>
      <c r="D1925">
        <v>79.443580627000003</v>
      </c>
      <c r="E1925">
        <v>50</v>
      </c>
      <c r="F1925">
        <v>49.873344420999999</v>
      </c>
      <c r="G1925">
        <v>1340.7229004000001</v>
      </c>
      <c r="H1925">
        <v>1337.8215332</v>
      </c>
      <c r="I1925">
        <v>1326.3149414</v>
      </c>
      <c r="J1925">
        <v>1324.2569579999999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1097.406551</v>
      </c>
      <c r="B1926" s="1">
        <f>DATE(2013,5,2) + TIME(9,45,25)</f>
        <v>41396.406539351854</v>
      </c>
      <c r="C1926">
        <v>80</v>
      </c>
      <c r="D1926">
        <v>79.529098511000001</v>
      </c>
      <c r="E1926">
        <v>50</v>
      </c>
      <c r="F1926">
        <v>49.868709564</v>
      </c>
      <c r="G1926">
        <v>1340.7497559000001</v>
      </c>
      <c r="H1926">
        <v>1337.8406981999999</v>
      </c>
      <c r="I1926">
        <v>1326.3146973</v>
      </c>
      <c r="J1926">
        <v>1324.2564697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1097.4795220000001</v>
      </c>
      <c r="B1927" s="1">
        <f>DATE(2013,5,2) + TIME(11,30,30)</f>
        <v>41396.479513888888</v>
      </c>
      <c r="C1927">
        <v>80</v>
      </c>
      <c r="D1927">
        <v>79.604698181000003</v>
      </c>
      <c r="E1927">
        <v>50</v>
      </c>
      <c r="F1927">
        <v>49.863853454999997</v>
      </c>
      <c r="G1927">
        <v>1340.7756348</v>
      </c>
      <c r="H1927">
        <v>1337.8592529</v>
      </c>
      <c r="I1927">
        <v>1326.3143310999999</v>
      </c>
      <c r="J1927">
        <v>1324.2561035000001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1097.5533539999999</v>
      </c>
      <c r="B1928" s="1">
        <f>DATE(2013,5,2) + TIME(13,16,49)</f>
        <v>41396.553344907406</v>
      </c>
      <c r="C1928">
        <v>80</v>
      </c>
      <c r="D1928">
        <v>79.668312072999996</v>
      </c>
      <c r="E1928">
        <v>50</v>
      </c>
      <c r="F1928">
        <v>49.858974457000002</v>
      </c>
      <c r="G1928">
        <v>1340.8011475000001</v>
      </c>
      <c r="H1928">
        <v>1337.8773193</v>
      </c>
      <c r="I1928">
        <v>1326.3139647999999</v>
      </c>
      <c r="J1928">
        <v>1324.2556152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1097.6276849999999</v>
      </c>
      <c r="B1929" s="1">
        <f>DATE(2013,5,2) + TIME(15,3,51)</f>
        <v>41396.62767361111</v>
      </c>
      <c r="C1929">
        <v>80</v>
      </c>
      <c r="D1929">
        <v>79.721473693999997</v>
      </c>
      <c r="E1929">
        <v>50</v>
      </c>
      <c r="F1929">
        <v>49.854095459</v>
      </c>
      <c r="G1929">
        <v>1340.8243408000001</v>
      </c>
      <c r="H1929">
        <v>1337.8937988</v>
      </c>
      <c r="I1929">
        <v>1326.3135986</v>
      </c>
      <c r="J1929">
        <v>1324.2551269999999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1097.7027290000001</v>
      </c>
      <c r="B1930" s="1">
        <f>DATE(2013,5,2) + TIME(16,51,55)</f>
        <v>41396.702719907407</v>
      </c>
      <c r="C1930">
        <v>80</v>
      </c>
      <c r="D1930">
        <v>79.765922545999999</v>
      </c>
      <c r="E1930">
        <v>50</v>
      </c>
      <c r="F1930">
        <v>49.849205017000003</v>
      </c>
      <c r="G1930">
        <v>1340.8453368999999</v>
      </c>
      <c r="H1930">
        <v>1337.9088135</v>
      </c>
      <c r="I1930">
        <v>1326.3132324000001</v>
      </c>
      <c r="J1930">
        <v>1324.2546387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1097.778681</v>
      </c>
      <c r="B1931" s="1">
        <f>DATE(2013,5,2) + TIME(18,41,18)</f>
        <v>41396.778680555559</v>
      </c>
      <c r="C1931">
        <v>80</v>
      </c>
      <c r="D1931">
        <v>79.803077697999996</v>
      </c>
      <c r="E1931">
        <v>50</v>
      </c>
      <c r="F1931">
        <v>49.844284058</v>
      </c>
      <c r="G1931">
        <v>1340.8643798999999</v>
      </c>
      <c r="H1931">
        <v>1337.9224853999999</v>
      </c>
      <c r="I1931">
        <v>1326.3128661999999</v>
      </c>
      <c r="J1931">
        <v>1324.2541504000001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1097.8557029999999</v>
      </c>
      <c r="B1932" s="1">
        <f>DATE(2013,5,2) + TIME(20,32,12)</f>
        <v>41396.855694444443</v>
      </c>
      <c r="C1932">
        <v>80</v>
      </c>
      <c r="D1932">
        <v>79.834114075000002</v>
      </c>
      <c r="E1932">
        <v>50</v>
      </c>
      <c r="F1932">
        <v>49.839328766000001</v>
      </c>
      <c r="G1932">
        <v>1340.8814697</v>
      </c>
      <c r="H1932">
        <v>1337.9349365</v>
      </c>
      <c r="I1932">
        <v>1326.3125</v>
      </c>
      <c r="J1932">
        <v>1324.2536620999999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1097.933986</v>
      </c>
      <c r="B1933" s="1">
        <f>DATE(2013,5,2) + TIME(22,24,56)</f>
        <v>41396.933981481481</v>
      </c>
      <c r="C1933">
        <v>80</v>
      </c>
      <c r="D1933">
        <v>79.860015868999994</v>
      </c>
      <c r="E1933">
        <v>50</v>
      </c>
      <c r="F1933">
        <v>49.834323883000003</v>
      </c>
      <c r="G1933">
        <v>1340.8969727000001</v>
      </c>
      <c r="H1933">
        <v>1337.9462891000001</v>
      </c>
      <c r="I1933">
        <v>1326.3121338000001</v>
      </c>
      <c r="J1933">
        <v>1324.2531738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1098.0137259999999</v>
      </c>
      <c r="B1934" s="1">
        <f>DATE(2013,5,3) + TIME(0,19,45)</f>
        <v>41397.013715277775</v>
      </c>
      <c r="C1934">
        <v>80</v>
      </c>
      <c r="D1934">
        <v>79.881599425999994</v>
      </c>
      <c r="E1934">
        <v>50</v>
      </c>
      <c r="F1934">
        <v>49.829261780000003</v>
      </c>
      <c r="G1934">
        <v>1340.9108887</v>
      </c>
      <c r="H1934">
        <v>1337.956543</v>
      </c>
      <c r="I1934">
        <v>1326.3117675999999</v>
      </c>
      <c r="J1934">
        <v>1324.2525635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1098.0951319999999</v>
      </c>
      <c r="B1935" s="1">
        <f>DATE(2013,5,3) + TIME(2,16,59)</f>
        <v>41397.095127314817</v>
      </c>
      <c r="C1935">
        <v>80</v>
      </c>
      <c r="D1935">
        <v>79.899551392000006</v>
      </c>
      <c r="E1935">
        <v>50</v>
      </c>
      <c r="F1935">
        <v>49.824127197000003</v>
      </c>
      <c r="G1935">
        <v>1340.9234618999999</v>
      </c>
      <c r="H1935">
        <v>1337.9659423999999</v>
      </c>
      <c r="I1935">
        <v>1326.3114014</v>
      </c>
      <c r="J1935">
        <v>1324.2520752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1098.1784769999999</v>
      </c>
      <c r="B1936" s="1">
        <f>DATE(2013,5,3) + TIME(4,17,0)</f>
        <v>41397.178472222222</v>
      </c>
      <c r="C1936">
        <v>80</v>
      </c>
      <c r="D1936">
        <v>79.914466857999997</v>
      </c>
      <c r="E1936">
        <v>50</v>
      </c>
      <c r="F1936">
        <v>49.818904877000001</v>
      </c>
      <c r="G1936">
        <v>1340.9346923999999</v>
      </c>
      <c r="H1936">
        <v>1337.9744873</v>
      </c>
      <c r="I1936">
        <v>1326.3110352000001</v>
      </c>
      <c r="J1936">
        <v>1324.2515868999999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1098.264056</v>
      </c>
      <c r="B1937" s="1">
        <f>DATE(2013,5,3) + TIME(6,20,14)</f>
        <v>41397.264050925929</v>
      </c>
      <c r="C1937">
        <v>80</v>
      </c>
      <c r="D1937">
        <v>79.926826477000006</v>
      </c>
      <c r="E1937">
        <v>50</v>
      </c>
      <c r="F1937">
        <v>49.813583373999997</v>
      </c>
      <c r="G1937">
        <v>1340.9445800999999</v>
      </c>
      <c r="H1937">
        <v>1337.9821777</v>
      </c>
      <c r="I1937">
        <v>1326.3105469</v>
      </c>
      <c r="J1937">
        <v>1324.2510986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1098.3521499999999</v>
      </c>
      <c r="B1938" s="1">
        <f>DATE(2013,5,3) + TIME(8,27,5)</f>
        <v>41397.352141203701</v>
      </c>
      <c r="C1938">
        <v>80</v>
      </c>
      <c r="D1938">
        <v>79.937042235999996</v>
      </c>
      <c r="E1938">
        <v>50</v>
      </c>
      <c r="F1938">
        <v>49.808143616000002</v>
      </c>
      <c r="G1938">
        <v>1340.9532471</v>
      </c>
      <c r="H1938">
        <v>1337.9890137</v>
      </c>
      <c r="I1938">
        <v>1326.3101807</v>
      </c>
      <c r="J1938">
        <v>1324.2504882999999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1098.443074</v>
      </c>
      <c r="B1939" s="1">
        <f>DATE(2013,5,3) + TIME(10,38,1)</f>
        <v>41397.443067129629</v>
      </c>
      <c r="C1939">
        <v>80</v>
      </c>
      <c r="D1939">
        <v>79.945457458000007</v>
      </c>
      <c r="E1939">
        <v>50</v>
      </c>
      <c r="F1939">
        <v>49.802566528</v>
      </c>
      <c r="G1939">
        <v>1340.9609375</v>
      </c>
      <c r="H1939">
        <v>1337.9952393000001</v>
      </c>
      <c r="I1939">
        <v>1326.3096923999999</v>
      </c>
      <c r="J1939">
        <v>1324.25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1098.5358530000001</v>
      </c>
      <c r="B1940" s="1">
        <f>DATE(2013,5,3) + TIME(12,51,37)</f>
        <v>41397.535844907405</v>
      </c>
      <c r="C1940">
        <v>80</v>
      </c>
      <c r="D1940">
        <v>79.952285767000006</v>
      </c>
      <c r="E1940">
        <v>50</v>
      </c>
      <c r="F1940">
        <v>49.796909331999998</v>
      </c>
      <c r="G1940">
        <v>1340.9675293</v>
      </c>
      <c r="H1940">
        <v>1338.0008545000001</v>
      </c>
      <c r="I1940">
        <v>1326.3093262</v>
      </c>
      <c r="J1940">
        <v>1324.2493896000001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1098.63024</v>
      </c>
      <c r="B1941" s="1">
        <f>DATE(2013,5,3) + TIME(15,7,32)</f>
        <v>41397.630231481482</v>
      </c>
      <c r="C1941">
        <v>80</v>
      </c>
      <c r="D1941">
        <v>79.957801818999997</v>
      </c>
      <c r="E1941">
        <v>50</v>
      </c>
      <c r="F1941">
        <v>49.791183472</v>
      </c>
      <c r="G1941">
        <v>1340.9731445</v>
      </c>
      <c r="H1941">
        <v>1338.0058594</v>
      </c>
      <c r="I1941">
        <v>1326.3088379000001</v>
      </c>
      <c r="J1941">
        <v>1324.2487793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1098.7264319999999</v>
      </c>
      <c r="B1942" s="1">
        <f>DATE(2013,5,3) + TIME(17,26,3)</f>
        <v>41397.726423611108</v>
      </c>
      <c r="C1942">
        <v>80</v>
      </c>
      <c r="D1942">
        <v>79.962234496999997</v>
      </c>
      <c r="E1942">
        <v>50</v>
      </c>
      <c r="F1942">
        <v>49.785385132000002</v>
      </c>
      <c r="G1942">
        <v>1340.9779053</v>
      </c>
      <c r="H1942">
        <v>1338.0102539</v>
      </c>
      <c r="I1942">
        <v>1326.3083495999999</v>
      </c>
      <c r="J1942">
        <v>1324.2481689000001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1098.824601</v>
      </c>
      <c r="B1943" s="1">
        <f>DATE(2013,5,3) + TIME(19,47,25)</f>
        <v>41397.824594907404</v>
      </c>
      <c r="C1943">
        <v>80</v>
      </c>
      <c r="D1943">
        <v>79.965805054</v>
      </c>
      <c r="E1943">
        <v>50</v>
      </c>
      <c r="F1943">
        <v>49.779495238999999</v>
      </c>
      <c r="G1943">
        <v>1340.9816894999999</v>
      </c>
      <c r="H1943">
        <v>1338.0140381000001</v>
      </c>
      <c r="I1943">
        <v>1326.3078613</v>
      </c>
      <c r="J1943">
        <v>1324.2475586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1098.924951</v>
      </c>
      <c r="B1944" s="1">
        <f>DATE(2013,5,3) + TIME(22,11,55)</f>
        <v>41397.924942129626</v>
      </c>
      <c r="C1944">
        <v>80</v>
      </c>
      <c r="D1944">
        <v>79.968666076999995</v>
      </c>
      <c r="E1944">
        <v>50</v>
      </c>
      <c r="F1944">
        <v>49.773509979000004</v>
      </c>
      <c r="G1944">
        <v>1340.9844971</v>
      </c>
      <c r="H1944">
        <v>1338.0172118999999</v>
      </c>
      <c r="I1944">
        <v>1326.3073730000001</v>
      </c>
      <c r="J1944">
        <v>1324.2469481999999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1099.0277100000001</v>
      </c>
      <c r="B1945" s="1">
        <f>DATE(2013,5,4) + TIME(0,39,54)</f>
        <v>41398.027708333335</v>
      </c>
      <c r="C1945">
        <v>80</v>
      </c>
      <c r="D1945">
        <v>79.970962524000001</v>
      </c>
      <c r="E1945">
        <v>50</v>
      </c>
      <c r="F1945">
        <v>49.767417907999999</v>
      </c>
      <c r="G1945">
        <v>1340.9864502</v>
      </c>
      <c r="H1945">
        <v>1338.0200195</v>
      </c>
      <c r="I1945">
        <v>1326.3068848</v>
      </c>
      <c r="J1945">
        <v>1324.2463379000001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1099.1331210000001</v>
      </c>
      <c r="B1946" s="1">
        <f>DATE(2013,5,4) + TIME(3,11,41)</f>
        <v>41398.133113425924</v>
      </c>
      <c r="C1946">
        <v>80</v>
      </c>
      <c r="D1946">
        <v>79.972793578999998</v>
      </c>
      <c r="E1946">
        <v>50</v>
      </c>
      <c r="F1946">
        <v>49.761199951000002</v>
      </c>
      <c r="G1946">
        <v>1340.987793</v>
      </c>
      <c r="H1946">
        <v>1338.0223389</v>
      </c>
      <c r="I1946">
        <v>1326.3063964999999</v>
      </c>
      <c r="J1946">
        <v>1324.2456055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1099.241454</v>
      </c>
      <c r="B1947" s="1">
        <f>DATE(2013,5,4) + TIME(5,47,41)</f>
        <v>41398.241446759261</v>
      </c>
      <c r="C1947">
        <v>80</v>
      </c>
      <c r="D1947">
        <v>79.974250792999996</v>
      </c>
      <c r="E1947">
        <v>50</v>
      </c>
      <c r="F1947">
        <v>49.754852294999999</v>
      </c>
      <c r="G1947">
        <v>1340.9869385</v>
      </c>
      <c r="H1947">
        <v>1338.0230713000001</v>
      </c>
      <c r="I1947">
        <v>1326.3059082</v>
      </c>
      <c r="J1947">
        <v>1324.2449951000001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1099.3530579999999</v>
      </c>
      <c r="B1948" s="1">
        <f>DATE(2013,5,4) + TIME(8,28,24)</f>
        <v>41398.353055555555</v>
      </c>
      <c r="C1948">
        <v>80</v>
      </c>
      <c r="D1948">
        <v>79.975410460999996</v>
      </c>
      <c r="E1948">
        <v>50</v>
      </c>
      <c r="F1948">
        <v>49.748352050999998</v>
      </c>
      <c r="G1948">
        <v>1340.9853516000001</v>
      </c>
      <c r="H1948">
        <v>1338.0235596</v>
      </c>
      <c r="I1948">
        <v>1326.3052978999999</v>
      </c>
      <c r="J1948">
        <v>1324.2442627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1099.468353</v>
      </c>
      <c r="B1949" s="1">
        <f>DATE(2013,5,4) + TIME(11,14,25)</f>
        <v>41398.468344907407</v>
      </c>
      <c r="C1949">
        <v>80</v>
      </c>
      <c r="D1949">
        <v>79.976325989000003</v>
      </c>
      <c r="E1949">
        <v>50</v>
      </c>
      <c r="F1949">
        <v>49.741680144999997</v>
      </c>
      <c r="G1949">
        <v>1340.9833983999999</v>
      </c>
      <c r="H1949">
        <v>1338.0238036999999</v>
      </c>
      <c r="I1949">
        <v>1326.3048096</v>
      </c>
      <c r="J1949">
        <v>1324.2436522999999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1099.5878849999999</v>
      </c>
      <c r="B1950" s="1">
        <f>DATE(2013,5,4) + TIME(14,6,33)</f>
        <v>41398.587881944448</v>
      </c>
      <c r="C1950">
        <v>80</v>
      </c>
      <c r="D1950">
        <v>79.977058411000002</v>
      </c>
      <c r="E1950">
        <v>50</v>
      </c>
      <c r="F1950">
        <v>49.734809875000003</v>
      </c>
      <c r="G1950">
        <v>1340.980957</v>
      </c>
      <c r="H1950">
        <v>1338.0238036999999</v>
      </c>
      <c r="I1950">
        <v>1326.3041992000001</v>
      </c>
      <c r="J1950">
        <v>1324.2429199000001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1099.7119729999999</v>
      </c>
      <c r="B1951" s="1">
        <f>DATE(2013,5,4) + TIME(17,5,14)</f>
        <v>41398.711967592593</v>
      </c>
      <c r="C1951">
        <v>80</v>
      </c>
      <c r="D1951">
        <v>79.977630614999995</v>
      </c>
      <c r="E1951">
        <v>50</v>
      </c>
      <c r="F1951">
        <v>49.727725982999999</v>
      </c>
      <c r="G1951">
        <v>1340.9779053</v>
      </c>
      <c r="H1951">
        <v>1338.0234375</v>
      </c>
      <c r="I1951">
        <v>1326.3035889</v>
      </c>
      <c r="J1951">
        <v>1324.2420654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1099.83935</v>
      </c>
      <c r="B1952" s="1">
        <f>DATE(2013,5,4) + TIME(20,8,39)</f>
        <v>41398.83934027778</v>
      </c>
      <c r="C1952">
        <v>80</v>
      </c>
      <c r="D1952">
        <v>79.978073120000005</v>
      </c>
      <c r="E1952">
        <v>50</v>
      </c>
      <c r="F1952">
        <v>49.720493316999999</v>
      </c>
      <c r="G1952">
        <v>1340.9744873</v>
      </c>
      <c r="H1952">
        <v>1338.0228271000001</v>
      </c>
      <c r="I1952">
        <v>1326.3029785000001</v>
      </c>
      <c r="J1952">
        <v>1324.2413329999999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1099.9703939999999</v>
      </c>
      <c r="B1953" s="1">
        <f>DATE(2013,5,4) + TIME(23,17,22)</f>
        <v>41398.970393518517</v>
      </c>
      <c r="C1953">
        <v>80</v>
      </c>
      <c r="D1953">
        <v>79.978416443</v>
      </c>
      <c r="E1953">
        <v>50</v>
      </c>
      <c r="F1953">
        <v>49.713088988999999</v>
      </c>
      <c r="G1953">
        <v>1340.9707031</v>
      </c>
      <c r="H1953">
        <v>1338.0220947</v>
      </c>
      <c r="I1953">
        <v>1326.3022461</v>
      </c>
      <c r="J1953">
        <v>1324.2404785000001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1100.1054569999999</v>
      </c>
      <c r="B1954" s="1">
        <f>DATE(2013,5,5) + TIME(2,31,51)</f>
        <v>41399.105451388888</v>
      </c>
      <c r="C1954">
        <v>80</v>
      </c>
      <c r="D1954">
        <v>79.978683472</v>
      </c>
      <c r="E1954">
        <v>50</v>
      </c>
      <c r="F1954">
        <v>49.705505371000001</v>
      </c>
      <c r="G1954">
        <v>1340.9664307</v>
      </c>
      <c r="H1954">
        <v>1338.0211182</v>
      </c>
      <c r="I1954">
        <v>1326.3016356999999</v>
      </c>
      <c r="J1954">
        <v>1324.239624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1100.2449329999999</v>
      </c>
      <c r="B1955" s="1">
        <f>DATE(2013,5,5) + TIME(5,52,42)</f>
        <v>41399.244930555556</v>
      </c>
      <c r="C1955">
        <v>80</v>
      </c>
      <c r="D1955">
        <v>79.978889464999995</v>
      </c>
      <c r="E1955">
        <v>50</v>
      </c>
      <c r="F1955">
        <v>49.697715758999998</v>
      </c>
      <c r="G1955">
        <v>1340.9617920000001</v>
      </c>
      <c r="H1955">
        <v>1338.0198975000001</v>
      </c>
      <c r="I1955">
        <v>1326.3009033000001</v>
      </c>
      <c r="J1955">
        <v>1324.2387695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1100.3892639999999</v>
      </c>
      <c r="B1956" s="1">
        <f>DATE(2013,5,5) + TIME(9,20,32)</f>
        <v>41399.38925925926</v>
      </c>
      <c r="C1956">
        <v>80</v>
      </c>
      <c r="D1956">
        <v>79.979042053000001</v>
      </c>
      <c r="E1956">
        <v>50</v>
      </c>
      <c r="F1956">
        <v>49.689708709999998</v>
      </c>
      <c r="G1956">
        <v>1340.9567870999999</v>
      </c>
      <c r="H1956">
        <v>1338.0184326000001</v>
      </c>
      <c r="I1956">
        <v>1326.3001709</v>
      </c>
      <c r="J1956">
        <v>1324.2379149999999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1100.5389720000001</v>
      </c>
      <c r="B1957" s="1">
        <f>DATE(2013,5,5) + TIME(12,56,7)</f>
        <v>41399.538969907408</v>
      </c>
      <c r="C1957">
        <v>80</v>
      </c>
      <c r="D1957">
        <v>79.979164123999993</v>
      </c>
      <c r="E1957">
        <v>50</v>
      </c>
      <c r="F1957">
        <v>49.681453705000003</v>
      </c>
      <c r="G1957">
        <v>1340.9514160000001</v>
      </c>
      <c r="H1957">
        <v>1338.0168457</v>
      </c>
      <c r="I1957">
        <v>1326.2994385</v>
      </c>
      <c r="J1957">
        <v>1324.2369385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1100.6919720000001</v>
      </c>
      <c r="B1958" s="1">
        <f>DATE(2013,5,5) + TIME(16,36,26)</f>
        <v>41399.691967592589</v>
      </c>
      <c r="C1958">
        <v>80</v>
      </c>
      <c r="D1958">
        <v>79.979248046999999</v>
      </c>
      <c r="E1958">
        <v>50</v>
      </c>
      <c r="F1958">
        <v>49.673053740999997</v>
      </c>
      <c r="G1958">
        <v>1340.9455565999999</v>
      </c>
      <c r="H1958">
        <v>1338.0150146000001</v>
      </c>
      <c r="I1958">
        <v>1326.2985839999999</v>
      </c>
      <c r="J1958">
        <v>1324.2359618999999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1100.8478829999999</v>
      </c>
      <c r="B1959" s="1">
        <f>DATE(2013,5,5) + TIME(20,20,57)</f>
        <v>41399.847881944443</v>
      </c>
      <c r="C1959">
        <v>80</v>
      </c>
      <c r="D1959">
        <v>79.979316710999996</v>
      </c>
      <c r="E1959">
        <v>50</v>
      </c>
      <c r="F1959">
        <v>49.664524077999999</v>
      </c>
      <c r="G1959">
        <v>1340.9395752</v>
      </c>
      <c r="H1959">
        <v>1338.0131836</v>
      </c>
      <c r="I1959">
        <v>1326.2978516000001</v>
      </c>
      <c r="J1959">
        <v>1324.2348632999999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1101.00595</v>
      </c>
      <c r="B1960" s="1">
        <f>DATE(2013,5,6) + TIME(0,8,34)</f>
        <v>41400.005949074075</v>
      </c>
      <c r="C1960">
        <v>80</v>
      </c>
      <c r="D1960">
        <v>79.979362488000007</v>
      </c>
      <c r="E1960">
        <v>50</v>
      </c>
      <c r="F1960">
        <v>49.655902863000001</v>
      </c>
      <c r="G1960">
        <v>1340.9333495999999</v>
      </c>
      <c r="H1960">
        <v>1338.0111084</v>
      </c>
      <c r="I1960">
        <v>1326.2969971</v>
      </c>
      <c r="J1960">
        <v>1324.2338867000001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1101.1664989999999</v>
      </c>
      <c r="B1961" s="1">
        <f>DATE(2013,5,6) + TIME(3,59,45)</f>
        <v>41400.166493055556</v>
      </c>
      <c r="C1961">
        <v>80</v>
      </c>
      <c r="D1961">
        <v>79.979385375999996</v>
      </c>
      <c r="E1961">
        <v>50</v>
      </c>
      <c r="F1961">
        <v>49.647178650000001</v>
      </c>
      <c r="G1961">
        <v>1340.9270019999999</v>
      </c>
      <c r="H1961">
        <v>1338.0090332</v>
      </c>
      <c r="I1961">
        <v>1326.2961425999999</v>
      </c>
      <c r="J1961">
        <v>1324.2327881000001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1101.3299500000001</v>
      </c>
      <c r="B1962" s="1">
        <f>DATE(2013,5,6) + TIME(7,55,7)</f>
        <v>41400.329942129632</v>
      </c>
      <c r="C1962">
        <v>80</v>
      </c>
      <c r="D1962">
        <v>79.979408264</v>
      </c>
      <c r="E1962">
        <v>50</v>
      </c>
      <c r="F1962">
        <v>49.638336182000003</v>
      </c>
      <c r="G1962">
        <v>1340.9205322</v>
      </c>
      <c r="H1962">
        <v>1338.0068358999999</v>
      </c>
      <c r="I1962">
        <v>1326.2951660000001</v>
      </c>
      <c r="J1962">
        <v>1324.2316894999999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1101.4967409999999</v>
      </c>
      <c r="B1963" s="1">
        <f>DATE(2013,5,6) + TIME(11,55,18)</f>
        <v>41400.496736111112</v>
      </c>
      <c r="C1963">
        <v>80</v>
      </c>
      <c r="D1963">
        <v>79.979415893999999</v>
      </c>
      <c r="E1963">
        <v>50</v>
      </c>
      <c r="F1963">
        <v>49.629356383999998</v>
      </c>
      <c r="G1963">
        <v>1340.9138184000001</v>
      </c>
      <c r="H1963">
        <v>1338.0045166</v>
      </c>
      <c r="I1963">
        <v>1326.2943115</v>
      </c>
      <c r="J1963">
        <v>1324.2304687999999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1101.667344</v>
      </c>
      <c r="B1964" s="1">
        <f>DATE(2013,5,6) + TIME(16,0,58)</f>
        <v>41400.667337962965</v>
      </c>
      <c r="C1964">
        <v>80</v>
      </c>
      <c r="D1964">
        <v>79.979415893999999</v>
      </c>
      <c r="E1964">
        <v>50</v>
      </c>
      <c r="F1964">
        <v>49.620220183999997</v>
      </c>
      <c r="G1964">
        <v>1340.9069824000001</v>
      </c>
      <c r="H1964">
        <v>1338.0021973</v>
      </c>
      <c r="I1964">
        <v>1326.2933350000001</v>
      </c>
      <c r="J1964">
        <v>1324.2293701000001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1101.840592</v>
      </c>
      <c r="B1965" s="1">
        <f>DATE(2013,5,6) + TIME(20,10,27)</f>
        <v>41400.840590277781</v>
      </c>
      <c r="C1965">
        <v>80</v>
      </c>
      <c r="D1965">
        <v>79.979408264</v>
      </c>
      <c r="E1965">
        <v>50</v>
      </c>
      <c r="F1965">
        <v>49.610980988000001</v>
      </c>
      <c r="G1965">
        <v>1340.9000243999999</v>
      </c>
      <c r="H1965">
        <v>1337.9997559000001</v>
      </c>
      <c r="I1965">
        <v>1326.2924805</v>
      </c>
      <c r="J1965">
        <v>1324.2281493999999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1102.015879</v>
      </c>
      <c r="B1966" s="1">
        <f>DATE(2013,5,7) + TIME(0,22,51)</f>
        <v>41401.015868055554</v>
      </c>
      <c r="C1966">
        <v>80</v>
      </c>
      <c r="D1966">
        <v>79.979400635000005</v>
      </c>
      <c r="E1966">
        <v>50</v>
      </c>
      <c r="F1966">
        <v>49.601665496999999</v>
      </c>
      <c r="G1966">
        <v>1340.8929443</v>
      </c>
      <c r="H1966">
        <v>1337.9973144999999</v>
      </c>
      <c r="I1966">
        <v>1326.2915039</v>
      </c>
      <c r="J1966">
        <v>1324.2269286999999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1102.193571</v>
      </c>
      <c r="B1967" s="1">
        <f>DATE(2013,5,7) + TIME(4,38,44)</f>
        <v>41401.193564814814</v>
      </c>
      <c r="C1967">
        <v>80</v>
      </c>
      <c r="D1967">
        <v>79.979385375999996</v>
      </c>
      <c r="E1967">
        <v>50</v>
      </c>
      <c r="F1967">
        <v>49.592262267999999</v>
      </c>
      <c r="G1967">
        <v>1340.8858643000001</v>
      </c>
      <c r="H1967">
        <v>1337.9948730000001</v>
      </c>
      <c r="I1967">
        <v>1326.2904053</v>
      </c>
      <c r="J1967">
        <v>1324.2255858999999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1102.3740720000001</v>
      </c>
      <c r="B1968" s="1">
        <f>DATE(2013,5,7) + TIME(8,58,39)</f>
        <v>41401.374062499999</v>
      </c>
      <c r="C1968">
        <v>80</v>
      </c>
      <c r="D1968">
        <v>79.979370117000002</v>
      </c>
      <c r="E1968">
        <v>50</v>
      </c>
      <c r="F1968">
        <v>49.582756042</v>
      </c>
      <c r="G1968">
        <v>1340.8787841999999</v>
      </c>
      <c r="H1968">
        <v>1337.9923096</v>
      </c>
      <c r="I1968">
        <v>1326.2894286999999</v>
      </c>
      <c r="J1968">
        <v>1324.2243652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1102.5578109999999</v>
      </c>
      <c r="B1969" s="1">
        <f>DATE(2013,5,7) + TIME(13,23,14)</f>
        <v>41401.557800925926</v>
      </c>
      <c r="C1969">
        <v>80</v>
      </c>
      <c r="D1969">
        <v>79.979354857999994</v>
      </c>
      <c r="E1969">
        <v>50</v>
      </c>
      <c r="F1969">
        <v>49.573127747000001</v>
      </c>
      <c r="G1969">
        <v>1340.871582</v>
      </c>
      <c r="H1969">
        <v>1337.9897461</v>
      </c>
      <c r="I1969">
        <v>1326.2883300999999</v>
      </c>
      <c r="J1969">
        <v>1324.2230225000001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1102.74524</v>
      </c>
      <c r="B1970" s="1">
        <f>DATE(2013,5,7) + TIME(17,53,8)</f>
        <v>41401.74523148148</v>
      </c>
      <c r="C1970">
        <v>80</v>
      </c>
      <c r="D1970">
        <v>79.979331970000004</v>
      </c>
      <c r="E1970">
        <v>50</v>
      </c>
      <c r="F1970">
        <v>49.563362122000001</v>
      </c>
      <c r="G1970">
        <v>1340.8643798999999</v>
      </c>
      <c r="H1970">
        <v>1337.9871826000001</v>
      </c>
      <c r="I1970">
        <v>1326.2873535000001</v>
      </c>
      <c r="J1970">
        <v>1324.2216797000001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1102.9368469999999</v>
      </c>
      <c r="B1971" s="1">
        <f>DATE(2013,5,7) + TIME(22,29,3)</f>
        <v>41401.936840277776</v>
      </c>
      <c r="C1971">
        <v>80</v>
      </c>
      <c r="D1971">
        <v>79.979309082</v>
      </c>
      <c r="E1971">
        <v>50</v>
      </c>
      <c r="F1971">
        <v>49.553440094000003</v>
      </c>
      <c r="G1971">
        <v>1340.8570557</v>
      </c>
      <c r="H1971">
        <v>1337.9846190999999</v>
      </c>
      <c r="I1971">
        <v>1326.2861327999999</v>
      </c>
      <c r="J1971">
        <v>1324.2202147999999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1103.1331600000001</v>
      </c>
      <c r="B1972" s="1">
        <f>DATE(2013,5,8) + TIME(3,11,45)</f>
        <v>41402.133159722223</v>
      </c>
      <c r="C1972">
        <v>80</v>
      </c>
      <c r="D1972">
        <v>79.979278563999998</v>
      </c>
      <c r="E1972">
        <v>50</v>
      </c>
      <c r="F1972">
        <v>49.543338775999999</v>
      </c>
      <c r="G1972">
        <v>1340.8496094</v>
      </c>
      <c r="H1972">
        <v>1337.9820557</v>
      </c>
      <c r="I1972">
        <v>1326.2850341999999</v>
      </c>
      <c r="J1972">
        <v>1324.21875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1103.3353099999999</v>
      </c>
      <c r="B1973" s="1">
        <f>DATE(2013,5,8) + TIME(8,2,50)</f>
        <v>41402.335300925923</v>
      </c>
      <c r="C1973">
        <v>80</v>
      </c>
      <c r="D1973">
        <v>79.979255675999994</v>
      </c>
      <c r="E1973">
        <v>50</v>
      </c>
      <c r="F1973">
        <v>49.533012390000003</v>
      </c>
      <c r="G1973">
        <v>1340.8421631000001</v>
      </c>
      <c r="H1973">
        <v>1337.9793701000001</v>
      </c>
      <c r="I1973">
        <v>1326.2838135</v>
      </c>
      <c r="J1973">
        <v>1324.2172852000001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1103.5408609999999</v>
      </c>
      <c r="B1974" s="1">
        <f>DATE(2013,5,8) + TIME(12,58,50)</f>
        <v>41402.540856481479</v>
      </c>
      <c r="C1974">
        <v>80</v>
      </c>
      <c r="D1974">
        <v>79.979225158999995</v>
      </c>
      <c r="E1974">
        <v>50</v>
      </c>
      <c r="F1974">
        <v>49.522556305000002</v>
      </c>
      <c r="G1974">
        <v>1340.8344727000001</v>
      </c>
      <c r="H1974">
        <v>1337.9766846</v>
      </c>
      <c r="I1974">
        <v>1326.2825928</v>
      </c>
      <c r="J1974">
        <v>1324.2156981999999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1103.7499760000001</v>
      </c>
      <c r="B1975" s="1">
        <f>DATE(2013,5,8) + TIME(17,59,57)</f>
        <v>41402.749965277777</v>
      </c>
      <c r="C1975">
        <v>80</v>
      </c>
      <c r="D1975">
        <v>79.979194641000007</v>
      </c>
      <c r="E1975">
        <v>50</v>
      </c>
      <c r="F1975">
        <v>49.511970519999998</v>
      </c>
      <c r="G1975">
        <v>1340.8269043</v>
      </c>
      <c r="H1975">
        <v>1337.973999</v>
      </c>
      <c r="I1975">
        <v>1326.2813721</v>
      </c>
      <c r="J1975">
        <v>1324.2139893000001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1103.9631240000001</v>
      </c>
      <c r="B1976" s="1">
        <f>DATE(2013,5,8) + TIME(23,6,53)</f>
        <v>41402.963113425925</v>
      </c>
      <c r="C1976">
        <v>80</v>
      </c>
      <c r="D1976">
        <v>79.979164123999993</v>
      </c>
      <c r="E1976">
        <v>50</v>
      </c>
      <c r="F1976">
        <v>49.501232147000003</v>
      </c>
      <c r="G1976">
        <v>1340.8192139</v>
      </c>
      <c r="H1976">
        <v>1337.9714355000001</v>
      </c>
      <c r="I1976">
        <v>1326.2800293</v>
      </c>
      <c r="J1976">
        <v>1324.2124022999999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1104.1808000000001</v>
      </c>
      <c r="B1977" s="1">
        <f>DATE(2013,5,9) + TIME(4,20,21)</f>
        <v>41403.180798611109</v>
      </c>
      <c r="C1977">
        <v>80</v>
      </c>
      <c r="D1977">
        <v>79.979133606000005</v>
      </c>
      <c r="E1977">
        <v>50</v>
      </c>
      <c r="F1977">
        <v>49.490333557</v>
      </c>
      <c r="G1977">
        <v>1340.8116454999999</v>
      </c>
      <c r="H1977">
        <v>1337.96875</v>
      </c>
      <c r="I1977">
        <v>1326.2786865</v>
      </c>
      <c r="J1977">
        <v>1324.2106934000001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1104.403532</v>
      </c>
      <c r="B1978" s="1">
        <f>DATE(2013,5,9) + TIME(9,41,5)</f>
        <v>41403.40353009259</v>
      </c>
      <c r="C1978">
        <v>80</v>
      </c>
      <c r="D1978">
        <v>79.979103088000002</v>
      </c>
      <c r="E1978">
        <v>50</v>
      </c>
      <c r="F1978">
        <v>49.479244231999999</v>
      </c>
      <c r="G1978">
        <v>1340.8038329999999</v>
      </c>
      <c r="H1978">
        <v>1337.9660644999999</v>
      </c>
      <c r="I1978">
        <v>1326.2773437999999</v>
      </c>
      <c r="J1978">
        <v>1324.2088623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1104.6319040000001</v>
      </c>
      <c r="B1979" s="1">
        <f>DATE(2013,5,9) + TIME(15,9,56)</f>
        <v>41403.631898148145</v>
      </c>
      <c r="C1979">
        <v>80</v>
      </c>
      <c r="D1979">
        <v>79.979064941000004</v>
      </c>
      <c r="E1979">
        <v>50</v>
      </c>
      <c r="F1979">
        <v>49.467952728</v>
      </c>
      <c r="G1979">
        <v>1340.7961425999999</v>
      </c>
      <c r="H1979">
        <v>1337.9633789</v>
      </c>
      <c r="I1979">
        <v>1326.2758789</v>
      </c>
      <c r="J1979">
        <v>1324.2070312000001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1104.8665639999999</v>
      </c>
      <c r="B1980" s="1">
        <f>DATE(2013,5,9) + TIME(20,47,51)</f>
        <v>41403.866562499999</v>
      </c>
      <c r="C1980">
        <v>80</v>
      </c>
      <c r="D1980">
        <v>79.979034424000005</v>
      </c>
      <c r="E1980">
        <v>50</v>
      </c>
      <c r="F1980">
        <v>49.456428528000004</v>
      </c>
      <c r="G1980">
        <v>1340.7883300999999</v>
      </c>
      <c r="H1980">
        <v>1337.9606934000001</v>
      </c>
      <c r="I1980">
        <v>1326.2744141000001</v>
      </c>
      <c r="J1980">
        <v>1324.2050781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1105.108579</v>
      </c>
      <c r="B1981" s="1">
        <f>DATE(2013,5,10) + TIME(2,36,21)</f>
        <v>41404.108576388891</v>
      </c>
      <c r="C1981">
        <v>80</v>
      </c>
      <c r="D1981">
        <v>79.978996276999993</v>
      </c>
      <c r="E1981">
        <v>50</v>
      </c>
      <c r="F1981">
        <v>49.444629669000001</v>
      </c>
      <c r="G1981">
        <v>1340.7803954999999</v>
      </c>
      <c r="H1981">
        <v>1337.9578856999999</v>
      </c>
      <c r="I1981">
        <v>1326.2728271000001</v>
      </c>
      <c r="J1981">
        <v>1324.2030029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1105.358929</v>
      </c>
      <c r="B1982" s="1">
        <f>DATE(2013,5,10) + TIME(8,36,51)</f>
        <v>41404.358923611115</v>
      </c>
      <c r="C1982">
        <v>80</v>
      </c>
      <c r="D1982">
        <v>79.978958129999995</v>
      </c>
      <c r="E1982">
        <v>50</v>
      </c>
      <c r="F1982">
        <v>49.432521819999998</v>
      </c>
      <c r="G1982">
        <v>1340.7724608999999</v>
      </c>
      <c r="H1982">
        <v>1337.9552002</v>
      </c>
      <c r="I1982">
        <v>1326.2712402</v>
      </c>
      <c r="J1982">
        <v>1324.2009277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1105.613409</v>
      </c>
      <c r="B1983" s="1">
        <f>DATE(2013,5,10) + TIME(14,43,18)</f>
        <v>41404.613402777781</v>
      </c>
      <c r="C1983">
        <v>80</v>
      </c>
      <c r="D1983">
        <v>79.978927612000007</v>
      </c>
      <c r="E1983">
        <v>50</v>
      </c>
      <c r="F1983">
        <v>49.420257567999997</v>
      </c>
      <c r="G1983">
        <v>1340.7642822</v>
      </c>
      <c r="H1983">
        <v>1337.9525146000001</v>
      </c>
      <c r="I1983">
        <v>1326.2695312000001</v>
      </c>
      <c r="J1983">
        <v>1324.1987305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1105.872662</v>
      </c>
      <c r="B1984" s="1">
        <f>DATE(2013,5,10) + TIME(20,56,38)</f>
        <v>41404.872662037036</v>
      </c>
      <c r="C1984">
        <v>80</v>
      </c>
      <c r="D1984">
        <v>79.978889464999995</v>
      </c>
      <c r="E1984">
        <v>50</v>
      </c>
      <c r="F1984">
        <v>49.407814025999997</v>
      </c>
      <c r="G1984">
        <v>1340.7562256000001</v>
      </c>
      <c r="H1984">
        <v>1337.949707</v>
      </c>
      <c r="I1984">
        <v>1326.2678223</v>
      </c>
      <c r="J1984">
        <v>1324.1964111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1106.1372819999999</v>
      </c>
      <c r="B1985" s="1">
        <f>DATE(2013,5,11) + TIME(3,17,41)</f>
        <v>41405.137280092589</v>
      </c>
      <c r="C1985">
        <v>80</v>
      </c>
      <c r="D1985">
        <v>79.978851317999997</v>
      </c>
      <c r="E1985">
        <v>50</v>
      </c>
      <c r="F1985">
        <v>49.395183563000003</v>
      </c>
      <c r="G1985">
        <v>1340.7481689000001</v>
      </c>
      <c r="H1985">
        <v>1337.9470214999999</v>
      </c>
      <c r="I1985">
        <v>1326.2659911999999</v>
      </c>
      <c r="J1985">
        <v>1324.1940918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1106.4079320000001</v>
      </c>
      <c r="B1986" s="1">
        <f>DATE(2013,5,11) + TIME(9,47,25)</f>
        <v>41405.40792824074</v>
      </c>
      <c r="C1986">
        <v>80</v>
      </c>
      <c r="D1986">
        <v>79.978813170999999</v>
      </c>
      <c r="E1986">
        <v>50</v>
      </c>
      <c r="F1986">
        <v>49.382343292000002</v>
      </c>
      <c r="G1986">
        <v>1340.7401123</v>
      </c>
      <c r="H1986">
        <v>1337.9443358999999</v>
      </c>
      <c r="I1986">
        <v>1326.2641602000001</v>
      </c>
      <c r="J1986">
        <v>1324.1916504000001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1106.6829319999999</v>
      </c>
      <c r="B1987" s="1">
        <f>DATE(2013,5,11) + TIME(16,23,25)</f>
        <v>41405.682928240742</v>
      </c>
      <c r="C1987">
        <v>80</v>
      </c>
      <c r="D1987">
        <v>79.978775024000001</v>
      </c>
      <c r="E1987">
        <v>50</v>
      </c>
      <c r="F1987">
        <v>49.369350433000001</v>
      </c>
      <c r="G1987">
        <v>1340.7320557</v>
      </c>
      <c r="H1987">
        <v>1337.9416504000001</v>
      </c>
      <c r="I1987">
        <v>1326.262207</v>
      </c>
      <c r="J1987">
        <v>1324.1890868999999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1106.96135</v>
      </c>
      <c r="B1988" s="1">
        <f>DATE(2013,5,11) + TIME(23,4,20)</f>
        <v>41405.961342592593</v>
      </c>
      <c r="C1988">
        <v>80</v>
      </c>
      <c r="D1988">
        <v>79.978736877000003</v>
      </c>
      <c r="E1988">
        <v>50</v>
      </c>
      <c r="F1988">
        <v>49.356246947999999</v>
      </c>
      <c r="G1988">
        <v>1340.7241211</v>
      </c>
      <c r="H1988">
        <v>1337.9389647999999</v>
      </c>
      <c r="I1988">
        <v>1326.2602539</v>
      </c>
      <c r="J1988">
        <v>1324.1865233999999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1107.2439409999999</v>
      </c>
      <c r="B1989" s="1">
        <f>DATE(2013,5,12) + TIME(5,51,16)</f>
        <v>41406.243935185186</v>
      </c>
      <c r="C1989">
        <v>80</v>
      </c>
      <c r="D1989">
        <v>79.978698730000005</v>
      </c>
      <c r="E1989">
        <v>50</v>
      </c>
      <c r="F1989">
        <v>49.343017578000001</v>
      </c>
      <c r="G1989">
        <v>1340.7160644999999</v>
      </c>
      <c r="H1989">
        <v>1337.9364014</v>
      </c>
      <c r="I1989">
        <v>1326.2583007999999</v>
      </c>
      <c r="J1989">
        <v>1324.1838379000001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1107.5314739999999</v>
      </c>
      <c r="B1990" s="1">
        <f>DATE(2013,5,12) + TIME(12,45,19)</f>
        <v>41406.531469907408</v>
      </c>
      <c r="C1990">
        <v>80</v>
      </c>
      <c r="D1990">
        <v>79.978660583000007</v>
      </c>
      <c r="E1990">
        <v>50</v>
      </c>
      <c r="F1990">
        <v>49.329635619999998</v>
      </c>
      <c r="G1990">
        <v>1340.7082519999999</v>
      </c>
      <c r="H1990">
        <v>1337.9337158000001</v>
      </c>
      <c r="I1990">
        <v>1326.2562256000001</v>
      </c>
      <c r="J1990">
        <v>1324.1810303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1107.824116</v>
      </c>
      <c r="B1991" s="1">
        <f>DATE(2013,5,12) + TIME(19,46,43)</f>
        <v>41406.824108796296</v>
      </c>
      <c r="C1991">
        <v>80</v>
      </c>
      <c r="D1991">
        <v>79.978622436999999</v>
      </c>
      <c r="E1991">
        <v>50</v>
      </c>
      <c r="F1991">
        <v>49.316101074000002</v>
      </c>
      <c r="G1991">
        <v>1340.7003173999999</v>
      </c>
      <c r="H1991">
        <v>1337.9311522999999</v>
      </c>
      <c r="I1991">
        <v>1326.2540283000001</v>
      </c>
      <c r="J1991">
        <v>1324.1782227000001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1108.1223230000001</v>
      </c>
      <c r="B1992" s="1">
        <f>DATE(2013,5,13) + TIME(2,56,8)</f>
        <v>41407.122314814813</v>
      </c>
      <c r="C1992">
        <v>80</v>
      </c>
      <c r="D1992">
        <v>79.978584290000001</v>
      </c>
      <c r="E1992">
        <v>50</v>
      </c>
      <c r="F1992">
        <v>49.302398682000003</v>
      </c>
      <c r="G1992">
        <v>1340.6925048999999</v>
      </c>
      <c r="H1992">
        <v>1337.9287108999999</v>
      </c>
      <c r="I1992">
        <v>1326.2518310999999</v>
      </c>
      <c r="J1992">
        <v>1324.1751709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1108.4281960000001</v>
      </c>
      <c r="B1993" s="1">
        <f>DATE(2013,5,13) + TIME(10,16,36)</f>
        <v>41407.428194444445</v>
      </c>
      <c r="C1993">
        <v>80</v>
      </c>
      <c r="D1993">
        <v>79.978546143000003</v>
      </c>
      <c r="E1993">
        <v>50</v>
      </c>
      <c r="F1993">
        <v>49.288459778000004</v>
      </c>
      <c r="G1993">
        <v>1340.6846923999999</v>
      </c>
      <c r="H1993">
        <v>1337.9261475000001</v>
      </c>
      <c r="I1993">
        <v>1326.2495117000001</v>
      </c>
      <c r="J1993">
        <v>1324.1721190999999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1108.743573</v>
      </c>
      <c r="B1994" s="1">
        <f>DATE(2013,5,13) + TIME(17,50,44)</f>
        <v>41407.743564814817</v>
      </c>
      <c r="C1994">
        <v>80</v>
      </c>
      <c r="D1994">
        <v>79.978507996000005</v>
      </c>
      <c r="E1994">
        <v>50</v>
      </c>
      <c r="F1994">
        <v>49.274219512999998</v>
      </c>
      <c r="G1994">
        <v>1340.6768798999999</v>
      </c>
      <c r="H1994">
        <v>1337.9237060999999</v>
      </c>
      <c r="I1994">
        <v>1326.2471923999999</v>
      </c>
      <c r="J1994">
        <v>1324.1689452999999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1109.0698030000001</v>
      </c>
      <c r="B1995" s="1">
        <f>DATE(2013,5,14) + TIME(1,40,30)</f>
        <v>41408.069791666669</v>
      </c>
      <c r="C1995">
        <v>80</v>
      </c>
      <c r="D1995">
        <v>79.978469849000007</v>
      </c>
      <c r="E1995">
        <v>50</v>
      </c>
      <c r="F1995">
        <v>49.259632111000002</v>
      </c>
      <c r="G1995">
        <v>1340.6689452999999</v>
      </c>
      <c r="H1995">
        <v>1337.9211425999999</v>
      </c>
      <c r="I1995">
        <v>1326.2446289</v>
      </c>
      <c r="J1995">
        <v>1324.1656493999999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1109.3994110000001</v>
      </c>
      <c r="B1996" s="1">
        <f>DATE(2013,5,14) + TIME(9,35,9)</f>
        <v>41408.399409722224</v>
      </c>
      <c r="C1996">
        <v>80</v>
      </c>
      <c r="D1996">
        <v>79.978431701999995</v>
      </c>
      <c r="E1996">
        <v>50</v>
      </c>
      <c r="F1996">
        <v>49.244922637999998</v>
      </c>
      <c r="G1996">
        <v>1340.6610106999999</v>
      </c>
      <c r="H1996">
        <v>1337.9187012</v>
      </c>
      <c r="I1996">
        <v>1326.2420654</v>
      </c>
      <c r="J1996">
        <v>1324.1621094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1109.7321300000001</v>
      </c>
      <c r="B1997" s="1">
        <f>DATE(2013,5,14) + TIME(17,34,16)</f>
        <v>41408.732129629629</v>
      </c>
      <c r="C1997">
        <v>80</v>
      </c>
      <c r="D1997">
        <v>79.978393554999997</v>
      </c>
      <c r="E1997">
        <v>50</v>
      </c>
      <c r="F1997">
        <v>49.230113983000003</v>
      </c>
      <c r="G1997">
        <v>1340.6531981999999</v>
      </c>
      <c r="H1997">
        <v>1337.9161377</v>
      </c>
      <c r="I1997">
        <v>1326.2393798999999</v>
      </c>
      <c r="J1997">
        <v>1324.1584473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1110.068884</v>
      </c>
      <c r="B1998" s="1">
        <f>DATE(2013,5,15) + TIME(1,39,11)</f>
        <v>41409.068877314814</v>
      </c>
      <c r="C1998">
        <v>80</v>
      </c>
      <c r="D1998">
        <v>79.978355407999999</v>
      </c>
      <c r="E1998">
        <v>50</v>
      </c>
      <c r="F1998">
        <v>49.215202331999997</v>
      </c>
      <c r="G1998">
        <v>1340.6453856999999</v>
      </c>
      <c r="H1998">
        <v>1337.9138184000001</v>
      </c>
      <c r="I1998">
        <v>1326.2366943</v>
      </c>
      <c r="J1998">
        <v>1324.1547852000001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1110.410318</v>
      </c>
      <c r="B1999" s="1">
        <f>DATE(2013,5,15) + TIME(9,50,51)</f>
        <v>41409.410312499997</v>
      </c>
      <c r="C1999">
        <v>80</v>
      </c>
      <c r="D1999">
        <v>79.978317261000001</v>
      </c>
      <c r="E1999">
        <v>50</v>
      </c>
      <c r="F1999">
        <v>49.200168609999999</v>
      </c>
      <c r="G1999">
        <v>1340.6376952999999</v>
      </c>
      <c r="H1999">
        <v>1337.9113769999999</v>
      </c>
      <c r="I1999">
        <v>1326.2338867000001</v>
      </c>
      <c r="J1999">
        <v>1324.151001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1110.757259</v>
      </c>
      <c r="B2000" s="1">
        <f>DATE(2013,5,15) + TIME(18,10,27)</f>
        <v>41409.757256944446</v>
      </c>
      <c r="C2000">
        <v>80</v>
      </c>
      <c r="D2000">
        <v>79.978279114000003</v>
      </c>
      <c r="E2000">
        <v>50</v>
      </c>
      <c r="F2000">
        <v>49.184997559000003</v>
      </c>
      <c r="G2000">
        <v>1340.6300048999999</v>
      </c>
      <c r="H2000">
        <v>1337.9090576000001</v>
      </c>
      <c r="I2000">
        <v>1326.230957</v>
      </c>
      <c r="J2000">
        <v>1324.1470947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1111.1105749999999</v>
      </c>
      <c r="B2001" s="1">
        <f>DATE(2013,5,16) + TIME(2,39,13)</f>
        <v>41410.110567129632</v>
      </c>
      <c r="C2001">
        <v>80</v>
      </c>
      <c r="D2001">
        <v>79.978240967000005</v>
      </c>
      <c r="E2001">
        <v>50</v>
      </c>
      <c r="F2001">
        <v>49.169662475999999</v>
      </c>
      <c r="G2001">
        <v>1340.6224365</v>
      </c>
      <c r="H2001">
        <v>1337.9067382999999</v>
      </c>
      <c r="I2001">
        <v>1326.2280272999999</v>
      </c>
      <c r="J2001">
        <v>1324.1430664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1111.471196</v>
      </c>
      <c r="B2002" s="1">
        <f>DATE(2013,5,16) + TIME(11,18,31)</f>
        <v>41410.471192129633</v>
      </c>
      <c r="C2002">
        <v>80</v>
      </c>
      <c r="D2002">
        <v>79.978202820000007</v>
      </c>
      <c r="E2002">
        <v>50</v>
      </c>
      <c r="F2002">
        <v>49.154132842999999</v>
      </c>
      <c r="G2002">
        <v>1340.6148682</v>
      </c>
      <c r="H2002">
        <v>1337.9044189000001</v>
      </c>
      <c r="I2002">
        <v>1326.2249756000001</v>
      </c>
      <c r="J2002">
        <v>1324.1389160000001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1111.840152</v>
      </c>
      <c r="B2003" s="1">
        <f>DATE(2013,5,16) + TIME(20,9,49)</f>
        <v>41410.840150462966</v>
      </c>
      <c r="C2003">
        <v>80</v>
      </c>
      <c r="D2003">
        <v>79.978164672999995</v>
      </c>
      <c r="E2003">
        <v>50</v>
      </c>
      <c r="F2003">
        <v>49.138381957999997</v>
      </c>
      <c r="G2003">
        <v>1340.6072998</v>
      </c>
      <c r="H2003">
        <v>1337.9020995999999</v>
      </c>
      <c r="I2003">
        <v>1326.2218018000001</v>
      </c>
      <c r="J2003">
        <v>1324.1345214999999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1112.218693</v>
      </c>
      <c r="B2004" s="1">
        <f>DATE(2013,5,17) + TIME(5,14,55)</f>
        <v>41411.218692129631</v>
      </c>
      <c r="C2004">
        <v>80</v>
      </c>
      <c r="D2004">
        <v>79.978126525999997</v>
      </c>
      <c r="E2004">
        <v>50</v>
      </c>
      <c r="F2004">
        <v>49.122364044000001</v>
      </c>
      <c r="G2004">
        <v>1340.5998535000001</v>
      </c>
      <c r="H2004">
        <v>1337.8999022999999</v>
      </c>
      <c r="I2004">
        <v>1326.2185059000001</v>
      </c>
      <c r="J2004">
        <v>1324.1300048999999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1112.6051829999999</v>
      </c>
      <c r="B2005" s="1">
        <f>DATE(2013,5,17) + TIME(14,31,27)</f>
        <v>41411.605173611111</v>
      </c>
      <c r="C2005">
        <v>80</v>
      </c>
      <c r="D2005">
        <v>79.978080750000004</v>
      </c>
      <c r="E2005">
        <v>50</v>
      </c>
      <c r="F2005">
        <v>49.106121063000003</v>
      </c>
      <c r="G2005">
        <v>1340.5922852000001</v>
      </c>
      <c r="H2005">
        <v>1337.8975829999999</v>
      </c>
      <c r="I2005">
        <v>1326.2150879000001</v>
      </c>
      <c r="J2005">
        <v>1324.1253661999999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1112.9956179999999</v>
      </c>
      <c r="B2006" s="1">
        <f>DATE(2013,5,17) + TIME(23,53,41)</f>
        <v>41411.995613425926</v>
      </c>
      <c r="C2006">
        <v>80</v>
      </c>
      <c r="D2006">
        <v>79.978042603000006</v>
      </c>
      <c r="E2006">
        <v>50</v>
      </c>
      <c r="F2006">
        <v>49.089767455999997</v>
      </c>
      <c r="G2006">
        <v>1340.5847168</v>
      </c>
      <c r="H2006">
        <v>1337.8953856999999</v>
      </c>
      <c r="I2006">
        <v>1326.2116699000001</v>
      </c>
      <c r="J2006">
        <v>1324.1206055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1113.391194</v>
      </c>
      <c r="B2007" s="1">
        <f>DATE(2013,5,18) + TIME(9,23,19)</f>
        <v>41412.391192129631</v>
      </c>
      <c r="C2007">
        <v>80</v>
      </c>
      <c r="D2007">
        <v>79.978004455999994</v>
      </c>
      <c r="E2007">
        <v>50</v>
      </c>
      <c r="F2007">
        <v>49.073287964000002</v>
      </c>
      <c r="G2007">
        <v>1340.5772704999999</v>
      </c>
      <c r="H2007">
        <v>1337.8931885</v>
      </c>
      <c r="I2007">
        <v>1326.2080077999999</v>
      </c>
      <c r="J2007">
        <v>1324.1156006000001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1113.79312</v>
      </c>
      <c r="B2008" s="1">
        <f>DATE(2013,5,18) + TIME(19,2,5)</f>
        <v>41412.793113425927</v>
      </c>
      <c r="C2008">
        <v>80</v>
      </c>
      <c r="D2008">
        <v>79.977973938000005</v>
      </c>
      <c r="E2008">
        <v>50</v>
      </c>
      <c r="F2008">
        <v>49.056667328000003</v>
      </c>
      <c r="G2008">
        <v>1340.5698242000001</v>
      </c>
      <c r="H2008">
        <v>1337.8909911999999</v>
      </c>
      <c r="I2008">
        <v>1326.2043457</v>
      </c>
      <c r="J2008">
        <v>1324.1104736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1114.204252</v>
      </c>
      <c r="B2009" s="1">
        <f>DATE(2013,5,19) + TIME(4,54,7)</f>
        <v>41413.204247685186</v>
      </c>
      <c r="C2009">
        <v>80</v>
      </c>
      <c r="D2009">
        <v>79.977935790999993</v>
      </c>
      <c r="E2009">
        <v>50</v>
      </c>
      <c r="F2009">
        <v>49.039821625000002</v>
      </c>
      <c r="G2009">
        <v>1340.5625</v>
      </c>
      <c r="H2009">
        <v>1337.8887939000001</v>
      </c>
      <c r="I2009">
        <v>1326.2005615</v>
      </c>
      <c r="J2009">
        <v>1324.1052245999999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1114.628211</v>
      </c>
      <c r="B2010" s="1">
        <f>DATE(2013,5,19) + TIME(15,4,37)</f>
        <v>41413.628206018519</v>
      </c>
      <c r="C2010">
        <v>80</v>
      </c>
      <c r="D2010">
        <v>79.977897643999995</v>
      </c>
      <c r="E2010">
        <v>50</v>
      </c>
      <c r="F2010">
        <v>49.022651672000002</v>
      </c>
      <c r="G2010">
        <v>1340.5550536999999</v>
      </c>
      <c r="H2010">
        <v>1337.8865966999999</v>
      </c>
      <c r="I2010">
        <v>1326.1966553</v>
      </c>
      <c r="J2010">
        <v>1324.0998535000001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1115.067121</v>
      </c>
      <c r="B2011" s="1">
        <f>DATE(2013,5,20) + TIME(1,36,39)</f>
        <v>41414.067118055558</v>
      </c>
      <c r="C2011">
        <v>80</v>
      </c>
      <c r="D2011">
        <v>79.977859496999997</v>
      </c>
      <c r="E2011">
        <v>50</v>
      </c>
      <c r="F2011">
        <v>49.005084990999997</v>
      </c>
      <c r="G2011">
        <v>1340.5477295000001</v>
      </c>
      <c r="H2011">
        <v>1337.8843993999999</v>
      </c>
      <c r="I2011">
        <v>1326.1926269999999</v>
      </c>
      <c r="J2011">
        <v>1324.0941161999999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1115.5233909999999</v>
      </c>
      <c r="B2012" s="1">
        <f>DATE(2013,5,20) + TIME(12,33,41)</f>
        <v>41414.5233912037</v>
      </c>
      <c r="C2012">
        <v>80</v>
      </c>
      <c r="D2012">
        <v>79.977821349999999</v>
      </c>
      <c r="E2012">
        <v>50</v>
      </c>
      <c r="F2012">
        <v>48.987041472999998</v>
      </c>
      <c r="G2012">
        <v>1340.5401611</v>
      </c>
      <c r="H2012">
        <v>1337.8822021000001</v>
      </c>
      <c r="I2012">
        <v>1326.1883545000001</v>
      </c>
      <c r="J2012">
        <v>1324.0881348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1115.9982829999999</v>
      </c>
      <c r="B2013" s="1">
        <f>DATE(2013,5,20) + TIME(23,57,31)</f>
        <v>41414.99827546296</v>
      </c>
      <c r="C2013">
        <v>80</v>
      </c>
      <c r="D2013">
        <v>79.977775574000006</v>
      </c>
      <c r="E2013">
        <v>50</v>
      </c>
      <c r="F2013">
        <v>48.968467711999999</v>
      </c>
      <c r="G2013">
        <v>1340.5325928</v>
      </c>
      <c r="H2013">
        <v>1337.8800048999999</v>
      </c>
      <c r="I2013">
        <v>1326.1838379000001</v>
      </c>
      <c r="J2013">
        <v>1324.0819091999999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1116.4811239999999</v>
      </c>
      <c r="B2014" s="1">
        <f>DATE(2013,5,21) + TIME(11,32,49)</f>
        <v>41415.481122685182</v>
      </c>
      <c r="C2014">
        <v>80</v>
      </c>
      <c r="D2014">
        <v>79.977737426999994</v>
      </c>
      <c r="E2014">
        <v>50</v>
      </c>
      <c r="F2014">
        <v>48.949600220000001</v>
      </c>
      <c r="G2014">
        <v>1340.5247803</v>
      </c>
      <c r="H2014">
        <v>1337.8776855000001</v>
      </c>
      <c r="I2014">
        <v>1326.1790771000001</v>
      </c>
      <c r="J2014">
        <v>1324.0753173999999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1116.964213</v>
      </c>
      <c r="B2015" s="1">
        <f>DATE(2013,5,21) + TIME(23,8,28)</f>
        <v>41415.964212962965</v>
      </c>
      <c r="C2015">
        <v>80</v>
      </c>
      <c r="D2015">
        <v>79.977699279999996</v>
      </c>
      <c r="E2015">
        <v>50</v>
      </c>
      <c r="F2015">
        <v>48.930679321</v>
      </c>
      <c r="G2015">
        <v>1340.5170897999999</v>
      </c>
      <c r="H2015">
        <v>1337.8754882999999</v>
      </c>
      <c r="I2015">
        <v>1326.1741943</v>
      </c>
      <c r="J2015">
        <v>1324.0684814000001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1117.448936</v>
      </c>
      <c r="B2016" s="1">
        <f>DATE(2013,5,22) + TIME(10,46,28)</f>
        <v>41416.448935185188</v>
      </c>
      <c r="C2016">
        <v>80</v>
      </c>
      <c r="D2016">
        <v>79.977661132999998</v>
      </c>
      <c r="E2016">
        <v>50</v>
      </c>
      <c r="F2016">
        <v>48.911746979</v>
      </c>
      <c r="G2016">
        <v>1340.5095214999999</v>
      </c>
      <c r="H2016">
        <v>1337.8732910000001</v>
      </c>
      <c r="I2016">
        <v>1326.1693115</v>
      </c>
      <c r="J2016">
        <v>1324.0615233999999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1117.9366769999999</v>
      </c>
      <c r="B2017" s="1">
        <f>DATE(2013,5,22) + TIME(22,28,48)</f>
        <v>41416.936666666668</v>
      </c>
      <c r="C2017">
        <v>80</v>
      </c>
      <c r="D2017">
        <v>79.977622986</v>
      </c>
      <c r="E2017">
        <v>50</v>
      </c>
      <c r="F2017">
        <v>48.892807007000002</v>
      </c>
      <c r="G2017">
        <v>1340.5020752</v>
      </c>
      <c r="H2017">
        <v>1337.8710937999999</v>
      </c>
      <c r="I2017">
        <v>1326.1643065999999</v>
      </c>
      <c r="J2017">
        <v>1324.0545654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1118.4288260000001</v>
      </c>
      <c r="B2018" s="1">
        <f>DATE(2013,5,23) + TIME(10,17,30)</f>
        <v>41417.428819444445</v>
      </c>
      <c r="C2018">
        <v>80</v>
      </c>
      <c r="D2018">
        <v>79.977584839000002</v>
      </c>
      <c r="E2018">
        <v>50</v>
      </c>
      <c r="F2018">
        <v>48.873844147</v>
      </c>
      <c r="G2018">
        <v>1340.4948730000001</v>
      </c>
      <c r="H2018">
        <v>1337.8690185999999</v>
      </c>
      <c r="I2018">
        <v>1326.1591797000001</v>
      </c>
      <c r="J2018">
        <v>1324.0473632999999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1118.9269830000001</v>
      </c>
      <c r="B2019" s="1">
        <f>DATE(2013,5,23) + TIME(22,14,51)</f>
        <v>41417.926979166667</v>
      </c>
      <c r="C2019">
        <v>80</v>
      </c>
      <c r="D2019">
        <v>79.977546692000004</v>
      </c>
      <c r="E2019">
        <v>50</v>
      </c>
      <c r="F2019">
        <v>48.854820251</v>
      </c>
      <c r="G2019">
        <v>1340.4876709</v>
      </c>
      <c r="H2019">
        <v>1337.8669434000001</v>
      </c>
      <c r="I2019">
        <v>1326.1540527</v>
      </c>
      <c r="J2019">
        <v>1324.0400391000001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1119.432407</v>
      </c>
      <c r="B2020" s="1">
        <f>DATE(2013,5,24) + TIME(10,22,39)</f>
        <v>41418.432395833333</v>
      </c>
      <c r="C2020">
        <v>80</v>
      </c>
      <c r="D2020">
        <v>79.977508545000006</v>
      </c>
      <c r="E2020">
        <v>50</v>
      </c>
      <c r="F2020">
        <v>48.835708617999998</v>
      </c>
      <c r="G2020">
        <v>1340.4804687999999</v>
      </c>
      <c r="H2020">
        <v>1337.8648682</v>
      </c>
      <c r="I2020">
        <v>1326.1486815999999</v>
      </c>
      <c r="J2020">
        <v>1324.0325928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1119.9466110000001</v>
      </c>
      <c r="B2021" s="1">
        <f>DATE(2013,5,24) + TIME(22,43,7)</f>
        <v>41418.946608796294</v>
      </c>
      <c r="C2021">
        <v>80</v>
      </c>
      <c r="D2021">
        <v>79.977478027000004</v>
      </c>
      <c r="E2021">
        <v>50</v>
      </c>
      <c r="F2021">
        <v>48.816459655999999</v>
      </c>
      <c r="G2021">
        <v>1340.4733887</v>
      </c>
      <c r="H2021">
        <v>1337.862793</v>
      </c>
      <c r="I2021">
        <v>1326.1433105000001</v>
      </c>
      <c r="J2021">
        <v>1324.0247803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1120.471585</v>
      </c>
      <c r="B2022" s="1">
        <f>DATE(2013,5,25) + TIME(11,19,4)</f>
        <v>41419.471574074072</v>
      </c>
      <c r="C2022">
        <v>80</v>
      </c>
      <c r="D2022">
        <v>79.977439880000006</v>
      </c>
      <c r="E2022">
        <v>50</v>
      </c>
      <c r="F2022">
        <v>48.797019958</v>
      </c>
      <c r="G2022">
        <v>1340.4663086</v>
      </c>
      <c r="H2022">
        <v>1337.8608397999999</v>
      </c>
      <c r="I2022">
        <v>1326.1376952999999</v>
      </c>
      <c r="J2022">
        <v>1324.0169678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1121.0091279999999</v>
      </c>
      <c r="B2023" s="1">
        <f>DATE(2013,5,26) + TIME(0,13,8)</f>
        <v>41420.009120370371</v>
      </c>
      <c r="C2023">
        <v>80</v>
      </c>
      <c r="D2023">
        <v>79.977401732999994</v>
      </c>
      <c r="E2023">
        <v>50</v>
      </c>
      <c r="F2023">
        <v>48.777332305999998</v>
      </c>
      <c r="G2023">
        <v>1340.4592285000001</v>
      </c>
      <c r="H2023">
        <v>1337.8587646000001</v>
      </c>
      <c r="I2023">
        <v>1326.1319579999999</v>
      </c>
      <c r="J2023">
        <v>1324.0087891000001</v>
      </c>
      <c r="K2023">
        <v>2750</v>
      </c>
      <c r="L2023">
        <v>0</v>
      </c>
      <c r="M2023">
        <v>0</v>
      </c>
      <c r="N2023">
        <v>2750</v>
      </c>
    </row>
    <row r="2024" spans="1:14" x14ac:dyDescent="0.25">
      <c r="A2024">
        <v>1121.561148</v>
      </c>
      <c r="B2024" s="1">
        <f>DATE(2013,5,26) + TIME(13,28,3)</f>
        <v>41420.561145833337</v>
      </c>
      <c r="C2024">
        <v>80</v>
      </c>
      <c r="D2024">
        <v>79.977363585999996</v>
      </c>
      <c r="E2024">
        <v>50</v>
      </c>
      <c r="F2024">
        <v>48.757343292000002</v>
      </c>
      <c r="G2024">
        <v>1340.4521483999999</v>
      </c>
      <c r="H2024">
        <v>1337.8566894999999</v>
      </c>
      <c r="I2024">
        <v>1326.1259766000001</v>
      </c>
      <c r="J2024">
        <v>1324.0003661999999</v>
      </c>
      <c r="K2024">
        <v>2750</v>
      </c>
      <c r="L2024">
        <v>0</v>
      </c>
      <c r="M2024">
        <v>0</v>
      </c>
      <c r="N2024">
        <v>2750</v>
      </c>
    </row>
    <row r="2025" spans="1:14" x14ac:dyDescent="0.25">
      <c r="A2025">
        <v>1122.1339479999999</v>
      </c>
      <c r="B2025" s="1">
        <f>DATE(2013,5,27) + TIME(3,12,53)</f>
        <v>41421.133946759262</v>
      </c>
      <c r="C2025">
        <v>80</v>
      </c>
      <c r="D2025">
        <v>79.977333068999997</v>
      </c>
      <c r="E2025">
        <v>50</v>
      </c>
      <c r="F2025">
        <v>48.736900329999997</v>
      </c>
      <c r="G2025">
        <v>1340.4450684000001</v>
      </c>
      <c r="H2025">
        <v>1337.8546143000001</v>
      </c>
      <c r="I2025">
        <v>1326.1198730000001</v>
      </c>
      <c r="J2025">
        <v>1323.9915771000001</v>
      </c>
      <c r="K2025">
        <v>2750</v>
      </c>
      <c r="L2025">
        <v>0</v>
      </c>
      <c r="M2025">
        <v>0</v>
      </c>
      <c r="N2025">
        <v>2750</v>
      </c>
    </row>
    <row r="2026" spans="1:14" x14ac:dyDescent="0.25">
      <c r="A2026">
        <v>1122.716398</v>
      </c>
      <c r="B2026" s="1">
        <f>DATE(2013,5,27) + TIME(17,11,36)</f>
        <v>41421.71638888889</v>
      </c>
      <c r="C2026">
        <v>80</v>
      </c>
      <c r="D2026">
        <v>79.977294921999999</v>
      </c>
      <c r="E2026">
        <v>50</v>
      </c>
      <c r="F2026">
        <v>48.716190337999997</v>
      </c>
      <c r="G2026">
        <v>1340.4378661999999</v>
      </c>
      <c r="H2026">
        <v>1337.8525391000001</v>
      </c>
      <c r="I2026">
        <v>1326.1134033000001</v>
      </c>
      <c r="J2026">
        <v>1323.9824219</v>
      </c>
      <c r="K2026">
        <v>2750</v>
      </c>
      <c r="L2026">
        <v>0</v>
      </c>
      <c r="M2026">
        <v>0</v>
      </c>
      <c r="N2026">
        <v>2750</v>
      </c>
    </row>
    <row r="2027" spans="1:14" x14ac:dyDescent="0.25">
      <c r="A2027">
        <v>1123.312351</v>
      </c>
      <c r="B2027" s="1">
        <f>DATE(2013,5,28) + TIME(7,29,47)</f>
        <v>41422.312349537038</v>
      </c>
      <c r="C2027">
        <v>80</v>
      </c>
      <c r="D2027">
        <v>79.977256775000001</v>
      </c>
      <c r="E2027">
        <v>50</v>
      </c>
      <c r="F2027">
        <v>48.695178986000002</v>
      </c>
      <c r="G2027">
        <v>1340.4306641000001</v>
      </c>
      <c r="H2027">
        <v>1337.8503418</v>
      </c>
      <c r="I2027">
        <v>1326.1068115</v>
      </c>
      <c r="J2027">
        <v>1323.9730225000001</v>
      </c>
      <c r="K2027">
        <v>2750</v>
      </c>
      <c r="L2027">
        <v>0</v>
      </c>
      <c r="M2027">
        <v>0</v>
      </c>
      <c r="N2027">
        <v>2750</v>
      </c>
    </row>
    <row r="2028" spans="1:14" x14ac:dyDescent="0.25">
      <c r="A2028">
        <v>1123.925571</v>
      </c>
      <c r="B2028" s="1">
        <f>DATE(2013,5,28) + TIME(22,12,49)</f>
        <v>41422.925567129627</v>
      </c>
      <c r="C2028">
        <v>80</v>
      </c>
      <c r="D2028">
        <v>79.977218628000003</v>
      </c>
      <c r="E2028">
        <v>50</v>
      </c>
      <c r="F2028">
        <v>48.673801421999997</v>
      </c>
      <c r="G2028">
        <v>1340.4234618999999</v>
      </c>
      <c r="H2028">
        <v>1337.8482666</v>
      </c>
      <c r="I2028">
        <v>1326.0999756000001</v>
      </c>
      <c r="J2028">
        <v>1323.9632568</v>
      </c>
      <c r="K2028">
        <v>2750</v>
      </c>
      <c r="L2028">
        <v>0</v>
      </c>
      <c r="M2028">
        <v>0</v>
      </c>
      <c r="N2028">
        <v>2750</v>
      </c>
    </row>
    <row r="2029" spans="1:14" x14ac:dyDescent="0.25">
      <c r="A2029">
        <v>1124.561463</v>
      </c>
      <c r="B2029" s="1">
        <f>DATE(2013,5,29) + TIME(13,28,30)</f>
        <v>41423.56145833333</v>
      </c>
      <c r="C2029">
        <v>80</v>
      </c>
      <c r="D2029">
        <v>79.977180481000005</v>
      </c>
      <c r="E2029">
        <v>50</v>
      </c>
      <c r="F2029">
        <v>48.651943207000002</v>
      </c>
      <c r="G2029">
        <v>1340.4161377</v>
      </c>
      <c r="H2029">
        <v>1337.8460693</v>
      </c>
      <c r="I2029">
        <v>1326.0928954999999</v>
      </c>
      <c r="J2029">
        <v>1323.953125</v>
      </c>
      <c r="K2029">
        <v>2750</v>
      </c>
      <c r="L2029">
        <v>0</v>
      </c>
      <c r="M2029">
        <v>0</v>
      </c>
      <c r="N2029">
        <v>2750</v>
      </c>
    </row>
    <row r="2030" spans="1:14" x14ac:dyDescent="0.25">
      <c r="A2030">
        <v>1125.223929</v>
      </c>
      <c r="B2030" s="1">
        <f>DATE(2013,5,30) + TIME(5,22,27)</f>
        <v>41424.223923611113</v>
      </c>
      <c r="C2030">
        <v>80</v>
      </c>
      <c r="D2030">
        <v>79.977149963000002</v>
      </c>
      <c r="E2030">
        <v>50</v>
      </c>
      <c r="F2030">
        <v>48.629486084</v>
      </c>
      <c r="G2030">
        <v>1340.4088135</v>
      </c>
      <c r="H2030">
        <v>1337.8438721</v>
      </c>
      <c r="I2030">
        <v>1326.0855713000001</v>
      </c>
      <c r="J2030">
        <v>1323.9425048999999</v>
      </c>
      <c r="K2030">
        <v>2750</v>
      </c>
      <c r="L2030">
        <v>0</v>
      </c>
      <c r="M2030">
        <v>0</v>
      </c>
      <c r="N2030">
        <v>2750</v>
      </c>
    </row>
    <row r="2031" spans="1:14" x14ac:dyDescent="0.25">
      <c r="A2031">
        <v>1125.9036510000001</v>
      </c>
      <c r="B2031" s="1">
        <f>DATE(2013,5,30) + TIME(21,41,15)</f>
        <v>41424.903645833336</v>
      </c>
      <c r="C2031">
        <v>80</v>
      </c>
      <c r="D2031">
        <v>79.977111816000004</v>
      </c>
      <c r="E2031">
        <v>50</v>
      </c>
      <c r="F2031">
        <v>48.606563567999999</v>
      </c>
      <c r="G2031">
        <v>1340.4012451000001</v>
      </c>
      <c r="H2031">
        <v>1337.8416748</v>
      </c>
      <c r="I2031">
        <v>1326.0777588000001</v>
      </c>
      <c r="J2031">
        <v>1323.9315185999999</v>
      </c>
      <c r="K2031">
        <v>2750</v>
      </c>
      <c r="L2031">
        <v>0</v>
      </c>
      <c r="M2031">
        <v>0</v>
      </c>
      <c r="N2031">
        <v>2750</v>
      </c>
    </row>
    <row r="2032" spans="1:14" x14ac:dyDescent="0.25">
      <c r="A2032">
        <v>1126.587356</v>
      </c>
      <c r="B2032" s="1">
        <f>DATE(2013,5,31) + TIME(14,5,47)</f>
        <v>41425.58734953704</v>
      </c>
      <c r="C2032">
        <v>80</v>
      </c>
      <c r="D2032">
        <v>79.977073669000006</v>
      </c>
      <c r="E2032">
        <v>50</v>
      </c>
      <c r="F2032">
        <v>48.583457946999999</v>
      </c>
      <c r="G2032">
        <v>1340.3936768000001</v>
      </c>
      <c r="H2032">
        <v>1337.8393555</v>
      </c>
      <c r="I2032">
        <v>1326.0698242000001</v>
      </c>
      <c r="J2032">
        <v>1323.9200439000001</v>
      </c>
      <c r="K2032">
        <v>2750</v>
      </c>
      <c r="L2032">
        <v>0</v>
      </c>
      <c r="M2032">
        <v>0</v>
      </c>
      <c r="N2032">
        <v>2750</v>
      </c>
    </row>
    <row r="2033" spans="1:14" x14ac:dyDescent="0.25">
      <c r="A2033">
        <v>1127</v>
      </c>
      <c r="B2033" s="1">
        <f>DATE(2013,6,1) + TIME(0,0,0)</f>
        <v>41426</v>
      </c>
      <c r="C2033">
        <v>80</v>
      </c>
      <c r="D2033">
        <v>79.977043151999993</v>
      </c>
      <c r="E2033">
        <v>50</v>
      </c>
      <c r="F2033">
        <v>48.566314697000003</v>
      </c>
      <c r="G2033">
        <v>1340.3862305</v>
      </c>
      <c r="H2033">
        <v>1337.8371582</v>
      </c>
      <c r="I2033">
        <v>1326.0620117000001</v>
      </c>
      <c r="J2033">
        <v>1323.9091797000001</v>
      </c>
      <c r="K2033">
        <v>2750</v>
      </c>
      <c r="L2033">
        <v>0</v>
      </c>
      <c r="M2033">
        <v>0</v>
      </c>
      <c r="N2033">
        <v>2750</v>
      </c>
    </row>
    <row r="2034" spans="1:14" x14ac:dyDescent="0.25">
      <c r="A2034">
        <v>1127.6909450000001</v>
      </c>
      <c r="B2034" s="1">
        <f>DATE(2013,6,1) + TIME(16,34,57)</f>
        <v>41426.690937500003</v>
      </c>
      <c r="C2034">
        <v>80</v>
      </c>
      <c r="D2034">
        <v>79.977012634000005</v>
      </c>
      <c r="E2034">
        <v>50</v>
      </c>
      <c r="F2034">
        <v>48.544689177999999</v>
      </c>
      <c r="G2034">
        <v>1340.3818358999999</v>
      </c>
      <c r="H2034">
        <v>1337.8358154</v>
      </c>
      <c r="I2034">
        <v>1326.0563964999999</v>
      </c>
      <c r="J2034">
        <v>1323.9006348</v>
      </c>
      <c r="K2034">
        <v>2750</v>
      </c>
      <c r="L2034">
        <v>0</v>
      </c>
      <c r="M2034">
        <v>0</v>
      </c>
      <c r="N2034">
        <v>2750</v>
      </c>
    </row>
    <row r="2035" spans="1:14" x14ac:dyDescent="0.25">
      <c r="A2035">
        <v>1128.4001410000001</v>
      </c>
      <c r="B2035" s="1">
        <f>DATE(2013,6,2) + TIME(9,36,12)</f>
        <v>41427.400138888886</v>
      </c>
      <c r="C2035">
        <v>80</v>
      </c>
      <c r="D2035">
        <v>79.976974487000007</v>
      </c>
      <c r="E2035">
        <v>50</v>
      </c>
      <c r="F2035">
        <v>48.522125244000001</v>
      </c>
      <c r="G2035">
        <v>1340.3745117000001</v>
      </c>
      <c r="H2035">
        <v>1337.8336182</v>
      </c>
      <c r="I2035">
        <v>1326.0482178</v>
      </c>
      <c r="J2035">
        <v>1323.8887939000001</v>
      </c>
      <c r="K2035">
        <v>2750</v>
      </c>
      <c r="L2035">
        <v>0</v>
      </c>
      <c r="M2035">
        <v>0</v>
      </c>
      <c r="N2035">
        <v>2750</v>
      </c>
    </row>
    <row r="2036" spans="1:14" x14ac:dyDescent="0.25">
      <c r="A2036">
        <v>1129.113282</v>
      </c>
      <c r="B2036" s="1">
        <f>DATE(2013,6,3) + TIME(2,43,7)</f>
        <v>41428.113275462965</v>
      </c>
      <c r="C2036">
        <v>80</v>
      </c>
      <c r="D2036">
        <v>79.976943969999994</v>
      </c>
      <c r="E2036">
        <v>50</v>
      </c>
      <c r="F2036">
        <v>48.499122620000001</v>
      </c>
      <c r="G2036">
        <v>1340.3671875</v>
      </c>
      <c r="H2036">
        <v>1337.8312988</v>
      </c>
      <c r="I2036">
        <v>1326.0396728999999</v>
      </c>
      <c r="J2036">
        <v>1323.8765868999999</v>
      </c>
      <c r="K2036">
        <v>2750</v>
      </c>
      <c r="L2036">
        <v>0</v>
      </c>
      <c r="M2036">
        <v>0</v>
      </c>
      <c r="N2036">
        <v>2750</v>
      </c>
    </row>
    <row r="2037" spans="1:14" x14ac:dyDescent="0.25">
      <c r="A2037">
        <v>1129.832991</v>
      </c>
      <c r="B2037" s="1">
        <f>DATE(2013,6,3) + TIME(19,59,30)</f>
        <v>41428.832986111112</v>
      </c>
      <c r="C2037">
        <v>80</v>
      </c>
      <c r="D2037">
        <v>79.976905822999996</v>
      </c>
      <c r="E2037">
        <v>50</v>
      </c>
      <c r="F2037">
        <v>48.475898743000002</v>
      </c>
      <c r="G2037">
        <v>1340.3599853999999</v>
      </c>
      <c r="H2037">
        <v>1337.8291016000001</v>
      </c>
      <c r="I2037">
        <v>1326.0310059000001</v>
      </c>
      <c r="J2037">
        <v>1323.8641356999999</v>
      </c>
      <c r="K2037">
        <v>2750</v>
      </c>
      <c r="L2037">
        <v>0</v>
      </c>
      <c r="M2037">
        <v>0</v>
      </c>
      <c r="N2037">
        <v>2750</v>
      </c>
    </row>
    <row r="2038" spans="1:14" x14ac:dyDescent="0.25">
      <c r="A2038">
        <v>1130.562617</v>
      </c>
      <c r="B2038" s="1">
        <f>DATE(2013,6,4) + TIME(13,30,10)</f>
        <v>41429.562615740739</v>
      </c>
      <c r="C2038">
        <v>80</v>
      </c>
      <c r="D2038">
        <v>79.976875304999993</v>
      </c>
      <c r="E2038">
        <v>50</v>
      </c>
      <c r="F2038">
        <v>48.452510834000002</v>
      </c>
      <c r="G2038">
        <v>1340.3529053</v>
      </c>
      <c r="H2038">
        <v>1337.8269043</v>
      </c>
      <c r="I2038">
        <v>1326.0222168</v>
      </c>
      <c r="J2038">
        <v>1323.8513184000001</v>
      </c>
      <c r="K2038">
        <v>2750</v>
      </c>
      <c r="L2038">
        <v>0</v>
      </c>
      <c r="M2038">
        <v>0</v>
      </c>
      <c r="N2038">
        <v>2750</v>
      </c>
    </row>
    <row r="2039" spans="1:14" x14ac:dyDescent="0.25">
      <c r="A2039">
        <v>1131.3035179999999</v>
      </c>
      <c r="B2039" s="1">
        <f>DATE(2013,6,5) + TIME(7,17,3)</f>
        <v>41430.303506944445</v>
      </c>
      <c r="C2039">
        <v>80</v>
      </c>
      <c r="D2039">
        <v>79.976844787999994</v>
      </c>
      <c r="E2039">
        <v>50</v>
      </c>
      <c r="F2039">
        <v>48.428981780999997</v>
      </c>
      <c r="G2039">
        <v>1340.3458252</v>
      </c>
      <c r="H2039">
        <v>1337.824707</v>
      </c>
      <c r="I2039">
        <v>1326.0131836</v>
      </c>
      <c r="J2039">
        <v>1323.8382568</v>
      </c>
      <c r="K2039">
        <v>2750</v>
      </c>
      <c r="L2039">
        <v>0</v>
      </c>
      <c r="M2039">
        <v>0</v>
      </c>
      <c r="N2039">
        <v>2750</v>
      </c>
    </row>
    <row r="2040" spans="1:14" x14ac:dyDescent="0.25">
      <c r="A2040">
        <v>1132.0544789999999</v>
      </c>
      <c r="B2040" s="1">
        <f>DATE(2013,6,6) + TIME(1,18,26)</f>
        <v>41431.054467592592</v>
      </c>
      <c r="C2040">
        <v>80</v>
      </c>
      <c r="D2040">
        <v>79.976806640999996</v>
      </c>
      <c r="E2040">
        <v>50</v>
      </c>
      <c r="F2040">
        <v>48.405334473000003</v>
      </c>
      <c r="G2040">
        <v>1340.3387451000001</v>
      </c>
      <c r="H2040">
        <v>1337.8223877</v>
      </c>
      <c r="I2040">
        <v>1326.0040283000001</v>
      </c>
      <c r="J2040">
        <v>1323.8249512</v>
      </c>
      <c r="K2040">
        <v>2750</v>
      </c>
      <c r="L2040">
        <v>0</v>
      </c>
      <c r="M2040">
        <v>0</v>
      </c>
      <c r="N2040">
        <v>2750</v>
      </c>
    </row>
    <row r="2041" spans="1:14" x14ac:dyDescent="0.25">
      <c r="A2041">
        <v>1132.8185109999999</v>
      </c>
      <c r="B2041" s="1">
        <f>DATE(2013,6,6) + TIME(19,38,39)</f>
        <v>41431.818506944444</v>
      </c>
      <c r="C2041">
        <v>80</v>
      </c>
      <c r="D2041">
        <v>79.976776122999993</v>
      </c>
      <c r="E2041">
        <v>50</v>
      </c>
      <c r="F2041">
        <v>48.381542205999999</v>
      </c>
      <c r="G2041">
        <v>1340.3316649999999</v>
      </c>
      <c r="H2041">
        <v>1337.8201904</v>
      </c>
      <c r="I2041">
        <v>1325.9946289</v>
      </c>
      <c r="J2041">
        <v>1323.8114014</v>
      </c>
      <c r="K2041">
        <v>2750</v>
      </c>
      <c r="L2041">
        <v>0</v>
      </c>
      <c r="M2041">
        <v>0</v>
      </c>
      <c r="N2041">
        <v>2750</v>
      </c>
    </row>
    <row r="2042" spans="1:14" x14ac:dyDescent="0.25">
      <c r="A2042">
        <v>1133.5981710000001</v>
      </c>
      <c r="B2042" s="1">
        <f>DATE(2013,6,7) + TIME(14,21,22)</f>
        <v>41432.598171296297</v>
      </c>
      <c r="C2042">
        <v>80</v>
      </c>
      <c r="D2042">
        <v>79.976745605000005</v>
      </c>
      <c r="E2042">
        <v>50</v>
      </c>
      <c r="F2042">
        <v>48.357559203999998</v>
      </c>
      <c r="G2042">
        <v>1340.324707</v>
      </c>
      <c r="H2042">
        <v>1337.8179932</v>
      </c>
      <c r="I2042">
        <v>1325.9851074000001</v>
      </c>
      <c r="J2042">
        <v>1323.7973632999999</v>
      </c>
      <c r="K2042">
        <v>2750</v>
      </c>
      <c r="L2042">
        <v>0</v>
      </c>
      <c r="M2042">
        <v>0</v>
      </c>
      <c r="N2042">
        <v>2750</v>
      </c>
    </row>
    <row r="2043" spans="1:14" x14ac:dyDescent="0.25">
      <c r="A2043">
        <v>1134.3964579999999</v>
      </c>
      <c r="B2043" s="1">
        <f>DATE(2013,6,8) + TIME(9,30,53)</f>
        <v>41433.39644675926</v>
      </c>
      <c r="C2043">
        <v>80</v>
      </c>
      <c r="D2043">
        <v>79.976715088000006</v>
      </c>
      <c r="E2043">
        <v>50</v>
      </c>
      <c r="F2043">
        <v>48.333316803000002</v>
      </c>
      <c r="G2043">
        <v>1340.317749</v>
      </c>
      <c r="H2043">
        <v>1337.8156738</v>
      </c>
      <c r="I2043">
        <v>1325.9752197</v>
      </c>
      <c r="J2043">
        <v>1323.7830810999999</v>
      </c>
      <c r="K2043">
        <v>2750</v>
      </c>
      <c r="L2043">
        <v>0</v>
      </c>
      <c r="M2043">
        <v>0</v>
      </c>
      <c r="N2043">
        <v>2750</v>
      </c>
    </row>
    <row r="2044" spans="1:14" x14ac:dyDescent="0.25">
      <c r="A2044">
        <v>1135.2166709999999</v>
      </c>
      <c r="B2044" s="1">
        <f>DATE(2013,6,9) + TIME(5,12,0)</f>
        <v>41434.216666666667</v>
      </c>
      <c r="C2044">
        <v>80</v>
      </c>
      <c r="D2044">
        <v>79.976676940999994</v>
      </c>
      <c r="E2044">
        <v>50</v>
      </c>
      <c r="F2044">
        <v>48.308742522999999</v>
      </c>
      <c r="G2044">
        <v>1340.3106689000001</v>
      </c>
      <c r="H2044">
        <v>1337.8133545000001</v>
      </c>
      <c r="I2044">
        <v>1325.9650879000001</v>
      </c>
      <c r="J2044">
        <v>1323.7684326000001</v>
      </c>
      <c r="K2044">
        <v>2750</v>
      </c>
      <c r="L2044">
        <v>0</v>
      </c>
      <c r="M2044">
        <v>0</v>
      </c>
      <c r="N2044">
        <v>2750</v>
      </c>
    </row>
    <row r="2045" spans="1:14" x14ac:dyDescent="0.25">
      <c r="A2045">
        <v>1136.0666189999999</v>
      </c>
      <c r="B2045" s="1">
        <f>DATE(2013,6,10) + TIME(1,35,55)</f>
        <v>41435.066608796296</v>
      </c>
      <c r="C2045">
        <v>80</v>
      </c>
      <c r="D2045">
        <v>79.976646423000005</v>
      </c>
      <c r="E2045">
        <v>50</v>
      </c>
      <c r="F2045">
        <v>48.283691406000003</v>
      </c>
      <c r="G2045">
        <v>1340.3035889</v>
      </c>
      <c r="H2045">
        <v>1337.8110352000001</v>
      </c>
      <c r="I2045">
        <v>1325.9547118999999</v>
      </c>
      <c r="J2045">
        <v>1323.7531738</v>
      </c>
      <c r="K2045">
        <v>2750</v>
      </c>
      <c r="L2045">
        <v>0</v>
      </c>
      <c r="M2045">
        <v>0</v>
      </c>
      <c r="N2045">
        <v>2750</v>
      </c>
    </row>
    <row r="2046" spans="1:14" x14ac:dyDescent="0.25">
      <c r="A2046">
        <v>1136.960053</v>
      </c>
      <c r="B2046" s="1">
        <f>DATE(2013,6,10) + TIME(23,2,28)</f>
        <v>41435.960046296299</v>
      </c>
      <c r="C2046">
        <v>80</v>
      </c>
      <c r="D2046">
        <v>79.976615906000006</v>
      </c>
      <c r="E2046">
        <v>50</v>
      </c>
      <c r="F2046">
        <v>48.257915496999999</v>
      </c>
      <c r="G2046">
        <v>1340.2965088000001</v>
      </c>
      <c r="H2046">
        <v>1337.8087158000001</v>
      </c>
      <c r="I2046">
        <v>1325.9439697</v>
      </c>
      <c r="J2046">
        <v>1323.7374268000001</v>
      </c>
      <c r="K2046">
        <v>2750</v>
      </c>
      <c r="L2046">
        <v>0</v>
      </c>
      <c r="M2046">
        <v>0</v>
      </c>
      <c r="N2046">
        <v>2750</v>
      </c>
    </row>
    <row r="2047" spans="1:14" x14ac:dyDescent="0.25">
      <c r="A2047">
        <v>1137.875667</v>
      </c>
      <c r="B2047" s="1">
        <f>DATE(2013,6,11) + TIME(21,0,57)</f>
        <v>41436.875659722224</v>
      </c>
      <c r="C2047">
        <v>80</v>
      </c>
      <c r="D2047">
        <v>79.976585388000004</v>
      </c>
      <c r="E2047">
        <v>50</v>
      </c>
      <c r="F2047">
        <v>48.231552123999997</v>
      </c>
      <c r="G2047">
        <v>1340.2890625</v>
      </c>
      <c r="H2047">
        <v>1337.8061522999999</v>
      </c>
      <c r="I2047">
        <v>1325.9326172000001</v>
      </c>
      <c r="J2047">
        <v>1323.7208252</v>
      </c>
      <c r="K2047">
        <v>2750</v>
      </c>
      <c r="L2047">
        <v>0</v>
      </c>
      <c r="M2047">
        <v>0</v>
      </c>
      <c r="N2047">
        <v>2750</v>
      </c>
    </row>
    <row r="2048" spans="1:14" x14ac:dyDescent="0.25">
      <c r="A2048">
        <v>1138.7994200000001</v>
      </c>
      <c r="B2048" s="1">
        <f>DATE(2013,6,12) + TIME(19,11,9)</f>
        <v>41437.799409722225</v>
      </c>
      <c r="C2048">
        <v>80</v>
      </c>
      <c r="D2048">
        <v>79.976554871000005</v>
      </c>
      <c r="E2048">
        <v>50</v>
      </c>
      <c r="F2048">
        <v>48.204914092999999</v>
      </c>
      <c r="G2048">
        <v>1340.2816161999999</v>
      </c>
      <c r="H2048">
        <v>1337.8037108999999</v>
      </c>
      <c r="I2048">
        <v>1325.9208983999999</v>
      </c>
      <c r="J2048">
        <v>1323.7037353999999</v>
      </c>
      <c r="K2048">
        <v>2750</v>
      </c>
      <c r="L2048">
        <v>0</v>
      </c>
      <c r="M2048">
        <v>0</v>
      </c>
      <c r="N2048">
        <v>2750</v>
      </c>
    </row>
    <row r="2049" spans="1:14" x14ac:dyDescent="0.25">
      <c r="A2049">
        <v>1139.7301</v>
      </c>
      <c r="B2049" s="1">
        <f>DATE(2013,6,13) + TIME(17,31,20)</f>
        <v>41438.730092592596</v>
      </c>
      <c r="C2049">
        <v>80</v>
      </c>
      <c r="D2049">
        <v>79.976524353000002</v>
      </c>
      <c r="E2049">
        <v>50</v>
      </c>
      <c r="F2049">
        <v>48.178203582999998</v>
      </c>
      <c r="G2049">
        <v>1340.2742920000001</v>
      </c>
      <c r="H2049">
        <v>1337.8011475000001</v>
      </c>
      <c r="I2049">
        <v>1325.9090576000001</v>
      </c>
      <c r="J2049">
        <v>1323.6862793</v>
      </c>
      <c r="K2049">
        <v>2750</v>
      </c>
      <c r="L2049">
        <v>0</v>
      </c>
      <c r="M2049">
        <v>0</v>
      </c>
      <c r="N2049">
        <v>2750</v>
      </c>
    </row>
    <row r="2050" spans="1:14" x14ac:dyDescent="0.25">
      <c r="A2050">
        <v>1140.672904</v>
      </c>
      <c r="B2050" s="1">
        <f>DATE(2013,6,14) + TIME(16,8,58)</f>
        <v>41439.672893518517</v>
      </c>
      <c r="C2050">
        <v>80</v>
      </c>
      <c r="D2050">
        <v>79.976493834999999</v>
      </c>
      <c r="E2050">
        <v>50</v>
      </c>
      <c r="F2050">
        <v>48.151451111</v>
      </c>
      <c r="G2050">
        <v>1340.2670897999999</v>
      </c>
      <c r="H2050">
        <v>1337.7987060999999</v>
      </c>
      <c r="I2050">
        <v>1325.8969727000001</v>
      </c>
      <c r="J2050">
        <v>1323.6687012</v>
      </c>
      <c r="K2050">
        <v>2750</v>
      </c>
      <c r="L2050">
        <v>0</v>
      </c>
      <c r="M2050">
        <v>0</v>
      </c>
      <c r="N2050">
        <v>2750</v>
      </c>
    </row>
    <row r="2051" spans="1:14" x14ac:dyDescent="0.25">
      <c r="A2051">
        <v>1141.632879</v>
      </c>
      <c r="B2051" s="1">
        <f>DATE(2013,6,15) + TIME(15,11,20)</f>
        <v>41440.632870370369</v>
      </c>
      <c r="C2051">
        <v>80</v>
      </c>
      <c r="D2051">
        <v>79.976463318</v>
      </c>
      <c r="E2051">
        <v>50</v>
      </c>
      <c r="F2051">
        <v>48.124603270999998</v>
      </c>
      <c r="G2051">
        <v>1340.2598877</v>
      </c>
      <c r="H2051">
        <v>1337.7962646000001</v>
      </c>
      <c r="I2051">
        <v>1325.8847656</v>
      </c>
      <c r="J2051">
        <v>1323.6507568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1142.6195990000001</v>
      </c>
      <c r="B2052" s="1">
        <f>DATE(2013,6,16) + TIME(14,52,13)</f>
        <v>41441.61959490741</v>
      </c>
      <c r="C2052">
        <v>80</v>
      </c>
      <c r="D2052">
        <v>79.976432799999998</v>
      </c>
      <c r="E2052">
        <v>50</v>
      </c>
      <c r="F2052">
        <v>48.097499847000002</v>
      </c>
      <c r="G2052">
        <v>1340.2528076000001</v>
      </c>
      <c r="H2052">
        <v>1337.7937012</v>
      </c>
      <c r="I2052">
        <v>1325.8723144999999</v>
      </c>
      <c r="J2052">
        <v>1323.6323242000001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1143.641807</v>
      </c>
      <c r="B2053" s="1">
        <f>DATE(2013,6,17) + TIME(15,24,12)</f>
        <v>41442.641805555555</v>
      </c>
      <c r="C2053">
        <v>80</v>
      </c>
      <c r="D2053">
        <v>79.976402282999999</v>
      </c>
      <c r="E2053">
        <v>50</v>
      </c>
      <c r="F2053">
        <v>48.069953918000003</v>
      </c>
      <c r="G2053">
        <v>1340.2456055</v>
      </c>
      <c r="H2053">
        <v>1337.7911377</v>
      </c>
      <c r="I2053">
        <v>1325.8596190999999</v>
      </c>
      <c r="J2053">
        <v>1323.6135254000001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1144.6796999999999</v>
      </c>
      <c r="B2054" s="1">
        <f>DATE(2013,6,18) + TIME(16,18,46)</f>
        <v>41443.679699074077</v>
      </c>
      <c r="C2054">
        <v>80</v>
      </c>
      <c r="D2054">
        <v>79.976371764999996</v>
      </c>
      <c r="E2054">
        <v>50</v>
      </c>
      <c r="F2054">
        <v>48.042083740000002</v>
      </c>
      <c r="G2054">
        <v>1340.2382812000001</v>
      </c>
      <c r="H2054">
        <v>1337.7884521000001</v>
      </c>
      <c r="I2054">
        <v>1325.8463135</v>
      </c>
      <c r="J2054">
        <v>1323.5939940999999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1145.7317880000001</v>
      </c>
      <c r="B2055" s="1">
        <f>DATE(2013,6,19) + TIME(17,33,46)</f>
        <v>41444.731782407405</v>
      </c>
      <c r="C2055">
        <v>80</v>
      </c>
      <c r="D2055">
        <v>79.976348877000007</v>
      </c>
      <c r="E2055">
        <v>50</v>
      </c>
      <c r="F2055">
        <v>48.014045715000002</v>
      </c>
      <c r="G2055">
        <v>1340.230957</v>
      </c>
      <c r="H2055">
        <v>1337.7858887</v>
      </c>
      <c r="I2055">
        <v>1325.8328856999999</v>
      </c>
      <c r="J2055">
        <v>1323.5740966999999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1146.7914949999999</v>
      </c>
      <c r="B2056" s="1">
        <f>DATE(2013,6,20) + TIME(18,59,45)</f>
        <v>41445.791493055556</v>
      </c>
      <c r="C2056">
        <v>80</v>
      </c>
      <c r="D2056">
        <v>79.976318359000004</v>
      </c>
      <c r="E2056">
        <v>50</v>
      </c>
      <c r="F2056">
        <v>47.985992432000003</v>
      </c>
      <c r="G2056">
        <v>1340.2237548999999</v>
      </c>
      <c r="H2056">
        <v>1337.7832031</v>
      </c>
      <c r="I2056">
        <v>1325.8193358999999</v>
      </c>
      <c r="J2056">
        <v>1323.5539550999999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1147.8631640000001</v>
      </c>
      <c r="B2057" s="1">
        <f>DATE(2013,6,21) + TIME(20,42,57)</f>
        <v>41446.863159722219</v>
      </c>
      <c r="C2057">
        <v>80</v>
      </c>
      <c r="D2057">
        <v>79.976287842000005</v>
      </c>
      <c r="E2057">
        <v>50</v>
      </c>
      <c r="F2057">
        <v>47.957977294999999</v>
      </c>
      <c r="G2057">
        <v>1340.2166748</v>
      </c>
      <c r="H2057">
        <v>1337.7806396000001</v>
      </c>
      <c r="I2057">
        <v>1325.8055420000001</v>
      </c>
      <c r="J2057">
        <v>1323.5334473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1148.951235</v>
      </c>
      <c r="B2058" s="1">
        <f>DATE(2013,6,22) + TIME(22,49,46)</f>
        <v>41447.951226851852</v>
      </c>
      <c r="C2058">
        <v>80</v>
      </c>
      <c r="D2058">
        <v>79.976264954000001</v>
      </c>
      <c r="E2058">
        <v>50</v>
      </c>
      <c r="F2058">
        <v>47.929958343999999</v>
      </c>
      <c r="G2058">
        <v>1340.2095947</v>
      </c>
      <c r="H2058">
        <v>1337.7779541</v>
      </c>
      <c r="I2058">
        <v>1325.791626</v>
      </c>
      <c r="J2058">
        <v>1323.5128173999999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1150.060557</v>
      </c>
      <c r="B2059" s="1">
        <f>DATE(2013,6,24) + TIME(1,27,12)</f>
        <v>41449.060555555552</v>
      </c>
      <c r="C2059">
        <v>80</v>
      </c>
      <c r="D2059">
        <v>79.976242064999994</v>
      </c>
      <c r="E2059">
        <v>50</v>
      </c>
      <c r="F2059">
        <v>47.901859283</v>
      </c>
      <c r="G2059">
        <v>1340.2025146000001</v>
      </c>
      <c r="H2059">
        <v>1337.7752685999999</v>
      </c>
      <c r="I2059">
        <v>1325.7774658000001</v>
      </c>
      <c r="J2059">
        <v>1323.4918213000001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1151.1959939999999</v>
      </c>
      <c r="B2060" s="1">
        <f>DATE(2013,6,25) + TIME(4,42,13)</f>
        <v>41450.195983796293</v>
      </c>
      <c r="C2060">
        <v>80</v>
      </c>
      <c r="D2060">
        <v>79.976211547999995</v>
      </c>
      <c r="E2060">
        <v>50</v>
      </c>
      <c r="F2060">
        <v>47.873588562000002</v>
      </c>
      <c r="G2060">
        <v>1340.1954346</v>
      </c>
      <c r="H2060">
        <v>1337.7725829999999</v>
      </c>
      <c r="I2060">
        <v>1325.7631836</v>
      </c>
      <c r="J2060">
        <v>1323.4703368999999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1152.362631</v>
      </c>
      <c r="B2061" s="1">
        <f>DATE(2013,6,26) + TIME(8,42,11)</f>
        <v>41451.362627314818</v>
      </c>
      <c r="C2061">
        <v>80</v>
      </c>
      <c r="D2061">
        <v>79.976188660000005</v>
      </c>
      <c r="E2061">
        <v>50</v>
      </c>
      <c r="F2061">
        <v>47.845054626</v>
      </c>
      <c r="G2061">
        <v>1340.1883545000001</v>
      </c>
      <c r="H2061">
        <v>1337.7697754000001</v>
      </c>
      <c r="I2061">
        <v>1325.7485352000001</v>
      </c>
      <c r="J2061">
        <v>1323.4484863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1153.5785900000001</v>
      </c>
      <c r="B2062" s="1">
        <f>DATE(2013,6,27) + TIME(13,53,10)</f>
        <v>41452.578587962962</v>
      </c>
      <c r="C2062">
        <v>80</v>
      </c>
      <c r="D2062">
        <v>79.976165770999998</v>
      </c>
      <c r="E2062">
        <v>50</v>
      </c>
      <c r="F2062">
        <v>47.816047668000003</v>
      </c>
      <c r="G2062">
        <v>1340.1811522999999</v>
      </c>
      <c r="H2062">
        <v>1337.7669678</v>
      </c>
      <c r="I2062">
        <v>1325.7335204999999</v>
      </c>
      <c r="J2062">
        <v>1323.4260254000001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1154.8261</v>
      </c>
      <c r="B2063" s="1">
        <f>DATE(2013,6,28) + TIME(19,49,35)</f>
        <v>41453.826099537036</v>
      </c>
      <c r="C2063">
        <v>80</v>
      </c>
      <c r="D2063">
        <v>79.976142882999994</v>
      </c>
      <c r="E2063">
        <v>50</v>
      </c>
      <c r="F2063">
        <v>47.786571502999998</v>
      </c>
      <c r="G2063">
        <v>1340.1738281</v>
      </c>
      <c r="H2063">
        <v>1337.7641602000001</v>
      </c>
      <c r="I2063">
        <v>1325.7180175999999</v>
      </c>
      <c r="J2063">
        <v>1323.402832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1156.101623</v>
      </c>
      <c r="B2064" s="1">
        <f>DATE(2013,6,30) + TIME(2,26,20)</f>
        <v>41455.101620370369</v>
      </c>
      <c r="C2064">
        <v>80</v>
      </c>
      <c r="D2064">
        <v>79.976119995000005</v>
      </c>
      <c r="E2064">
        <v>50</v>
      </c>
      <c r="F2064">
        <v>47.756797790999997</v>
      </c>
      <c r="G2064">
        <v>1340.1665039</v>
      </c>
      <c r="H2064">
        <v>1337.7611084</v>
      </c>
      <c r="I2064">
        <v>1325.7021483999999</v>
      </c>
      <c r="J2064">
        <v>1323.3789062000001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1157</v>
      </c>
      <c r="B2065" s="1">
        <f>DATE(2013,7,1) + TIME(0,0,0)</f>
        <v>41456</v>
      </c>
      <c r="C2065">
        <v>80</v>
      </c>
      <c r="D2065">
        <v>79.976089478000006</v>
      </c>
      <c r="E2065">
        <v>50</v>
      </c>
      <c r="F2065">
        <v>47.730979918999999</v>
      </c>
      <c r="G2065">
        <v>1340.1591797000001</v>
      </c>
      <c r="H2065">
        <v>1337.7581786999999</v>
      </c>
      <c r="I2065">
        <v>1325.6864014</v>
      </c>
      <c r="J2065">
        <v>1323.3555908000001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1158.30042</v>
      </c>
      <c r="B2066" s="1">
        <f>DATE(2013,7,2) + TIME(7,12,36)</f>
        <v>41457.300416666665</v>
      </c>
      <c r="C2066">
        <v>80</v>
      </c>
      <c r="D2066">
        <v>79.976074218999997</v>
      </c>
      <c r="E2066">
        <v>50</v>
      </c>
      <c r="F2066">
        <v>47.704460144000002</v>
      </c>
      <c r="G2066">
        <v>1340.1541748</v>
      </c>
      <c r="H2066">
        <v>1337.7561035000001</v>
      </c>
      <c r="I2066">
        <v>1325.6735839999999</v>
      </c>
      <c r="J2066">
        <v>1323.3358154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1159.6859460000001</v>
      </c>
      <c r="B2067" s="1">
        <f>DATE(2013,7,3) + TIME(16,27,45)</f>
        <v>41458.685937499999</v>
      </c>
      <c r="C2067">
        <v>80</v>
      </c>
      <c r="D2067">
        <v>79.976058960000003</v>
      </c>
      <c r="E2067">
        <v>50</v>
      </c>
      <c r="F2067">
        <v>47.675552367999998</v>
      </c>
      <c r="G2067">
        <v>1340.1468506000001</v>
      </c>
      <c r="H2067">
        <v>1337.7531738</v>
      </c>
      <c r="I2067">
        <v>1325.6578368999999</v>
      </c>
      <c r="J2067">
        <v>1323.3118896000001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1161.1344120000001</v>
      </c>
      <c r="B2068" s="1">
        <f>DATE(2013,7,5) + TIME(3,13,33)</f>
        <v>41460.134409722225</v>
      </c>
      <c r="C2068">
        <v>80</v>
      </c>
      <c r="D2068">
        <v>79.976036071999999</v>
      </c>
      <c r="E2068">
        <v>50</v>
      </c>
      <c r="F2068">
        <v>47.645175934000001</v>
      </c>
      <c r="G2068">
        <v>1340.1392822</v>
      </c>
      <c r="H2068">
        <v>1337.75</v>
      </c>
      <c r="I2068">
        <v>1325.6407471</v>
      </c>
      <c r="J2068">
        <v>1323.2861327999999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1162.6415460000001</v>
      </c>
      <c r="B2069" s="1">
        <f>DATE(2013,7,6) + TIME(15,23,49)</f>
        <v>41461.641539351855</v>
      </c>
      <c r="C2069">
        <v>80</v>
      </c>
      <c r="D2069">
        <v>79.976013183999996</v>
      </c>
      <c r="E2069">
        <v>50</v>
      </c>
      <c r="F2069">
        <v>47.613975525000001</v>
      </c>
      <c r="G2069">
        <v>1340.1315918</v>
      </c>
      <c r="H2069">
        <v>1337.7467041</v>
      </c>
      <c r="I2069">
        <v>1325.6230469</v>
      </c>
      <c r="J2069">
        <v>1323.2591553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1164.1719210000001</v>
      </c>
      <c r="B2070" s="1">
        <f>DATE(2013,7,8) + TIME(4,7,33)</f>
        <v>41463.171909722223</v>
      </c>
      <c r="C2070">
        <v>80</v>
      </c>
      <c r="D2070">
        <v>79.975990295000003</v>
      </c>
      <c r="E2070">
        <v>50</v>
      </c>
      <c r="F2070">
        <v>47.582557678000001</v>
      </c>
      <c r="G2070">
        <v>1340.1236572</v>
      </c>
      <c r="H2070">
        <v>1337.7434082</v>
      </c>
      <c r="I2070">
        <v>1325.6046143000001</v>
      </c>
      <c r="J2070">
        <v>1323.2310791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1165.7318009999999</v>
      </c>
      <c r="B2071" s="1">
        <f>DATE(2013,7,9) + TIME(17,33,47)</f>
        <v>41464.731793981482</v>
      </c>
      <c r="C2071">
        <v>80</v>
      </c>
      <c r="D2071">
        <v>79.975967406999999</v>
      </c>
      <c r="E2071">
        <v>50</v>
      </c>
      <c r="F2071">
        <v>47.551467895999998</v>
      </c>
      <c r="G2071">
        <v>1340.1158447</v>
      </c>
      <c r="H2071">
        <v>1337.7401123</v>
      </c>
      <c r="I2071">
        <v>1325.5860596</v>
      </c>
      <c r="J2071">
        <v>1323.2025146000001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1167.3054520000001</v>
      </c>
      <c r="B2072" s="1">
        <f>DATE(2013,7,11) + TIME(7,19,51)</f>
        <v>41466.305451388886</v>
      </c>
      <c r="C2072">
        <v>80</v>
      </c>
      <c r="D2072">
        <v>79.975952148000005</v>
      </c>
      <c r="E2072">
        <v>50</v>
      </c>
      <c r="F2072">
        <v>47.521049499999997</v>
      </c>
      <c r="G2072">
        <v>1340.1081543</v>
      </c>
      <c r="H2072">
        <v>1337.7366943</v>
      </c>
      <c r="I2072">
        <v>1325.5672606999999</v>
      </c>
      <c r="J2072">
        <v>1323.1735839999999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1168.885794</v>
      </c>
      <c r="B2073" s="1">
        <f>DATE(2013,7,12) + TIME(21,15,32)</f>
        <v>41467.885787037034</v>
      </c>
      <c r="C2073">
        <v>80</v>
      </c>
      <c r="D2073">
        <v>79.975929260000001</v>
      </c>
      <c r="E2073">
        <v>50</v>
      </c>
      <c r="F2073">
        <v>47.491703033</v>
      </c>
      <c r="G2073">
        <v>1340.1004639</v>
      </c>
      <c r="H2073">
        <v>1337.7332764</v>
      </c>
      <c r="I2073">
        <v>1325.5484618999999</v>
      </c>
      <c r="J2073">
        <v>1323.1445312000001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1170.484817</v>
      </c>
      <c r="B2074" s="1">
        <f>DATE(2013,7,14) + TIME(11,38,8)</f>
        <v>41469.484814814816</v>
      </c>
      <c r="C2074">
        <v>80</v>
      </c>
      <c r="D2074">
        <v>79.975914001000007</v>
      </c>
      <c r="E2074">
        <v>50</v>
      </c>
      <c r="F2074">
        <v>47.463680267000001</v>
      </c>
      <c r="G2074">
        <v>1340.0928954999999</v>
      </c>
      <c r="H2074">
        <v>1337.7299805</v>
      </c>
      <c r="I2074">
        <v>1325.5297852000001</v>
      </c>
      <c r="J2074">
        <v>1323.1156006000001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1172.099952</v>
      </c>
      <c r="B2075" s="1">
        <f>DATE(2013,7,16) + TIME(2,23,55)</f>
        <v>41471.099942129629</v>
      </c>
      <c r="C2075">
        <v>80</v>
      </c>
      <c r="D2075">
        <v>79.975898743000002</v>
      </c>
      <c r="E2075">
        <v>50</v>
      </c>
      <c r="F2075">
        <v>47.437171935999999</v>
      </c>
      <c r="G2075">
        <v>1340.0852050999999</v>
      </c>
      <c r="H2075">
        <v>1337.7265625</v>
      </c>
      <c r="I2075">
        <v>1325.5111084</v>
      </c>
      <c r="J2075">
        <v>1323.0865478999999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1173.737664</v>
      </c>
      <c r="B2076" s="1">
        <f>DATE(2013,7,17) + TIME(17,42,14)</f>
        <v>41472.737662037034</v>
      </c>
      <c r="C2076">
        <v>80</v>
      </c>
      <c r="D2076">
        <v>79.975875853999995</v>
      </c>
      <c r="E2076">
        <v>50</v>
      </c>
      <c r="F2076">
        <v>47.412437439000001</v>
      </c>
      <c r="G2076">
        <v>1340.0776367000001</v>
      </c>
      <c r="H2076">
        <v>1337.7230225000001</v>
      </c>
      <c r="I2076">
        <v>1325.4925536999999</v>
      </c>
      <c r="J2076">
        <v>1323.0574951000001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1175.4060119999999</v>
      </c>
      <c r="B2077" s="1">
        <f>DATE(2013,7,19) + TIME(9,44,39)</f>
        <v>41474.406006944446</v>
      </c>
      <c r="C2077">
        <v>80</v>
      </c>
      <c r="D2077">
        <v>79.975860596000004</v>
      </c>
      <c r="E2077">
        <v>50</v>
      </c>
      <c r="F2077">
        <v>47.389774322999997</v>
      </c>
      <c r="G2077">
        <v>1340.0700684000001</v>
      </c>
      <c r="H2077">
        <v>1337.7194824000001</v>
      </c>
      <c r="I2077">
        <v>1325.4741211</v>
      </c>
      <c r="J2077">
        <v>1323.0283202999999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1177.11349</v>
      </c>
      <c r="B2078" s="1">
        <f>DATE(2013,7,21) + TIME(2,43,25)</f>
        <v>41476.113483796296</v>
      </c>
      <c r="C2078">
        <v>80</v>
      </c>
      <c r="D2078">
        <v>79.975845336999996</v>
      </c>
      <c r="E2078">
        <v>50</v>
      </c>
      <c r="F2078">
        <v>47.369583130000002</v>
      </c>
      <c r="G2078">
        <v>1340.0625</v>
      </c>
      <c r="H2078">
        <v>1337.7159423999999</v>
      </c>
      <c r="I2078">
        <v>1325.4556885</v>
      </c>
      <c r="J2078">
        <v>1322.9990233999999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1178.8626830000001</v>
      </c>
      <c r="B2079" s="1">
        <f>DATE(2013,7,22) + TIME(20,42,15)</f>
        <v>41477.862673611111</v>
      </c>
      <c r="C2079">
        <v>80</v>
      </c>
      <c r="D2079">
        <v>79.975837708</v>
      </c>
      <c r="E2079">
        <v>50</v>
      </c>
      <c r="F2079">
        <v>47.352390288999999</v>
      </c>
      <c r="G2079">
        <v>1340.0549315999999</v>
      </c>
      <c r="H2079">
        <v>1337.7124022999999</v>
      </c>
      <c r="I2079">
        <v>1325.4372559000001</v>
      </c>
      <c r="J2079">
        <v>1322.9694824000001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1180.632057</v>
      </c>
      <c r="B2080" s="1">
        <f>DATE(2013,7,24) + TIME(15,10,9)</f>
        <v>41479.632048611114</v>
      </c>
      <c r="C2080">
        <v>80</v>
      </c>
      <c r="D2080">
        <v>79.975822449000006</v>
      </c>
      <c r="E2080">
        <v>50</v>
      </c>
      <c r="F2080">
        <v>47.338996887</v>
      </c>
      <c r="G2080">
        <v>1340.0473632999999</v>
      </c>
      <c r="H2080">
        <v>1337.7087402</v>
      </c>
      <c r="I2080">
        <v>1325.4187012</v>
      </c>
      <c r="J2080">
        <v>1322.9398193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1181.530272</v>
      </c>
      <c r="B2081" s="1">
        <f>DATE(2013,7,25) + TIME(12,43,35)</f>
        <v>41480.530266203707</v>
      </c>
      <c r="C2081">
        <v>80</v>
      </c>
      <c r="D2081">
        <v>79.975799561000002</v>
      </c>
      <c r="E2081">
        <v>50</v>
      </c>
      <c r="F2081">
        <v>47.332225800000003</v>
      </c>
      <c r="G2081">
        <v>1340.0399170000001</v>
      </c>
      <c r="H2081">
        <v>1337.7050781</v>
      </c>
      <c r="I2081">
        <v>1325.4017334</v>
      </c>
      <c r="J2081">
        <v>1322.9121094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1182.4044710000001</v>
      </c>
      <c r="B2082" s="1">
        <f>DATE(2013,7,26) + TIME(9,42,26)</f>
        <v>41481.404467592591</v>
      </c>
      <c r="C2082">
        <v>80</v>
      </c>
      <c r="D2082">
        <v>79.975791931000003</v>
      </c>
      <c r="E2082">
        <v>50</v>
      </c>
      <c r="F2082">
        <v>47.329235077</v>
      </c>
      <c r="G2082">
        <v>1340.0361327999999</v>
      </c>
      <c r="H2082">
        <v>1337.7033690999999</v>
      </c>
      <c r="I2082">
        <v>1325.3905029</v>
      </c>
      <c r="J2082">
        <v>1322.8937988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1183.278669</v>
      </c>
      <c r="B2083" s="1">
        <f>DATE(2013,7,27) + TIME(6,41,17)</f>
        <v>41482.278668981482</v>
      </c>
      <c r="C2083">
        <v>80</v>
      </c>
      <c r="D2083">
        <v>79.975784301999994</v>
      </c>
      <c r="E2083">
        <v>50</v>
      </c>
      <c r="F2083">
        <v>47.328853606999999</v>
      </c>
      <c r="G2083">
        <v>1340.0325928</v>
      </c>
      <c r="H2083">
        <v>1337.7015381000001</v>
      </c>
      <c r="I2083">
        <v>1325.3808594</v>
      </c>
      <c r="J2083">
        <v>1322.8778076000001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1184.152867</v>
      </c>
      <c r="B2084" s="1">
        <f>DATE(2013,7,28) + TIME(3,40,7)</f>
        <v>41483.152858796297</v>
      </c>
      <c r="C2084">
        <v>80</v>
      </c>
      <c r="D2084">
        <v>79.975776671999995</v>
      </c>
      <c r="E2084">
        <v>50</v>
      </c>
      <c r="F2084">
        <v>47.330711364999999</v>
      </c>
      <c r="G2084">
        <v>1340.0290527</v>
      </c>
      <c r="H2084">
        <v>1337.6998291</v>
      </c>
      <c r="I2084">
        <v>1325.3718262</v>
      </c>
      <c r="J2084">
        <v>1322.862793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1185.0270660000001</v>
      </c>
      <c r="B2085" s="1">
        <f>DATE(2013,7,29) + TIME(0,38,58)</f>
        <v>41484.027060185188</v>
      </c>
      <c r="C2085">
        <v>80</v>
      </c>
      <c r="D2085">
        <v>79.975769043</v>
      </c>
      <c r="E2085">
        <v>50</v>
      </c>
      <c r="F2085">
        <v>47.334743500000002</v>
      </c>
      <c r="G2085">
        <v>1340.0256348</v>
      </c>
      <c r="H2085">
        <v>1337.6981201000001</v>
      </c>
      <c r="I2085">
        <v>1325.3632812000001</v>
      </c>
      <c r="J2085">
        <v>1322.8485106999999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1185.9012640000001</v>
      </c>
      <c r="B2086" s="1">
        <f>DATE(2013,7,29) + TIME(21,37,49)</f>
        <v>41484.901261574072</v>
      </c>
      <c r="C2086">
        <v>80</v>
      </c>
      <c r="D2086">
        <v>79.975769043</v>
      </c>
      <c r="E2086">
        <v>50</v>
      </c>
      <c r="F2086">
        <v>47.341041564999998</v>
      </c>
      <c r="G2086">
        <v>1340.0222168</v>
      </c>
      <c r="H2086">
        <v>1337.6964111</v>
      </c>
      <c r="I2086">
        <v>1325.3548584</v>
      </c>
      <c r="J2086">
        <v>1322.8344727000001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1186.7754620000001</v>
      </c>
      <c r="B2087" s="1">
        <f>DATE(2013,7,30) + TIME(18,36,39)</f>
        <v>41485.775451388887</v>
      </c>
      <c r="C2087">
        <v>80</v>
      </c>
      <c r="D2087">
        <v>79.975761414000004</v>
      </c>
      <c r="E2087">
        <v>50</v>
      </c>
      <c r="F2087">
        <v>47.349739075000002</v>
      </c>
      <c r="G2087">
        <v>1340.0186768000001</v>
      </c>
      <c r="H2087">
        <v>1337.6947021000001</v>
      </c>
      <c r="I2087">
        <v>1325.3468018000001</v>
      </c>
      <c r="J2087">
        <v>1322.8208007999999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1188</v>
      </c>
      <c r="B2088" s="1">
        <f>DATE(2013,8,1) + TIME(0,0,0)</f>
        <v>41487</v>
      </c>
      <c r="C2088">
        <v>80</v>
      </c>
      <c r="D2088">
        <v>79.975761414000004</v>
      </c>
      <c r="E2088">
        <v>50</v>
      </c>
      <c r="F2088">
        <v>47.362575530999997</v>
      </c>
      <c r="G2088">
        <v>1340.0153809000001</v>
      </c>
      <c r="H2088">
        <v>1337.6929932</v>
      </c>
      <c r="I2088">
        <v>1325.3383789</v>
      </c>
      <c r="J2088">
        <v>1322.8066406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1189.7483970000001</v>
      </c>
      <c r="B2089" s="1">
        <f>DATE(2013,8,2) + TIME(17,57,41)</f>
        <v>41488.748391203706</v>
      </c>
      <c r="C2089">
        <v>80</v>
      </c>
      <c r="D2089">
        <v>79.975761414000004</v>
      </c>
      <c r="E2089">
        <v>50</v>
      </c>
      <c r="F2089">
        <v>47.383979797000002</v>
      </c>
      <c r="G2089">
        <v>1340.0106201000001</v>
      </c>
      <c r="H2089">
        <v>1337.6906738</v>
      </c>
      <c r="I2089">
        <v>1325.3278809000001</v>
      </c>
      <c r="J2089">
        <v>1322.7888184000001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1191.591226</v>
      </c>
      <c r="B2090" s="1">
        <f>DATE(2013,8,4) + TIME(14,11,21)</f>
        <v>41490.591215277775</v>
      </c>
      <c r="C2090">
        <v>80</v>
      </c>
      <c r="D2090">
        <v>79.975761414000004</v>
      </c>
      <c r="E2090">
        <v>50</v>
      </c>
      <c r="F2090">
        <v>47.420162200999997</v>
      </c>
      <c r="G2090">
        <v>1340.0039062000001</v>
      </c>
      <c r="H2090">
        <v>1337.6872559000001</v>
      </c>
      <c r="I2090">
        <v>1325.3145752</v>
      </c>
      <c r="J2090">
        <v>1322.765625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1193.4633180000001</v>
      </c>
      <c r="B2091" s="1">
        <f>DATE(2013,8,6) + TIME(11,7,10)</f>
        <v>41492.463310185187</v>
      </c>
      <c r="C2091">
        <v>80</v>
      </c>
      <c r="D2091">
        <v>79.975753784000005</v>
      </c>
      <c r="E2091">
        <v>50</v>
      </c>
      <c r="F2091">
        <v>47.472702026</v>
      </c>
      <c r="G2091">
        <v>1339.9970702999999</v>
      </c>
      <c r="H2091">
        <v>1337.6837158000001</v>
      </c>
      <c r="I2091">
        <v>1325.3000488</v>
      </c>
      <c r="J2091">
        <v>1322.7403564000001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1195.3601020000001</v>
      </c>
      <c r="B2092" s="1">
        <f>DATE(2013,8,8) + TIME(8,38,32)</f>
        <v>41494.360092592593</v>
      </c>
      <c r="C2092">
        <v>80</v>
      </c>
      <c r="D2092">
        <v>79.975746154999996</v>
      </c>
      <c r="E2092">
        <v>50</v>
      </c>
      <c r="F2092">
        <v>47.543872833000002</v>
      </c>
      <c r="G2092">
        <v>1339.9901123</v>
      </c>
      <c r="H2092">
        <v>1337.6801757999999</v>
      </c>
      <c r="I2092">
        <v>1325.2857666</v>
      </c>
      <c r="J2092">
        <v>1322.7148437999999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1196.3102280000001</v>
      </c>
      <c r="B2093" s="1">
        <f>DATE(2013,8,9) + TIME(7,26,43)</f>
        <v>41495.310219907406</v>
      </c>
      <c r="C2093">
        <v>80</v>
      </c>
      <c r="D2093">
        <v>79.975730896000002</v>
      </c>
      <c r="E2093">
        <v>50</v>
      </c>
      <c r="F2093">
        <v>47.617893219000003</v>
      </c>
      <c r="G2093">
        <v>1339.9832764</v>
      </c>
      <c r="H2093">
        <v>1337.6766356999999</v>
      </c>
      <c r="I2093">
        <v>1325.2734375</v>
      </c>
      <c r="J2093">
        <v>1322.6916504000001</v>
      </c>
      <c r="K2093">
        <v>2750</v>
      </c>
      <c r="L2093">
        <v>0</v>
      </c>
      <c r="M2093">
        <v>0</v>
      </c>
      <c r="N2093">
        <v>2750</v>
      </c>
    </row>
    <row r="2094" spans="1:14" x14ac:dyDescent="0.25">
      <c r="A2094">
        <v>1197.9967549999999</v>
      </c>
      <c r="B2094" s="1">
        <f>DATE(2013,8,10) + TIME(23,55,19)</f>
        <v>41496.996747685182</v>
      </c>
      <c r="C2094">
        <v>80</v>
      </c>
      <c r="D2094">
        <v>79.975730896000002</v>
      </c>
      <c r="E2094">
        <v>50</v>
      </c>
      <c r="F2094">
        <v>47.699733733999999</v>
      </c>
      <c r="G2094">
        <v>1339.9799805</v>
      </c>
      <c r="H2094">
        <v>1337.6749268000001</v>
      </c>
      <c r="I2094">
        <v>1325.2636719</v>
      </c>
      <c r="J2094">
        <v>1322.6754149999999</v>
      </c>
      <c r="K2094">
        <v>2750</v>
      </c>
      <c r="L2094">
        <v>0</v>
      </c>
      <c r="M2094">
        <v>0</v>
      </c>
      <c r="N2094">
        <v>2750</v>
      </c>
    </row>
    <row r="2095" spans="1:14" x14ac:dyDescent="0.25">
      <c r="A2095">
        <v>1199.8573249999999</v>
      </c>
      <c r="B2095" s="1">
        <f>DATE(2013,8,12) + TIME(20,34,32)</f>
        <v>41498.857314814813</v>
      </c>
      <c r="C2095">
        <v>80</v>
      </c>
      <c r="D2095">
        <v>79.975730896000002</v>
      </c>
      <c r="E2095">
        <v>50</v>
      </c>
      <c r="F2095">
        <v>47.815055846999996</v>
      </c>
      <c r="G2095">
        <v>1339.9741211</v>
      </c>
      <c r="H2095">
        <v>1337.6717529</v>
      </c>
      <c r="I2095">
        <v>1325.2531738</v>
      </c>
      <c r="J2095">
        <v>1322.6556396000001</v>
      </c>
      <c r="K2095">
        <v>2750</v>
      </c>
      <c r="L2095">
        <v>0</v>
      </c>
      <c r="M2095">
        <v>0</v>
      </c>
      <c r="N2095">
        <v>2750</v>
      </c>
    </row>
    <row r="2096" spans="1:14" x14ac:dyDescent="0.25">
      <c r="A2096">
        <v>1200.8142049999999</v>
      </c>
      <c r="B2096" s="1">
        <f>DATE(2013,8,13) + TIME(19,32,27)</f>
        <v>41499.814201388886</v>
      </c>
      <c r="C2096">
        <v>80</v>
      </c>
      <c r="D2096">
        <v>79.975723267000006</v>
      </c>
      <c r="E2096">
        <v>50</v>
      </c>
      <c r="F2096">
        <v>47.936275481999999</v>
      </c>
      <c r="G2096">
        <v>1339.9676514</v>
      </c>
      <c r="H2096">
        <v>1337.6683350000001</v>
      </c>
      <c r="I2096">
        <v>1325.2438964999999</v>
      </c>
      <c r="J2096">
        <v>1322.6365966999999</v>
      </c>
      <c r="K2096">
        <v>2750</v>
      </c>
      <c r="L2096">
        <v>0</v>
      </c>
      <c r="M2096">
        <v>0</v>
      </c>
      <c r="N2096">
        <v>2750</v>
      </c>
    </row>
    <row r="2097" spans="1:14" x14ac:dyDescent="0.25">
      <c r="A2097">
        <v>1202.5172869999999</v>
      </c>
      <c r="B2097" s="1">
        <f>DATE(2013,8,15) + TIME(12,24,53)</f>
        <v>41501.517280092594</v>
      </c>
      <c r="C2097">
        <v>80</v>
      </c>
      <c r="D2097">
        <v>79.975723267000006</v>
      </c>
      <c r="E2097">
        <v>50</v>
      </c>
      <c r="F2097">
        <v>48.067279816000003</v>
      </c>
      <c r="G2097">
        <v>1339.9644774999999</v>
      </c>
      <c r="H2097">
        <v>1337.666626</v>
      </c>
      <c r="I2097">
        <v>1325.2354736</v>
      </c>
      <c r="J2097">
        <v>1322.6229248</v>
      </c>
      <c r="K2097">
        <v>2750</v>
      </c>
      <c r="L2097">
        <v>0</v>
      </c>
      <c r="M2097">
        <v>0</v>
      </c>
      <c r="N2097">
        <v>2750</v>
      </c>
    </row>
    <row r="2098" spans="1:14" x14ac:dyDescent="0.25">
      <c r="A2098">
        <v>1204.371253</v>
      </c>
      <c r="B2098" s="1">
        <f>DATE(2013,8,17) + TIME(8,54,36)</f>
        <v>41503.371249999997</v>
      </c>
      <c r="C2098">
        <v>80</v>
      </c>
      <c r="D2098">
        <v>79.975723267000006</v>
      </c>
      <c r="E2098">
        <v>50</v>
      </c>
      <c r="F2098">
        <v>48.246986389</v>
      </c>
      <c r="G2098">
        <v>1339.9587402</v>
      </c>
      <c r="H2098">
        <v>1337.6635742000001</v>
      </c>
      <c r="I2098">
        <v>1325.2269286999999</v>
      </c>
      <c r="J2098">
        <v>1322.6062012</v>
      </c>
      <c r="K2098">
        <v>2750</v>
      </c>
      <c r="L2098">
        <v>0</v>
      </c>
      <c r="M2098">
        <v>0</v>
      </c>
      <c r="N2098">
        <v>2750</v>
      </c>
    </row>
    <row r="2099" spans="1:14" x14ac:dyDescent="0.25">
      <c r="A2099">
        <v>1206.266983</v>
      </c>
      <c r="B2099" s="1">
        <f>DATE(2013,8,19) + TIME(6,24,27)</f>
        <v>41505.266979166663</v>
      </c>
      <c r="C2099">
        <v>80</v>
      </c>
      <c r="D2099">
        <v>79.975723267000006</v>
      </c>
      <c r="E2099">
        <v>50</v>
      </c>
      <c r="F2099">
        <v>48.473026275999999</v>
      </c>
      <c r="G2099">
        <v>1339.9525146000001</v>
      </c>
      <c r="H2099">
        <v>1337.6601562000001</v>
      </c>
      <c r="I2099">
        <v>1325.2182617000001</v>
      </c>
      <c r="J2099">
        <v>1322.5891113</v>
      </c>
      <c r="K2099">
        <v>2750</v>
      </c>
      <c r="L2099">
        <v>0</v>
      </c>
      <c r="M2099">
        <v>0</v>
      </c>
      <c r="N2099">
        <v>2750</v>
      </c>
    </row>
    <row r="2100" spans="1:14" x14ac:dyDescent="0.25">
      <c r="A2100">
        <v>1207.2309270000001</v>
      </c>
      <c r="B2100" s="1">
        <f>DATE(2013,8,20) + TIME(5,32,32)</f>
        <v>41506.230925925927</v>
      </c>
      <c r="C2100">
        <v>80</v>
      </c>
      <c r="D2100">
        <v>79.975715636999993</v>
      </c>
      <c r="E2100">
        <v>50</v>
      </c>
      <c r="F2100">
        <v>48.690582274999997</v>
      </c>
      <c r="G2100">
        <v>1339.9464111</v>
      </c>
      <c r="H2100">
        <v>1337.6567382999999</v>
      </c>
      <c r="I2100">
        <v>1325.2120361</v>
      </c>
      <c r="J2100">
        <v>1322.5740966999999</v>
      </c>
      <c r="K2100">
        <v>2750</v>
      </c>
      <c r="L2100">
        <v>0</v>
      </c>
      <c r="M2100">
        <v>0</v>
      </c>
      <c r="N2100">
        <v>2750</v>
      </c>
    </row>
    <row r="2101" spans="1:14" x14ac:dyDescent="0.25">
      <c r="A2101">
        <v>1208.8873490000001</v>
      </c>
      <c r="B2101" s="1">
        <f>DATE(2013,8,21) + TIME(21,17,46)</f>
        <v>41507.887337962966</v>
      </c>
      <c r="C2101">
        <v>80</v>
      </c>
      <c r="D2101">
        <v>79.975715636999993</v>
      </c>
      <c r="E2101">
        <v>50</v>
      </c>
      <c r="F2101">
        <v>48.908729553000001</v>
      </c>
      <c r="G2101">
        <v>1339.9432373</v>
      </c>
      <c r="H2101">
        <v>1337.6551514</v>
      </c>
      <c r="I2101">
        <v>1325.2050781</v>
      </c>
      <c r="J2101">
        <v>1322.5639647999999</v>
      </c>
      <c r="K2101">
        <v>2750</v>
      </c>
      <c r="L2101">
        <v>0</v>
      </c>
      <c r="M2101">
        <v>0</v>
      </c>
      <c r="N2101">
        <v>2750</v>
      </c>
    </row>
    <row r="2102" spans="1:14" x14ac:dyDescent="0.25">
      <c r="A2102">
        <v>1210.7406269999999</v>
      </c>
      <c r="B2102" s="1">
        <f>DATE(2013,8,23) + TIME(17,46,30)</f>
        <v>41509.740624999999</v>
      </c>
      <c r="C2102">
        <v>80</v>
      </c>
      <c r="D2102">
        <v>79.975723267000006</v>
      </c>
      <c r="E2102">
        <v>50</v>
      </c>
      <c r="F2102">
        <v>49.186477660999998</v>
      </c>
      <c r="G2102">
        <v>1339.9379882999999</v>
      </c>
      <c r="H2102">
        <v>1337.6522216999999</v>
      </c>
      <c r="I2102">
        <v>1325.1992187999999</v>
      </c>
      <c r="J2102">
        <v>1322.5520019999999</v>
      </c>
      <c r="K2102">
        <v>2750</v>
      </c>
      <c r="L2102">
        <v>0</v>
      </c>
      <c r="M2102">
        <v>0</v>
      </c>
      <c r="N2102">
        <v>2750</v>
      </c>
    </row>
    <row r="2103" spans="1:14" x14ac:dyDescent="0.25">
      <c r="A2103">
        <v>1212.6726799999999</v>
      </c>
      <c r="B2103" s="1">
        <f>DATE(2013,8,25) + TIME(16,8,39)</f>
        <v>41511.672673611109</v>
      </c>
      <c r="C2103">
        <v>80</v>
      </c>
      <c r="D2103">
        <v>79.975723267000006</v>
      </c>
      <c r="E2103">
        <v>50</v>
      </c>
      <c r="F2103">
        <v>49.531929015999999</v>
      </c>
      <c r="G2103">
        <v>1339.9321289</v>
      </c>
      <c r="H2103">
        <v>1337.6489257999999</v>
      </c>
      <c r="I2103">
        <v>1325.1933594</v>
      </c>
      <c r="J2103">
        <v>1322.5401611</v>
      </c>
      <c r="K2103">
        <v>2750</v>
      </c>
      <c r="L2103">
        <v>0</v>
      </c>
      <c r="M2103">
        <v>0</v>
      </c>
      <c r="N2103">
        <v>2750</v>
      </c>
    </row>
    <row r="2104" spans="1:14" x14ac:dyDescent="0.25">
      <c r="A2104">
        <v>1214.6277640000001</v>
      </c>
      <c r="B2104" s="1">
        <f>DATE(2013,8,27) + TIME(15,3,58)</f>
        <v>41513.627754629626</v>
      </c>
      <c r="C2104">
        <v>80</v>
      </c>
      <c r="D2104">
        <v>79.975723267000006</v>
      </c>
      <c r="E2104">
        <v>50</v>
      </c>
      <c r="F2104">
        <v>49.910346984999997</v>
      </c>
      <c r="G2104">
        <v>1339.9261475000001</v>
      </c>
      <c r="H2104">
        <v>1337.6456298999999</v>
      </c>
      <c r="I2104">
        <v>1325.1879882999999</v>
      </c>
      <c r="J2104">
        <v>1322.5291748</v>
      </c>
      <c r="K2104">
        <v>2750</v>
      </c>
      <c r="L2104">
        <v>0</v>
      </c>
      <c r="M2104">
        <v>0</v>
      </c>
      <c r="N2104">
        <v>2750</v>
      </c>
    </row>
    <row r="2105" spans="1:14" x14ac:dyDescent="0.25">
      <c r="A2105">
        <v>1216.628635</v>
      </c>
      <c r="B2105" s="1">
        <f>DATE(2013,8,29) + TIME(15,5,14)</f>
        <v>41515.628634259258</v>
      </c>
      <c r="C2105">
        <v>80</v>
      </c>
      <c r="D2105">
        <v>79.975723267000006</v>
      </c>
      <c r="E2105">
        <v>50</v>
      </c>
      <c r="F2105">
        <v>50.327445984000001</v>
      </c>
      <c r="G2105">
        <v>1339.9202881000001</v>
      </c>
      <c r="H2105">
        <v>1337.6422118999999</v>
      </c>
      <c r="I2105">
        <v>1325.1831055</v>
      </c>
      <c r="J2105">
        <v>1322.5194091999999</v>
      </c>
      <c r="K2105">
        <v>2750</v>
      </c>
      <c r="L2105">
        <v>0</v>
      </c>
      <c r="M2105">
        <v>0</v>
      </c>
      <c r="N2105">
        <v>2750</v>
      </c>
    </row>
    <row r="2106" spans="1:14" x14ac:dyDescent="0.25">
      <c r="A2106">
        <v>1218.679054</v>
      </c>
      <c r="B2106" s="1">
        <f>DATE(2013,8,31) + TIME(16,17,50)</f>
        <v>41517.679050925923</v>
      </c>
      <c r="C2106">
        <v>80</v>
      </c>
      <c r="D2106">
        <v>79.975730896000002</v>
      </c>
      <c r="E2106">
        <v>50</v>
      </c>
      <c r="F2106">
        <v>50.785346984999997</v>
      </c>
      <c r="G2106">
        <v>1339.9143065999999</v>
      </c>
      <c r="H2106">
        <v>1337.6387939000001</v>
      </c>
      <c r="I2106">
        <v>1325.1789550999999</v>
      </c>
      <c r="J2106">
        <v>1322.5109863</v>
      </c>
      <c r="K2106">
        <v>2750</v>
      </c>
      <c r="L2106">
        <v>0</v>
      </c>
      <c r="M2106">
        <v>0</v>
      </c>
      <c r="N2106">
        <v>2750</v>
      </c>
    </row>
    <row r="2107" spans="1:14" x14ac:dyDescent="0.25">
      <c r="A2107">
        <v>1219</v>
      </c>
      <c r="B2107" s="1">
        <f>DATE(2013,9,1) + TIME(0,0,0)</f>
        <v>41518</v>
      </c>
      <c r="C2107">
        <v>80</v>
      </c>
      <c r="D2107">
        <v>79.975715636999993</v>
      </c>
      <c r="E2107">
        <v>50</v>
      </c>
      <c r="F2107">
        <v>51.007980347</v>
      </c>
      <c r="G2107">
        <v>1339.9083252</v>
      </c>
      <c r="H2107">
        <v>1337.6354980000001</v>
      </c>
      <c r="I2107">
        <v>1325.1826172000001</v>
      </c>
      <c r="J2107">
        <v>1322.5063477000001</v>
      </c>
      <c r="K2107">
        <v>2750</v>
      </c>
      <c r="L2107">
        <v>0</v>
      </c>
      <c r="M2107">
        <v>0</v>
      </c>
      <c r="N2107">
        <v>2750</v>
      </c>
    </row>
    <row r="2108" spans="1:14" x14ac:dyDescent="0.25">
      <c r="A2108">
        <v>1221.118277</v>
      </c>
      <c r="B2108" s="1">
        <f>DATE(2013,9,3) + TIME(2,50,19)</f>
        <v>41520.118275462963</v>
      </c>
      <c r="C2108">
        <v>80</v>
      </c>
      <c r="D2108">
        <v>79.975730896000002</v>
      </c>
      <c r="E2108">
        <v>50</v>
      </c>
      <c r="F2108">
        <v>51.389041900999999</v>
      </c>
      <c r="G2108">
        <v>1339.9073486</v>
      </c>
      <c r="H2108">
        <v>1337.6348877</v>
      </c>
      <c r="I2108">
        <v>1325.1741943</v>
      </c>
      <c r="J2108">
        <v>1322.5035399999999</v>
      </c>
      <c r="K2108">
        <v>2750</v>
      </c>
      <c r="L2108">
        <v>0</v>
      </c>
      <c r="M2108">
        <v>0</v>
      </c>
      <c r="N2108">
        <v>2750</v>
      </c>
    </row>
    <row r="2109" spans="1:14" x14ac:dyDescent="0.25">
      <c r="A2109">
        <v>1223.3787580000001</v>
      </c>
      <c r="B2109" s="1">
        <f>DATE(2013,9,5) + TIME(9,5,24)</f>
        <v>41522.378750000003</v>
      </c>
      <c r="C2109">
        <v>80</v>
      </c>
      <c r="D2109">
        <v>79.975738524999997</v>
      </c>
      <c r="E2109">
        <v>50</v>
      </c>
      <c r="F2109">
        <v>51.890537262000002</v>
      </c>
      <c r="G2109">
        <v>1339.9012451000001</v>
      </c>
      <c r="H2109">
        <v>1337.6314697</v>
      </c>
      <c r="I2109">
        <v>1325.171875</v>
      </c>
      <c r="J2109">
        <v>1322.4976807</v>
      </c>
      <c r="K2109">
        <v>2750</v>
      </c>
      <c r="L2109">
        <v>0</v>
      </c>
      <c r="M2109">
        <v>0</v>
      </c>
      <c r="N2109">
        <v>2750</v>
      </c>
    </row>
    <row r="2110" spans="1:14" x14ac:dyDescent="0.25">
      <c r="A2110">
        <v>1225.7145370000001</v>
      </c>
      <c r="B2110" s="1">
        <f>DATE(2013,9,7) + TIME(17,8,56)</f>
        <v>41524.714537037034</v>
      </c>
      <c r="C2110">
        <v>80</v>
      </c>
      <c r="D2110">
        <v>79.975738524999997</v>
      </c>
      <c r="E2110">
        <v>50</v>
      </c>
      <c r="F2110">
        <v>52.445476532000001</v>
      </c>
      <c r="G2110">
        <v>1339.8947754000001</v>
      </c>
      <c r="H2110">
        <v>1337.6278076000001</v>
      </c>
      <c r="I2110">
        <v>1325.1699219</v>
      </c>
      <c r="J2110">
        <v>1322.4932861</v>
      </c>
      <c r="K2110">
        <v>2750</v>
      </c>
      <c r="L2110">
        <v>0</v>
      </c>
      <c r="M2110">
        <v>0</v>
      </c>
      <c r="N2110">
        <v>2750</v>
      </c>
    </row>
    <row r="2111" spans="1:14" x14ac:dyDescent="0.25">
      <c r="A2111">
        <v>1228.1588360000001</v>
      </c>
      <c r="B2111" s="1">
        <f>DATE(2013,9,10) + TIME(3,48,43)</f>
        <v>41527.158831018518</v>
      </c>
      <c r="C2111">
        <v>80</v>
      </c>
      <c r="D2111">
        <v>79.975746154999996</v>
      </c>
      <c r="E2111">
        <v>50</v>
      </c>
      <c r="F2111">
        <v>53.024074554000002</v>
      </c>
      <c r="G2111">
        <v>1339.8883057</v>
      </c>
      <c r="H2111">
        <v>1337.6240233999999</v>
      </c>
      <c r="I2111">
        <v>1325.168457</v>
      </c>
      <c r="J2111">
        <v>1322.4902344</v>
      </c>
      <c r="K2111">
        <v>2750</v>
      </c>
      <c r="L2111">
        <v>0</v>
      </c>
      <c r="M2111">
        <v>0</v>
      </c>
      <c r="N2111">
        <v>2750</v>
      </c>
    </row>
    <row r="2112" spans="1:14" x14ac:dyDescent="0.25">
      <c r="A2112">
        <v>1230.678443</v>
      </c>
      <c r="B2112" s="1">
        <f>DATE(2013,9,12) + TIME(16,16,57)</f>
        <v>41529.678437499999</v>
      </c>
      <c r="C2112">
        <v>80</v>
      </c>
      <c r="D2112">
        <v>79.975753784000005</v>
      </c>
      <c r="E2112">
        <v>50</v>
      </c>
      <c r="F2112">
        <v>53.618003844999997</v>
      </c>
      <c r="G2112">
        <v>1339.8817139</v>
      </c>
      <c r="H2112">
        <v>1337.6202393000001</v>
      </c>
      <c r="I2112">
        <v>1325.1676024999999</v>
      </c>
      <c r="J2112">
        <v>1322.4882812000001</v>
      </c>
      <c r="K2112">
        <v>2750</v>
      </c>
      <c r="L2112">
        <v>0</v>
      </c>
      <c r="M2112">
        <v>0</v>
      </c>
      <c r="N2112">
        <v>2750</v>
      </c>
    </row>
    <row r="2113" spans="1:14" x14ac:dyDescent="0.25">
      <c r="A2113">
        <v>1233.2654239999999</v>
      </c>
      <c r="B2113" s="1">
        <f>DATE(2013,9,15) + TIME(6,22,12)</f>
        <v>41532.265416666669</v>
      </c>
      <c r="C2113">
        <v>80</v>
      </c>
      <c r="D2113">
        <v>79.975761414000004</v>
      </c>
      <c r="E2113">
        <v>50</v>
      </c>
      <c r="F2113">
        <v>54.209815978999998</v>
      </c>
      <c r="G2113">
        <v>1339.875</v>
      </c>
      <c r="H2113">
        <v>1337.6163329999999</v>
      </c>
      <c r="I2113">
        <v>1325.1676024999999</v>
      </c>
      <c r="J2113">
        <v>1322.4874268000001</v>
      </c>
      <c r="K2113">
        <v>2750</v>
      </c>
      <c r="L2113">
        <v>0</v>
      </c>
      <c r="M2113">
        <v>0</v>
      </c>
      <c r="N2113">
        <v>2750</v>
      </c>
    </row>
    <row r="2114" spans="1:14" x14ac:dyDescent="0.25">
      <c r="A2114">
        <v>1235.966502</v>
      </c>
      <c r="B2114" s="1">
        <f>DATE(2013,9,17) + TIME(23,11,45)</f>
        <v>41534.966493055559</v>
      </c>
      <c r="C2114">
        <v>80</v>
      </c>
      <c r="D2114">
        <v>79.975769043</v>
      </c>
      <c r="E2114">
        <v>50</v>
      </c>
      <c r="F2114">
        <v>54.800258636000002</v>
      </c>
      <c r="G2114">
        <v>1339.8684082</v>
      </c>
      <c r="H2114">
        <v>1337.6124268000001</v>
      </c>
      <c r="I2114">
        <v>1325.1682129000001</v>
      </c>
      <c r="J2114">
        <v>1322.487793</v>
      </c>
      <c r="K2114">
        <v>2750</v>
      </c>
      <c r="L2114">
        <v>0</v>
      </c>
      <c r="M2114">
        <v>0</v>
      </c>
      <c r="N2114">
        <v>2750</v>
      </c>
    </row>
    <row r="2115" spans="1:14" x14ac:dyDescent="0.25">
      <c r="A2115">
        <v>1238.7174649999999</v>
      </c>
      <c r="B2115" s="1">
        <f>DATE(2013,9,20) + TIME(17,13,8)</f>
        <v>41537.717453703706</v>
      </c>
      <c r="C2115">
        <v>80</v>
      </c>
      <c r="D2115">
        <v>79.975776671999995</v>
      </c>
      <c r="E2115">
        <v>50</v>
      </c>
      <c r="F2115">
        <v>55.387722015000001</v>
      </c>
      <c r="G2115">
        <v>1339.8615723</v>
      </c>
      <c r="H2115">
        <v>1337.6085204999999</v>
      </c>
      <c r="I2115">
        <v>1325.1695557</v>
      </c>
      <c r="J2115">
        <v>1322.4890137</v>
      </c>
      <c r="K2115">
        <v>2750</v>
      </c>
      <c r="L2115">
        <v>0</v>
      </c>
      <c r="M2115">
        <v>0</v>
      </c>
      <c r="N2115">
        <v>2750</v>
      </c>
    </row>
    <row r="2116" spans="1:14" x14ac:dyDescent="0.25">
      <c r="A2116">
        <v>1241.5541659999999</v>
      </c>
      <c r="B2116" s="1">
        <f>DATE(2013,9,23) + TIME(13,17,59)</f>
        <v>41540.554155092592</v>
      </c>
      <c r="C2116">
        <v>80</v>
      </c>
      <c r="D2116">
        <v>79.975784301999994</v>
      </c>
      <c r="E2116">
        <v>50</v>
      </c>
      <c r="F2116">
        <v>55.966972351000003</v>
      </c>
      <c r="G2116">
        <v>1339.8547363</v>
      </c>
      <c r="H2116">
        <v>1337.6046143000001</v>
      </c>
      <c r="I2116">
        <v>1325.1713867000001</v>
      </c>
      <c r="J2116">
        <v>1322.4912108999999</v>
      </c>
      <c r="K2116">
        <v>2750</v>
      </c>
      <c r="L2116">
        <v>0</v>
      </c>
      <c r="M2116">
        <v>0</v>
      </c>
      <c r="N2116">
        <v>2750</v>
      </c>
    </row>
    <row r="2117" spans="1:14" x14ac:dyDescent="0.25">
      <c r="A2117">
        <v>1244.5013759999999</v>
      </c>
      <c r="B2117" s="1">
        <f>DATE(2013,9,26) + TIME(12,1,58)</f>
        <v>41543.50136574074</v>
      </c>
      <c r="C2117">
        <v>80</v>
      </c>
      <c r="D2117">
        <v>79.975799561000002</v>
      </c>
      <c r="E2117">
        <v>50</v>
      </c>
      <c r="F2117">
        <v>56.535633087000001</v>
      </c>
      <c r="G2117">
        <v>1339.8480225000001</v>
      </c>
      <c r="H2117">
        <v>1337.6005858999999</v>
      </c>
      <c r="I2117">
        <v>1325.1737060999999</v>
      </c>
      <c r="J2117">
        <v>1322.4940185999999</v>
      </c>
      <c r="K2117">
        <v>2750</v>
      </c>
      <c r="L2117">
        <v>0</v>
      </c>
      <c r="M2117">
        <v>0</v>
      </c>
      <c r="N2117">
        <v>2750</v>
      </c>
    </row>
    <row r="2118" spans="1:14" x14ac:dyDescent="0.25">
      <c r="A2118">
        <v>1247.501049</v>
      </c>
      <c r="B2118" s="1">
        <f>DATE(2013,9,29) + TIME(12,1,30)</f>
        <v>41546.50104166667</v>
      </c>
      <c r="C2118">
        <v>80</v>
      </c>
      <c r="D2118">
        <v>79.975807189999998</v>
      </c>
      <c r="E2118">
        <v>50</v>
      </c>
      <c r="F2118">
        <v>57.095378875999998</v>
      </c>
      <c r="G2118">
        <v>1339.8410644999999</v>
      </c>
      <c r="H2118">
        <v>1337.5965576000001</v>
      </c>
      <c r="I2118">
        <v>1325.1766356999999</v>
      </c>
      <c r="J2118">
        <v>1322.4974365</v>
      </c>
      <c r="K2118">
        <v>2750</v>
      </c>
      <c r="L2118">
        <v>0</v>
      </c>
      <c r="M2118">
        <v>0</v>
      </c>
      <c r="N2118">
        <v>2750</v>
      </c>
    </row>
    <row r="2119" spans="1:14" x14ac:dyDescent="0.25">
      <c r="A2119">
        <v>1249</v>
      </c>
      <c r="B2119" s="1">
        <f>DATE(2013,10,1) + TIME(0,0,0)</f>
        <v>41548</v>
      </c>
      <c r="C2119">
        <v>80</v>
      </c>
      <c r="D2119">
        <v>79.975799561000002</v>
      </c>
      <c r="E2119">
        <v>50</v>
      </c>
      <c r="F2119">
        <v>57.564975738999998</v>
      </c>
      <c r="G2119">
        <v>1339.8343506000001</v>
      </c>
      <c r="H2119">
        <v>1337.5926514</v>
      </c>
      <c r="I2119">
        <v>1325.1817627</v>
      </c>
      <c r="J2119">
        <v>1322.5019531</v>
      </c>
      <c r="K2119">
        <v>2750</v>
      </c>
      <c r="L2119">
        <v>0</v>
      </c>
      <c r="M2119">
        <v>0</v>
      </c>
      <c r="N2119">
        <v>2750</v>
      </c>
    </row>
    <row r="2120" spans="1:14" x14ac:dyDescent="0.25">
      <c r="A2120">
        <v>1252.096462</v>
      </c>
      <c r="B2120" s="1">
        <f>DATE(2013,10,4) + TIME(2,18,54)</f>
        <v>41551.096458333333</v>
      </c>
      <c r="C2120">
        <v>80</v>
      </c>
      <c r="D2120">
        <v>79.975822449000006</v>
      </c>
      <c r="E2120">
        <v>50</v>
      </c>
      <c r="F2120">
        <v>57.923896790000001</v>
      </c>
      <c r="G2120">
        <v>1339.8310547000001</v>
      </c>
      <c r="H2120">
        <v>1337.5906981999999</v>
      </c>
      <c r="I2120">
        <v>1325.1821289</v>
      </c>
      <c r="J2120">
        <v>1322.5063477000001</v>
      </c>
      <c r="K2120">
        <v>2750</v>
      </c>
      <c r="L2120">
        <v>0</v>
      </c>
      <c r="M2120">
        <v>0</v>
      </c>
      <c r="N2120">
        <v>2750</v>
      </c>
    </row>
    <row r="2121" spans="1:14" x14ac:dyDescent="0.25">
      <c r="A2121">
        <v>1255.3297729999999</v>
      </c>
      <c r="B2121" s="1">
        <f>DATE(2013,10,7) + TIME(7,54,52)</f>
        <v>41554.329768518517</v>
      </c>
      <c r="C2121">
        <v>80</v>
      </c>
      <c r="D2121">
        <v>79.975837708</v>
      </c>
      <c r="E2121">
        <v>50</v>
      </c>
      <c r="F2121">
        <v>58.413761139000002</v>
      </c>
      <c r="G2121">
        <v>1339.8242187999999</v>
      </c>
      <c r="H2121">
        <v>1337.5867920000001</v>
      </c>
      <c r="I2121">
        <v>1325.1851807</v>
      </c>
      <c r="J2121">
        <v>1322.5080565999999</v>
      </c>
      <c r="K2121">
        <v>2750</v>
      </c>
      <c r="L2121">
        <v>0</v>
      </c>
      <c r="M2121">
        <v>0</v>
      </c>
      <c r="N2121">
        <v>2750</v>
      </c>
    </row>
    <row r="2122" spans="1:14" x14ac:dyDescent="0.25">
      <c r="A2122">
        <v>1258.6451930000001</v>
      </c>
      <c r="B2122" s="1">
        <f>DATE(2013,10,10) + TIME(15,29,4)</f>
        <v>41557.645185185182</v>
      </c>
      <c r="C2122">
        <v>80</v>
      </c>
      <c r="D2122">
        <v>79.975852966000005</v>
      </c>
      <c r="E2122">
        <v>50</v>
      </c>
      <c r="F2122">
        <v>58.912963867000002</v>
      </c>
      <c r="G2122">
        <v>1339.8173827999999</v>
      </c>
      <c r="H2122">
        <v>1337.5827637</v>
      </c>
      <c r="I2122">
        <v>1325.1889647999999</v>
      </c>
      <c r="J2122">
        <v>1322.5123291</v>
      </c>
      <c r="K2122">
        <v>2750</v>
      </c>
      <c r="L2122">
        <v>0</v>
      </c>
      <c r="M2122">
        <v>0</v>
      </c>
      <c r="N2122">
        <v>2750</v>
      </c>
    </row>
    <row r="2123" spans="1:14" x14ac:dyDescent="0.25">
      <c r="A2123">
        <v>1262.0785519999999</v>
      </c>
      <c r="B2123" s="1">
        <f>DATE(2013,10,14) + TIME(1,53,6)</f>
        <v>41561.078541666669</v>
      </c>
      <c r="C2123">
        <v>80</v>
      </c>
      <c r="D2123">
        <v>79.975868224999999</v>
      </c>
      <c r="E2123">
        <v>50</v>
      </c>
      <c r="F2123">
        <v>59.398902892999999</v>
      </c>
      <c r="G2123">
        <v>1339.8104248</v>
      </c>
      <c r="H2123">
        <v>1337.5787353999999</v>
      </c>
      <c r="I2123">
        <v>1325.1932373</v>
      </c>
      <c r="J2123">
        <v>1322.5172118999999</v>
      </c>
      <c r="K2123">
        <v>2750</v>
      </c>
      <c r="L2123">
        <v>0</v>
      </c>
      <c r="M2123">
        <v>0</v>
      </c>
      <c r="N2123">
        <v>2750</v>
      </c>
    </row>
    <row r="2124" spans="1:14" x14ac:dyDescent="0.25">
      <c r="A2124">
        <v>1265.5949049999999</v>
      </c>
      <c r="B2124" s="1">
        <f>DATE(2013,10,17) + TIME(14,16,39)</f>
        <v>41564.594895833332</v>
      </c>
      <c r="C2124">
        <v>80</v>
      </c>
      <c r="D2124">
        <v>79.975883483999993</v>
      </c>
      <c r="E2124">
        <v>50</v>
      </c>
      <c r="F2124">
        <v>59.870273589999996</v>
      </c>
      <c r="G2124">
        <v>1339.8035889</v>
      </c>
      <c r="H2124">
        <v>1337.574707</v>
      </c>
      <c r="I2124">
        <v>1325.1976318</v>
      </c>
      <c r="J2124">
        <v>1322.5222168</v>
      </c>
      <c r="K2124">
        <v>2750</v>
      </c>
      <c r="L2124">
        <v>0</v>
      </c>
      <c r="M2124">
        <v>0</v>
      </c>
      <c r="N2124">
        <v>2750</v>
      </c>
    </row>
    <row r="2125" spans="1:14" x14ac:dyDescent="0.25">
      <c r="A2125">
        <v>1269.1943530000001</v>
      </c>
      <c r="B2125" s="1">
        <f>DATE(2013,10,21) + TIME(4,39,52)</f>
        <v>41568.194351851853</v>
      </c>
      <c r="C2125">
        <v>80</v>
      </c>
      <c r="D2125">
        <v>79.975898743000002</v>
      </c>
      <c r="E2125">
        <v>50</v>
      </c>
      <c r="F2125">
        <v>60.323863983000003</v>
      </c>
      <c r="G2125">
        <v>1339.7967529</v>
      </c>
      <c r="H2125">
        <v>1337.5706786999999</v>
      </c>
      <c r="I2125">
        <v>1325.2021483999999</v>
      </c>
      <c r="J2125">
        <v>1322.5274658000001</v>
      </c>
      <c r="K2125">
        <v>2750</v>
      </c>
      <c r="L2125">
        <v>0</v>
      </c>
      <c r="M2125">
        <v>0</v>
      </c>
      <c r="N2125">
        <v>2750</v>
      </c>
    </row>
    <row r="2126" spans="1:14" x14ac:dyDescent="0.25">
      <c r="A2126">
        <v>1272.9474700000001</v>
      </c>
      <c r="B2126" s="1">
        <f>DATE(2013,10,24) + TIME(22,44,21)</f>
        <v>41571.947465277779</v>
      </c>
      <c r="C2126">
        <v>80</v>
      </c>
      <c r="D2126">
        <v>79.975921631000006</v>
      </c>
      <c r="E2126">
        <v>50</v>
      </c>
      <c r="F2126">
        <v>60.753005981000001</v>
      </c>
      <c r="G2126">
        <v>1339.7899170000001</v>
      </c>
      <c r="H2126">
        <v>1337.5667725000001</v>
      </c>
      <c r="I2126">
        <v>1325.2067870999999</v>
      </c>
      <c r="J2126">
        <v>1322.5325928</v>
      </c>
      <c r="K2126">
        <v>2750</v>
      </c>
      <c r="L2126">
        <v>0</v>
      </c>
      <c r="M2126">
        <v>0</v>
      </c>
      <c r="N2126">
        <v>2750</v>
      </c>
    </row>
    <row r="2127" spans="1:14" x14ac:dyDescent="0.25">
      <c r="A2127">
        <v>1276.7571949999999</v>
      </c>
      <c r="B2127" s="1">
        <f>DATE(2013,10,28) + TIME(18,10,21)</f>
        <v>41575.757187499999</v>
      </c>
      <c r="C2127">
        <v>80</v>
      </c>
      <c r="D2127">
        <v>79.97593689</v>
      </c>
      <c r="E2127">
        <v>50</v>
      </c>
      <c r="F2127">
        <v>61.187755584999998</v>
      </c>
      <c r="G2127">
        <v>1339.7830810999999</v>
      </c>
      <c r="H2127">
        <v>1337.5627440999999</v>
      </c>
      <c r="I2127">
        <v>1325.2115478999999</v>
      </c>
      <c r="J2127">
        <v>1322.5379639</v>
      </c>
      <c r="K2127">
        <v>2750</v>
      </c>
      <c r="L2127">
        <v>0</v>
      </c>
      <c r="M2127">
        <v>0</v>
      </c>
      <c r="N2127">
        <v>2750</v>
      </c>
    </row>
    <row r="2128" spans="1:14" x14ac:dyDescent="0.25">
      <c r="A2128">
        <v>1280</v>
      </c>
      <c r="B2128" s="1">
        <f>DATE(2013,11,1) + TIME(0,0,0)</f>
        <v>41579</v>
      </c>
      <c r="C2128">
        <v>80</v>
      </c>
      <c r="D2128">
        <v>79.975959778000004</v>
      </c>
      <c r="E2128">
        <v>50</v>
      </c>
      <c r="F2128">
        <v>61.543216704999999</v>
      </c>
      <c r="G2128">
        <v>1339.7762451000001</v>
      </c>
      <c r="H2128">
        <v>1337.5587158000001</v>
      </c>
      <c r="I2128">
        <v>1325.2169189000001</v>
      </c>
      <c r="J2128">
        <v>1322.5432129000001</v>
      </c>
      <c r="K2128">
        <v>2750</v>
      </c>
      <c r="L2128">
        <v>0</v>
      </c>
      <c r="M2128">
        <v>0</v>
      </c>
      <c r="N2128">
        <v>2750</v>
      </c>
    </row>
    <row r="2129" spans="1:14" x14ac:dyDescent="0.25">
      <c r="A2129">
        <v>1280.0000010000001</v>
      </c>
      <c r="B2129" s="1">
        <f>DATE(2013,11,1) + TIME(0,0,0)</f>
        <v>41579</v>
      </c>
      <c r="C2129">
        <v>80</v>
      </c>
      <c r="D2129">
        <v>79.975860596000004</v>
      </c>
      <c r="E2129">
        <v>50</v>
      </c>
      <c r="F2129">
        <v>61.543331146</v>
      </c>
      <c r="G2129">
        <v>1336.8603516000001</v>
      </c>
      <c r="H2129">
        <v>1336.065918</v>
      </c>
      <c r="I2129">
        <v>1328.8370361</v>
      </c>
      <c r="J2129">
        <v>1326.2508545000001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1280.000004</v>
      </c>
      <c r="B2130" s="1">
        <f>DATE(2013,11,1) + TIME(0,0,0)</f>
        <v>41579</v>
      </c>
      <c r="C2130">
        <v>80</v>
      </c>
      <c r="D2130">
        <v>79.975723267000006</v>
      </c>
      <c r="E2130">
        <v>50</v>
      </c>
      <c r="F2130">
        <v>61.543460846000002</v>
      </c>
      <c r="G2130">
        <v>1335.9262695</v>
      </c>
      <c r="H2130">
        <v>1335.1181641000001</v>
      </c>
      <c r="I2130">
        <v>1330.1815185999999</v>
      </c>
      <c r="J2130">
        <v>1327.708374</v>
      </c>
      <c r="K2130">
        <v>0</v>
      </c>
      <c r="L2130">
        <v>2750</v>
      </c>
      <c r="M2130">
        <v>2750</v>
      </c>
      <c r="N2130">
        <v>0</v>
      </c>
    </row>
    <row r="2131" spans="1:14" x14ac:dyDescent="0.25">
      <c r="A2131">
        <v>1280.0000130000001</v>
      </c>
      <c r="B2131" s="1">
        <f>DATE(2013,11,1) + TIME(0,0,1)</f>
        <v>41579.000011574077</v>
      </c>
      <c r="C2131">
        <v>80</v>
      </c>
      <c r="D2131">
        <v>79.975585937999995</v>
      </c>
      <c r="E2131">
        <v>50</v>
      </c>
      <c r="F2131">
        <v>61.543476105000003</v>
      </c>
      <c r="G2131">
        <v>1334.9575195</v>
      </c>
      <c r="H2131">
        <v>1334.1151123</v>
      </c>
      <c r="I2131">
        <v>1331.7932129000001</v>
      </c>
      <c r="J2131">
        <v>1329.3024902</v>
      </c>
      <c r="K2131">
        <v>0</v>
      </c>
      <c r="L2131">
        <v>2750</v>
      </c>
      <c r="M2131">
        <v>2750</v>
      </c>
      <c r="N2131">
        <v>0</v>
      </c>
    </row>
    <row r="2132" spans="1:14" x14ac:dyDescent="0.25">
      <c r="A2132">
        <v>1280.0000399999999</v>
      </c>
      <c r="B2132" s="1">
        <f>DATE(2013,11,1) + TIME(0,0,3)</f>
        <v>41579.000034722223</v>
      </c>
      <c r="C2132">
        <v>80</v>
      </c>
      <c r="D2132">
        <v>79.975448607999994</v>
      </c>
      <c r="E2132">
        <v>50</v>
      </c>
      <c r="F2132">
        <v>61.543090820000003</v>
      </c>
      <c r="G2132">
        <v>1334.0001221</v>
      </c>
      <c r="H2132">
        <v>1333.1099853999999</v>
      </c>
      <c r="I2132">
        <v>1333.4215088000001</v>
      </c>
      <c r="J2132">
        <v>1330.8857422000001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1280.000121</v>
      </c>
      <c r="B2133" s="1">
        <f>DATE(2013,11,1) + TIME(0,0,10)</f>
        <v>41579.000115740739</v>
      </c>
      <c r="C2133">
        <v>80</v>
      </c>
      <c r="D2133">
        <v>79.975296021000005</v>
      </c>
      <c r="E2133">
        <v>50</v>
      </c>
      <c r="F2133">
        <v>61.541477202999999</v>
      </c>
      <c r="G2133">
        <v>1333.0075684000001</v>
      </c>
      <c r="H2133">
        <v>1332.0539550999999</v>
      </c>
      <c r="I2133">
        <v>1335.0245361</v>
      </c>
      <c r="J2133">
        <v>1332.4440918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1280.000364</v>
      </c>
      <c r="B2134" s="1">
        <f>DATE(2013,11,1) + TIME(0,0,31)</f>
        <v>41579.000358796293</v>
      </c>
      <c r="C2134">
        <v>80</v>
      </c>
      <c r="D2134">
        <v>79.975120544000006</v>
      </c>
      <c r="E2134">
        <v>50</v>
      </c>
      <c r="F2134">
        <v>61.536106109999999</v>
      </c>
      <c r="G2134">
        <v>1331.9533690999999</v>
      </c>
      <c r="H2134">
        <v>1330.9268798999999</v>
      </c>
      <c r="I2134">
        <v>1336.6018065999999</v>
      </c>
      <c r="J2134">
        <v>1333.9648437999999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1280.0010930000001</v>
      </c>
      <c r="B2135" s="1">
        <f>DATE(2013,11,1) + TIME(0,1,34)</f>
        <v>41579.001087962963</v>
      </c>
      <c r="C2135">
        <v>80</v>
      </c>
      <c r="D2135">
        <v>79.974891662999994</v>
      </c>
      <c r="E2135">
        <v>50</v>
      </c>
      <c r="F2135">
        <v>61.519187926999997</v>
      </c>
      <c r="G2135">
        <v>1330.9378661999999</v>
      </c>
      <c r="H2135">
        <v>1329.8477783000001</v>
      </c>
      <c r="I2135">
        <v>1338.0303954999999</v>
      </c>
      <c r="J2135">
        <v>1335.3292236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1280.0032799999999</v>
      </c>
      <c r="B2136" s="1">
        <f>DATE(2013,11,1) + TIME(0,4,43)</f>
        <v>41579.003275462965</v>
      </c>
      <c r="C2136">
        <v>80</v>
      </c>
      <c r="D2136">
        <v>79.974510193</v>
      </c>
      <c r="E2136">
        <v>50</v>
      </c>
      <c r="F2136">
        <v>61.467422485</v>
      </c>
      <c r="G2136">
        <v>1330.1750488</v>
      </c>
      <c r="H2136">
        <v>1329.050293</v>
      </c>
      <c r="I2136">
        <v>1339.0694579999999</v>
      </c>
      <c r="J2136">
        <v>1336.3220214999999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1280.0098410000001</v>
      </c>
      <c r="B2137" s="1">
        <f>DATE(2013,11,1) + TIME(0,14,10)</f>
        <v>41579.009837962964</v>
      </c>
      <c r="C2137">
        <v>80</v>
      </c>
      <c r="D2137">
        <v>79.973648071</v>
      </c>
      <c r="E2137">
        <v>50</v>
      </c>
      <c r="F2137">
        <v>61.313186645999998</v>
      </c>
      <c r="G2137">
        <v>1329.7878418</v>
      </c>
      <c r="H2137">
        <v>1328.6523437999999</v>
      </c>
      <c r="I2137">
        <v>1339.5789795000001</v>
      </c>
      <c r="J2137">
        <v>1336.8125</v>
      </c>
      <c r="K2137">
        <v>0</v>
      </c>
      <c r="L2137">
        <v>2750</v>
      </c>
      <c r="M2137">
        <v>2750</v>
      </c>
      <c r="N2137">
        <v>0</v>
      </c>
    </row>
    <row r="2138" spans="1:14" x14ac:dyDescent="0.25">
      <c r="A2138">
        <v>1280.029524</v>
      </c>
      <c r="B2138" s="1">
        <f>DATE(2013,11,1) + TIME(0,42,30)</f>
        <v>41579.029513888891</v>
      </c>
      <c r="C2138">
        <v>80</v>
      </c>
      <c r="D2138">
        <v>79.971244811999995</v>
      </c>
      <c r="E2138">
        <v>50</v>
      </c>
      <c r="F2138">
        <v>60.870639801000003</v>
      </c>
      <c r="G2138">
        <v>1329.6827393000001</v>
      </c>
      <c r="H2138">
        <v>1328.5444336</v>
      </c>
      <c r="I2138">
        <v>1339.6944579999999</v>
      </c>
      <c r="J2138">
        <v>1336.9235839999999</v>
      </c>
      <c r="K2138">
        <v>0</v>
      </c>
      <c r="L2138">
        <v>2750</v>
      </c>
      <c r="M2138">
        <v>2750</v>
      </c>
      <c r="N2138">
        <v>0</v>
      </c>
    </row>
    <row r="2139" spans="1:14" x14ac:dyDescent="0.25">
      <c r="A2139">
        <v>1280.0668539999999</v>
      </c>
      <c r="B2139" s="1">
        <f>DATE(2013,11,1) + TIME(1,36,16)</f>
        <v>41579.066851851851</v>
      </c>
      <c r="C2139">
        <v>80</v>
      </c>
      <c r="D2139">
        <v>79.966812133999994</v>
      </c>
      <c r="E2139">
        <v>50</v>
      </c>
      <c r="F2139">
        <v>60.099918365000001</v>
      </c>
      <c r="G2139">
        <v>1329.6676024999999</v>
      </c>
      <c r="H2139">
        <v>1328.5272216999999</v>
      </c>
      <c r="I2139">
        <v>1339.6805420000001</v>
      </c>
      <c r="J2139">
        <v>1336.9097899999999</v>
      </c>
      <c r="K2139">
        <v>0</v>
      </c>
      <c r="L2139">
        <v>2750</v>
      </c>
      <c r="M2139">
        <v>2750</v>
      </c>
      <c r="N2139">
        <v>0</v>
      </c>
    </row>
    <row r="2140" spans="1:14" x14ac:dyDescent="0.25">
      <c r="A2140">
        <v>1280.106135</v>
      </c>
      <c r="B2140" s="1">
        <f>DATE(2013,11,1) + TIME(2,32,50)</f>
        <v>41579.106134259258</v>
      </c>
      <c r="C2140">
        <v>80</v>
      </c>
      <c r="D2140">
        <v>79.962196349999999</v>
      </c>
      <c r="E2140">
        <v>50</v>
      </c>
      <c r="F2140">
        <v>59.357151031000001</v>
      </c>
      <c r="G2140">
        <v>1329.6616211</v>
      </c>
      <c r="H2140">
        <v>1328.5184326000001</v>
      </c>
      <c r="I2140">
        <v>1339.6549072</v>
      </c>
      <c r="J2140">
        <v>1336.8858643000001</v>
      </c>
      <c r="K2140">
        <v>0</v>
      </c>
      <c r="L2140">
        <v>2750</v>
      </c>
      <c r="M2140">
        <v>2750</v>
      </c>
      <c r="N2140">
        <v>0</v>
      </c>
    </row>
    <row r="2141" spans="1:14" x14ac:dyDescent="0.25">
      <c r="A2141">
        <v>1280.1464940000001</v>
      </c>
      <c r="B2141" s="1">
        <f>DATE(2013,11,1) + TIME(3,30,57)</f>
        <v>41579.146493055552</v>
      </c>
      <c r="C2141">
        <v>80</v>
      </c>
      <c r="D2141">
        <v>79.957481384000005</v>
      </c>
      <c r="E2141">
        <v>50</v>
      </c>
      <c r="F2141">
        <v>58.658931731999999</v>
      </c>
      <c r="G2141">
        <v>1329.65625</v>
      </c>
      <c r="H2141">
        <v>1328.5102539</v>
      </c>
      <c r="I2141">
        <v>1339.6304932</v>
      </c>
      <c r="J2141">
        <v>1336.8631591999999</v>
      </c>
      <c r="K2141">
        <v>0</v>
      </c>
      <c r="L2141">
        <v>2750</v>
      </c>
      <c r="M2141">
        <v>2750</v>
      </c>
      <c r="N2141">
        <v>0</v>
      </c>
    </row>
    <row r="2142" spans="1:14" x14ac:dyDescent="0.25">
      <c r="A2142">
        <v>1280.1880349999999</v>
      </c>
      <c r="B2142" s="1">
        <f>DATE(2013,11,1) + TIME(4,30,46)</f>
        <v>41579.188032407408</v>
      </c>
      <c r="C2142">
        <v>80</v>
      </c>
      <c r="D2142">
        <v>79.952674865999995</v>
      </c>
      <c r="E2142">
        <v>50</v>
      </c>
      <c r="F2142">
        <v>58.001979828000003</v>
      </c>
      <c r="G2142">
        <v>1329.651001</v>
      </c>
      <c r="H2142">
        <v>1328.5021973</v>
      </c>
      <c r="I2142">
        <v>1339.6075439000001</v>
      </c>
      <c r="J2142">
        <v>1336.8417969</v>
      </c>
      <c r="K2142">
        <v>0</v>
      </c>
      <c r="L2142">
        <v>2750</v>
      </c>
      <c r="M2142">
        <v>2750</v>
      </c>
      <c r="N2142">
        <v>0</v>
      </c>
    </row>
    <row r="2143" spans="1:14" x14ac:dyDescent="0.25">
      <c r="A2143">
        <v>1280.2308849999999</v>
      </c>
      <c r="B2143" s="1">
        <f>DATE(2013,11,1) + TIME(5,32,28)</f>
        <v>41579.230879629627</v>
      </c>
      <c r="C2143">
        <v>80</v>
      </c>
      <c r="D2143">
        <v>79.947746276999993</v>
      </c>
      <c r="E2143">
        <v>50</v>
      </c>
      <c r="F2143">
        <v>57.383140564000001</v>
      </c>
      <c r="G2143">
        <v>1329.6455077999999</v>
      </c>
      <c r="H2143">
        <v>1328.4938964999999</v>
      </c>
      <c r="I2143">
        <v>1339.5859375</v>
      </c>
      <c r="J2143">
        <v>1336.8217772999999</v>
      </c>
      <c r="K2143">
        <v>0</v>
      </c>
      <c r="L2143">
        <v>2750</v>
      </c>
      <c r="M2143">
        <v>2750</v>
      </c>
      <c r="N2143">
        <v>0</v>
      </c>
    </row>
    <row r="2144" spans="1:14" x14ac:dyDescent="0.25">
      <c r="A2144">
        <v>1280.275167</v>
      </c>
      <c r="B2144" s="1">
        <f>DATE(2013,11,1) + TIME(6,36,14)</f>
        <v>41579.27516203704</v>
      </c>
      <c r="C2144">
        <v>80</v>
      </c>
      <c r="D2144">
        <v>79.942703246999997</v>
      </c>
      <c r="E2144">
        <v>50</v>
      </c>
      <c r="F2144">
        <v>56.799884796000001</v>
      </c>
      <c r="G2144">
        <v>1329.6401367000001</v>
      </c>
      <c r="H2144">
        <v>1328.4855957</v>
      </c>
      <c r="I2144">
        <v>1339.5657959</v>
      </c>
      <c r="J2144">
        <v>1336.8029785000001</v>
      </c>
      <c r="K2144">
        <v>0</v>
      </c>
      <c r="L2144">
        <v>2750</v>
      </c>
      <c r="M2144">
        <v>2750</v>
      </c>
      <c r="N2144">
        <v>0</v>
      </c>
    </row>
    <row r="2145" spans="1:14" x14ac:dyDescent="0.25">
      <c r="A2145">
        <v>1280.321013</v>
      </c>
      <c r="B2145" s="1">
        <f>DATE(2013,11,1) + TIME(7,42,15)</f>
        <v>41579.321006944447</v>
      </c>
      <c r="C2145">
        <v>80</v>
      </c>
      <c r="D2145">
        <v>79.937522888000004</v>
      </c>
      <c r="E2145">
        <v>50</v>
      </c>
      <c r="F2145">
        <v>56.249969481999997</v>
      </c>
      <c r="G2145">
        <v>1329.6345214999999</v>
      </c>
      <c r="H2145">
        <v>1328.4771728999999</v>
      </c>
      <c r="I2145">
        <v>1339.546875</v>
      </c>
      <c r="J2145">
        <v>1336.7854004000001</v>
      </c>
      <c r="K2145">
        <v>0</v>
      </c>
      <c r="L2145">
        <v>2750</v>
      </c>
      <c r="M2145">
        <v>2750</v>
      </c>
      <c r="N2145">
        <v>0</v>
      </c>
    </row>
    <row r="2146" spans="1:14" x14ac:dyDescent="0.25">
      <c r="A2146">
        <v>1280.3685539999999</v>
      </c>
      <c r="B2146" s="1">
        <f>DATE(2013,11,1) + TIME(8,50,43)</f>
        <v>41579.36855324074</v>
      </c>
      <c r="C2146">
        <v>80</v>
      </c>
      <c r="D2146">
        <v>79.932205199999999</v>
      </c>
      <c r="E2146">
        <v>50</v>
      </c>
      <c r="F2146">
        <v>55.731590271000002</v>
      </c>
      <c r="G2146">
        <v>1329.6289062000001</v>
      </c>
      <c r="H2146">
        <v>1328.4686279</v>
      </c>
      <c r="I2146">
        <v>1339.5292969</v>
      </c>
      <c r="J2146">
        <v>1336.769043</v>
      </c>
      <c r="K2146">
        <v>0</v>
      </c>
      <c r="L2146">
        <v>2750</v>
      </c>
      <c r="M2146">
        <v>2750</v>
      </c>
      <c r="N2146">
        <v>0</v>
      </c>
    </row>
    <row r="2147" spans="1:14" x14ac:dyDescent="0.25">
      <c r="A2147">
        <v>1280.4179329999999</v>
      </c>
      <c r="B2147" s="1">
        <f>DATE(2013,11,1) + TIME(10,1,49)</f>
        <v>41579.417928240742</v>
      </c>
      <c r="C2147">
        <v>80</v>
      </c>
      <c r="D2147">
        <v>79.926719665999997</v>
      </c>
      <c r="E2147">
        <v>50</v>
      </c>
      <c r="F2147">
        <v>55.243118285999998</v>
      </c>
      <c r="G2147">
        <v>1329.6231689000001</v>
      </c>
      <c r="H2147">
        <v>1328.4599608999999</v>
      </c>
      <c r="I2147">
        <v>1339.5129394999999</v>
      </c>
      <c r="J2147">
        <v>1336.7537841999999</v>
      </c>
      <c r="K2147">
        <v>0</v>
      </c>
      <c r="L2147">
        <v>2750</v>
      </c>
      <c r="M2147">
        <v>2750</v>
      </c>
      <c r="N2147">
        <v>0</v>
      </c>
    </row>
    <row r="2148" spans="1:14" x14ac:dyDescent="0.25">
      <c r="A2148">
        <v>1280.469329</v>
      </c>
      <c r="B2148" s="1">
        <f>DATE(2013,11,1) + TIME(11,15,50)</f>
        <v>41579.469328703701</v>
      </c>
      <c r="C2148">
        <v>80</v>
      </c>
      <c r="D2148">
        <v>79.921066284000005</v>
      </c>
      <c r="E2148">
        <v>50</v>
      </c>
      <c r="F2148">
        <v>54.782924651999998</v>
      </c>
      <c r="G2148">
        <v>1329.6174315999999</v>
      </c>
      <c r="H2148">
        <v>1328.4511719</v>
      </c>
      <c r="I2148">
        <v>1339.4975586</v>
      </c>
      <c r="J2148">
        <v>1336.739624</v>
      </c>
      <c r="K2148">
        <v>0</v>
      </c>
      <c r="L2148">
        <v>2750</v>
      </c>
      <c r="M2148">
        <v>2750</v>
      </c>
      <c r="N2148">
        <v>0</v>
      </c>
    </row>
    <row r="2149" spans="1:14" x14ac:dyDescent="0.25">
      <c r="A2149">
        <v>1280.5229449999999</v>
      </c>
      <c r="B2149" s="1">
        <f>DATE(2013,11,1) + TIME(12,33,2)</f>
        <v>41579.522939814815</v>
      </c>
      <c r="C2149">
        <v>80</v>
      </c>
      <c r="D2149">
        <v>79.915222168</v>
      </c>
      <c r="E2149">
        <v>50</v>
      </c>
      <c r="F2149">
        <v>54.349559784</v>
      </c>
      <c r="G2149">
        <v>1329.6114502</v>
      </c>
      <c r="H2149">
        <v>1328.4421387</v>
      </c>
      <c r="I2149">
        <v>1339.4833983999999</v>
      </c>
      <c r="J2149">
        <v>1336.7263184000001</v>
      </c>
      <c r="K2149">
        <v>0</v>
      </c>
      <c r="L2149">
        <v>2750</v>
      </c>
      <c r="M2149">
        <v>2750</v>
      </c>
      <c r="N2149">
        <v>0</v>
      </c>
    </row>
    <row r="2150" spans="1:14" x14ac:dyDescent="0.25">
      <c r="A2150">
        <v>1280.5790059999999</v>
      </c>
      <c r="B2150" s="1">
        <f>DATE(2013,11,1) + TIME(13,53,46)</f>
        <v>41579.579004629632</v>
      </c>
      <c r="C2150">
        <v>80</v>
      </c>
      <c r="D2150">
        <v>79.909172057999996</v>
      </c>
      <c r="E2150">
        <v>50</v>
      </c>
      <c r="F2150">
        <v>53.941741942999997</v>
      </c>
      <c r="G2150">
        <v>1329.6053466999999</v>
      </c>
      <c r="H2150">
        <v>1328.4329834</v>
      </c>
      <c r="I2150">
        <v>1339.4702147999999</v>
      </c>
      <c r="J2150">
        <v>1336.7139893000001</v>
      </c>
      <c r="K2150">
        <v>0</v>
      </c>
      <c r="L2150">
        <v>2750</v>
      </c>
      <c r="M2150">
        <v>2750</v>
      </c>
      <c r="N2150">
        <v>0</v>
      </c>
    </row>
    <row r="2151" spans="1:14" x14ac:dyDescent="0.25">
      <c r="A2151">
        <v>1280.6377669999999</v>
      </c>
      <c r="B2151" s="1">
        <f>DATE(2013,11,1) + TIME(15,18,23)</f>
        <v>41579.637766203705</v>
      </c>
      <c r="C2151">
        <v>80</v>
      </c>
      <c r="D2151">
        <v>79.902893066000004</v>
      </c>
      <c r="E2151">
        <v>50</v>
      </c>
      <c r="F2151">
        <v>53.558372497999997</v>
      </c>
      <c r="G2151">
        <v>1329.5991211</v>
      </c>
      <c r="H2151">
        <v>1328.4235839999999</v>
      </c>
      <c r="I2151">
        <v>1339.4580077999999</v>
      </c>
      <c r="J2151">
        <v>1336.7026367000001</v>
      </c>
      <c r="K2151">
        <v>0</v>
      </c>
      <c r="L2151">
        <v>2750</v>
      </c>
      <c r="M2151">
        <v>2750</v>
      </c>
      <c r="N2151">
        <v>0</v>
      </c>
    </row>
    <row r="2152" spans="1:14" x14ac:dyDescent="0.25">
      <c r="A2152">
        <v>1280.6995360000001</v>
      </c>
      <c r="B2152" s="1">
        <f>DATE(2013,11,1) + TIME(16,47,19)</f>
        <v>41579.699525462966</v>
      </c>
      <c r="C2152">
        <v>80</v>
      </c>
      <c r="D2152">
        <v>79.896354674999998</v>
      </c>
      <c r="E2152">
        <v>50</v>
      </c>
      <c r="F2152">
        <v>53.198345183999997</v>
      </c>
      <c r="G2152">
        <v>1329.5927733999999</v>
      </c>
      <c r="H2152">
        <v>1328.4139404</v>
      </c>
      <c r="I2152">
        <v>1339.4466553</v>
      </c>
      <c r="J2152">
        <v>1336.6920166</v>
      </c>
      <c r="K2152">
        <v>0</v>
      </c>
      <c r="L2152">
        <v>2750</v>
      </c>
      <c r="M2152">
        <v>2750</v>
      </c>
      <c r="N2152">
        <v>0</v>
      </c>
    </row>
    <row r="2153" spans="1:14" x14ac:dyDescent="0.25">
      <c r="A2153">
        <v>1280.76466</v>
      </c>
      <c r="B2153" s="1">
        <f>DATE(2013,11,1) + TIME(18,21,6)</f>
        <v>41579.764652777776</v>
      </c>
      <c r="C2153">
        <v>80</v>
      </c>
      <c r="D2153">
        <v>79.889533997000001</v>
      </c>
      <c r="E2153">
        <v>50</v>
      </c>
      <c r="F2153">
        <v>52.860748291</v>
      </c>
      <c r="G2153">
        <v>1329.5861815999999</v>
      </c>
      <c r="H2153">
        <v>1328.4039307</v>
      </c>
      <c r="I2153">
        <v>1339.4361572</v>
      </c>
      <c r="J2153">
        <v>1336.682251</v>
      </c>
      <c r="K2153">
        <v>0</v>
      </c>
      <c r="L2153">
        <v>2750</v>
      </c>
      <c r="M2153">
        <v>2750</v>
      </c>
      <c r="N2153">
        <v>0</v>
      </c>
    </row>
    <row r="2154" spans="1:14" x14ac:dyDescent="0.25">
      <c r="A2154">
        <v>1280.8335440000001</v>
      </c>
      <c r="B2154" s="1">
        <f>DATE(2013,11,1) + TIME(20,0,18)</f>
        <v>41579.833541666667</v>
      </c>
      <c r="C2154">
        <v>80</v>
      </c>
      <c r="D2154">
        <v>79.882400512999993</v>
      </c>
      <c r="E2154">
        <v>50</v>
      </c>
      <c r="F2154">
        <v>52.544769287000001</v>
      </c>
      <c r="G2154">
        <v>1329.5793457</v>
      </c>
      <c r="H2154">
        <v>1328.3936768000001</v>
      </c>
      <c r="I2154">
        <v>1339.4265137</v>
      </c>
      <c r="J2154">
        <v>1336.6732178</v>
      </c>
      <c r="K2154">
        <v>0</v>
      </c>
      <c r="L2154">
        <v>2750</v>
      </c>
      <c r="M2154">
        <v>2750</v>
      </c>
      <c r="N2154">
        <v>0</v>
      </c>
    </row>
    <row r="2155" spans="1:14" x14ac:dyDescent="0.25">
      <c r="A2155">
        <v>1280.9066640000001</v>
      </c>
      <c r="B2155" s="1">
        <f>DATE(2013,11,1) + TIME(21,45,35)</f>
        <v>41579.906655092593</v>
      </c>
      <c r="C2155">
        <v>80</v>
      </c>
      <c r="D2155">
        <v>79.874916076999995</v>
      </c>
      <c r="E2155">
        <v>50</v>
      </c>
      <c r="F2155">
        <v>52.249694824000002</v>
      </c>
      <c r="G2155">
        <v>1329.5723877</v>
      </c>
      <c r="H2155">
        <v>1328.3830565999999</v>
      </c>
      <c r="I2155">
        <v>1339.4176024999999</v>
      </c>
      <c r="J2155">
        <v>1336.6649170000001</v>
      </c>
      <c r="K2155">
        <v>0</v>
      </c>
      <c r="L2155">
        <v>2750</v>
      </c>
      <c r="M2155">
        <v>2750</v>
      </c>
      <c r="N2155">
        <v>0</v>
      </c>
    </row>
    <row r="2156" spans="1:14" x14ac:dyDescent="0.25">
      <c r="A2156">
        <v>1280.984584</v>
      </c>
      <c r="B2156" s="1">
        <f>DATE(2013,11,1) + TIME(23,37,48)</f>
        <v>41579.984583333331</v>
      </c>
      <c r="C2156">
        <v>80</v>
      </c>
      <c r="D2156">
        <v>79.867027282999999</v>
      </c>
      <c r="E2156">
        <v>50</v>
      </c>
      <c r="F2156">
        <v>51.974884033000002</v>
      </c>
      <c r="G2156">
        <v>1329.5649414</v>
      </c>
      <c r="H2156">
        <v>1328.3720702999999</v>
      </c>
      <c r="I2156">
        <v>1339.4093018000001</v>
      </c>
      <c r="J2156">
        <v>1336.6573486</v>
      </c>
      <c r="K2156">
        <v>0</v>
      </c>
      <c r="L2156">
        <v>2750</v>
      </c>
      <c r="M2156">
        <v>2750</v>
      </c>
      <c r="N2156">
        <v>0</v>
      </c>
    </row>
    <row r="2157" spans="1:14" x14ac:dyDescent="0.25">
      <c r="A2157">
        <v>1281.06798</v>
      </c>
      <c r="B2157" s="1">
        <f>DATE(2013,11,2) + TIME(1,37,53)</f>
        <v>41580.067974537036</v>
      </c>
      <c r="C2157">
        <v>80</v>
      </c>
      <c r="D2157">
        <v>79.858695983999993</v>
      </c>
      <c r="E2157">
        <v>50</v>
      </c>
      <c r="F2157">
        <v>51.719776154000002</v>
      </c>
      <c r="G2157">
        <v>1329.5573730000001</v>
      </c>
      <c r="H2157">
        <v>1328.3605957</v>
      </c>
      <c r="I2157">
        <v>1339.4016113</v>
      </c>
      <c r="J2157">
        <v>1336.6502685999999</v>
      </c>
      <c r="K2157">
        <v>0</v>
      </c>
      <c r="L2157">
        <v>2750</v>
      </c>
      <c r="M2157">
        <v>2750</v>
      </c>
      <c r="N2157">
        <v>0</v>
      </c>
    </row>
    <row r="2158" spans="1:14" x14ac:dyDescent="0.25">
      <c r="A2158">
        <v>1281.157674</v>
      </c>
      <c r="B2158" s="1">
        <f>DATE(2013,11,2) + TIME(3,47,3)</f>
        <v>41580.157673611109</v>
      </c>
      <c r="C2158">
        <v>80</v>
      </c>
      <c r="D2158">
        <v>79.849845885999997</v>
      </c>
      <c r="E2158">
        <v>50</v>
      </c>
      <c r="F2158">
        <v>51.483879088999998</v>
      </c>
      <c r="G2158">
        <v>1329.5493164</v>
      </c>
      <c r="H2158">
        <v>1328.3485106999999</v>
      </c>
      <c r="I2158">
        <v>1339.3944091999999</v>
      </c>
      <c r="J2158">
        <v>1336.6439209</v>
      </c>
      <c r="K2158">
        <v>0</v>
      </c>
      <c r="L2158">
        <v>2750</v>
      </c>
      <c r="M2158">
        <v>2750</v>
      </c>
      <c r="N2158">
        <v>0</v>
      </c>
    </row>
    <row r="2159" spans="1:14" x14ac:dyDescent="0.25">
      <c r="A2159">
        <v>1281.254672</v>
      </c>
      <c r="B2159" s="1">
        <f>DATE(2013,11,2) + TIME(6,6,43)</f>
        <v>41580.254664351851</v>
      </c>
      <c r="C2159">
        <v>80</v>
      </c>
      <c r="D2159">
        <v>79.840415954999997</v>
      </c>
      <c r="E2159">
        <v>50</v>
      </c>
      <c r="F2159">
        <v>51.266761780000003</v>
      </c>
      <c r="G2159">
        <v>1329.5408935999999</v>
      </c>
      <c r="H2159">
        <v>1328.3359375</v>
      </c>
      <c r="I2159">
        <v>1339.3876952999999</v>
      </c>
      <c r="J2159">
        <v>1336.6379394999999</v>
      </c>
      <c r="K2159">
        <v>0</v>
      </c>
      <c r="L2159">
        <v>2750</v>
      </c>
      <c r="M2159">
        <v>2750</v>
      </c>
      <c r="N2159">
        <v>0</v>
      </c>
    </row>
    <row r="2160" spans="1:14" x14ac:dyDescent="0.25">
      <c r="A2160">
        <v>1281.357129</v>
      </c>
      <c r="B2160" s="1">
        <f>DATE(2013,11,2) + TIME(8,34,15)</f>
        <v>41580.357118055559</v>
      </c>
      <c r="C2160">
        <v>80</v>
      </c>
      <c r="D2160">
        <v>79.830558776999993</v>
      </c>
      <c r="E2160">
        <v>50</v>
      </c>
      <c r="F2160">
        <v>51.072967529000003</v>
      </c>
      <c r="G2160">
        <v>1329.5319824000001</v>
      </c>
      <c r="H2160">
        <v>1328.3226318</v>
      </c>
      <c r="I2160">
        <v>1339.3818358999999</v>
      </c>
      <c r="J2160">
        <v>1336.6329346</v>
      </c>
      <c r="K2160">
        <v>0</v>
      </c>
      <c r="L2160">
        <v>2750</v>
      </c>
      <c r="M2160">
        <v>2750</v>
      </c>
      <c r="N2160">
        <v>0</v>
      </c>
    </row>
    <row r="2161" spans="1:14" x14ac:dyDescent="0.25">
      <c r="A2161">
        <v>1281.4642699999999</v>
      </c>
      <c r="B2161" s="1">
        <f>DATE(2013,11,2) + TIME(11,8,32)</f>
        <v>41580.464259259257</v>
      </c>
      <c r="C2161">
        <v>80</v>
      </c>
      <c r="D2161">
        <v>79.820365906000006</v>
      </c>
      <c r="E2161">
        <v>50</v>
      </c>
      <c r="F2161">
        <v>50.902744292999998</v>
      </c>
      <c r="G2161">
        <v>1329.5228271000001</v>
      </c>
      <c r="H2161">
        <v>1328.3089600000001</v>
      </c>
      <c r="I2161">
        <v>1339.3765868999999</v>
      </c>
      <c r="J2161">
        <v>1336.6285399999999</v>
      </c>
      <c r="K2161">
        <v>0</v>
      </c>
      <c r="L2161">
        <v>2750</v>
      </c>
      <c r="M2161">
        <v>2750</v>
      </c>
      <c r="N2161">
        <v>0</v>
      </c>
    </row>
    <row r="2162" spans="1:14" x14ac:dyDescent="0.25">
      <c r="A2162">
        <v>1281.5765120000001</v>
      </c>
      <c r="B2162" s="1">
        <f>DATE(2013,11,2) + TIME(13,50,10)</f>
        <v>41580.576504629629</v>
      </c>
      <c r="C2162">
        <v>80</v>
      </c>
      <c r="D2162">
        <v>79.809799193999993</v>
      </c>
      <c r="E2162">
        <v>50</v>
      </c>
      <c r="F2162">
        <v>50.753936768000003</v>
      </c>
      <c r="G2162">
        <v>1329.5134277</v>
      </c>
      <c r="H2162">
        <v>1328.2950439000001</v>
      </c>
      <c r="I2162">
        <v>1339.3717041</v>
      </c>
      <c r="J2162">
        <v>1336.6246338000001</v>
      </c>
      <c r="K2162">
        <v>0</v>
      </c>
      <c r="L2162">
        <v>2750</v>
      </c>
      <c r="M2162">
        <v>2750</v>
      </c>
      <c r="N2162">
        <v>0</v>
      </c>
    </row>
    <row r="2163" spans="1:14" x14ac:dyDescent="0.25">
      <c r="A2163">
        <v>1281.693882</v>
      </c>
      <c r="B2163" s="1">
        <f>DATE(2013,11,2) + TIME(16,39,11)</f>
        <v>41580.693877314814</v>
      </c>
      <c r="C2163">
        <v>80</v>
      </c>
      <c r="D2163">
        <v>79.798858643000003</v>
      </c>
      <c r="E2163">
        <v>50</v>
      </c>
      <c r="F2163">
        <v>50.624942779999998</v>
      </c>
      <c r="G2163">
        <v>1329.5037841999999</v>
      </c>
      <c r="H2163">
        <v>1328.2807617000001</v>
      </c>
      <c r="I2163">
        <v>1339.3670654</v>
      </c>
      <c r="J2163">
        <v>1336.6212158000001</v>
      </c>
      <c r="K2163">
        <v>0</v>
      </c>
      <c r="L2163">
        <v>2750</v>
      </c>
      <c r="M2163">
        <v>2750</v>
      </c>
      <c r="N2163">
        <v>0</v>
      </c>
    </row>
    <row r="2164" spans="1:14" x14ac:dyDescent="0.25">
      <c r="A2164">
        <v>1281.8160109999999</v>
      </c>
      <c r="B2164" s="1">
        <f>DATE(2013,11,2) + TIME(19,35,3)</f>
        <v>41580.816006944442</v>
      </c>
      <c r="C2164">
        <v>80</v>
      </c>
      <c r="D2164">
        <v>79.787590026999993</v>
      </c>
      <c r="E2164">
        <v>50</v>
      </c>
      <c r="F2164">
        <v>50.514350890999999</v>
      </c>
      <c r="G2164">
        <v>1329.4938964999999</v>
      </c>
      <c r="H2164">
        <v>1328.2659911999999</v>
      </c>
      <c r="I2164">
        <v>1339.362793</v>
      </c>
      <c r="J2164">
        <v>1336.6180420000001</v>
      </c>
      <c r="K2164">
        <v>0</v>
      </c>
      <c r="L2164">
        <v>2750</v>
      </c>
      <c r="M2164">
        <v>2750</v>
      </c>
      <c r="N2164">
        <v>0</v>
      </c>
    </row>
    <row r="2165" spans="1:14" x14ac:dyDescent="0.25">
      <c r="A2165">
        <v>1281.9431139999999</v>
      </c>
      <c r="B2165" s="1">
        <f>DATE(2013,11,2) + TIME(22,38,5)</f>
        <v>41580.943113425928</v>
      </c>
      <c r="C2165">
        <v>80</v>
      </c>
      <c r="D2165">
        <v>79.775970459000007</v>
      </c>
      <c r="E2165">
        <v>50</v>
      </c>
      <c r="F2165">
        <v>50.420112609999997</v>
      </c>
      <c r="G2165">
        <v>1329.4837646000001</v>
      </c>
      <c r="H2165">
        <v>1328.2510986</v>
      </c>
      <c r="I2165">
        <v>1339.3587646000001</v>
      </c>
      <c r="J2165">
        <v>1336.6152344</v>
      </c>
      <c r="K2165">
        <v>0</v>
      </c>
      <c r="L2165">
        <v>2750</v>
      </c>
      <c r="M2165">
        <v>2750</v>
      </c>
      <c r="N2165">
        <v>0</v>
      </c>
    </row>
    <row r="2166" spans="1:14" x14ac:dyDescent="0.25">
      <c r="A2166">
        <v>1282.0755200000001</v>
      </c>
      <c r="B2166" s="1">
        <f>DATE(2013,11,3) + TIME(1,48,44)</f>
        <v>41581.075509259259</v>
      </c>
      <c r="C2166">
        <v>80</v>
      </c>
      <c r="D2166">
        <v>79.763984679999993</v>
      </c>
      <c r="E2166">
        <v>50</v>
      </c>
      <c r="F2166">
        <v>50.340274811</v>
      </c>
      <c r="G2166">
        <v>1329.4735106999999</v>
      </c>
      <c r="H2166">
        <v>1328.2358397999999</v>
      </c>
      <c r="I2166">
        <v>1339.3546143000001</v>
      </c>
      <c r="J2166">
        <v>1336.6126709</v>
      </c>
      <c r="K2166">
        <v>0</v>
      </c>
      <c r="L2166">
        <v>2750</v>
      </c>
      <c r="M2166">
        <v>2750</v>
      </c>
      <c r="N2166">
        <v>0</v>
      </c>
    </row>
    <row r="2167" spans="1:14" x14ac:dyDescent="0.25">
      <c r="A2167">
        <v>1282.2135969999999</v>
      </c>
      <c r="B2167" s="1">
        <f>DATE(2013,11,3) + TIME(5,7,34)</f>
        <v>41581.213587962964</v>
      </c>
      <c r="C2167">
        <v>80</v>
      </c>
      <c r="D2167">
        <v>79.751602172999995</v>
      </c>
      <c r="E2167">
        <v>50</v>
      </c>
      <c r="F2167">
        <v>50.273056029999999</v>
      </c>
      <c r="G2167">
        <v>1329.4628906</v>
      </c>
      <c r="H2167">
        <v>1328.2202147999999</v>
      </c>
      <c r="I2167">
        <v>1339.3505858999999</v>
      </c>
      <c r="J2167">
        <v>1336.6102295000001</v>
      </c>
      <c r="K2167">
        <v>0</v>
      </c>
      <c r="L2167">
        <v>2750</v>
      </c>
      <c r="M2167">
        <v>2750</v>
      </c>
      <c r="N2167">
        <v>0</v>
      </c>
    </row>
    <row r="2168" spans="1:14" x14ac:dyDescent="0.25">
      <c r="A2168">
        <v>1282.3577399999999</v>
      </c>
      <c r="B2168" s="1">
        <f>DATE(2013,11,3) + TIME(8,35,8)</f>
        <v>41581.357731481483</v>
      </c>
      <c r="C2168">
        <v>80</v>
      </c>
      <c r="D2168">
        <v>79.738800049000005</v>
      </c>
      <c r="E2168">
        <v>50</v>
      </c>
      <c r="F2168">
        <v>50.216831206999998</v>
      </c>
      <c r="G2168">
        <v>1329.4520264</v>
      </c>
      <c r="H2168">
        <v>1328.2041016000001</v>
      </c>
      <c r="I2168">
        <v>1339.3465576000001</v>
      </c>
      <c r="J2168">
        <v>1336.6079102000001</v>
      </c>
      <c r="K2168">
        <v>0</v>
      </c>
      <c r="L2168">
        <v>2750</v>
      </c>
      <c r="M2168">
        <v>2750</v>
      </c>
      <c r="N2168">
        <v>0</v>
      </c>
    </row>
    <row r="2169" spans="1:14" x14ac:dyDescent="0.25">
      <c r="A2169">
        <v>1282.5083810000001</v>
      </c>
      <c r="B2169" s="1">
        <f>DATE(2013,11,3) + TIME(12,12,4)</f>
        <v>41581.508379629631</v>
      </c>
      <c r="C2169">
        <v>80</v>
      </c>
      <c r="D2169">
        <v>79.725555420000006</v>
      </c>
      <c r="E2169">
        <v>50</v>
      </c>
      <c r="F2169">
        <v>50.170139313</v>
      </c>
      <c r="G2169">
        <v>1329.440918</v>
      </c>
      <c r="H2169">
        <v>1328.1877440999999</v>
      </c>
      <c r="I2169">
        <v>1339.3424072</v>
      </c>
      <c r="J2169">
        <v>1336.6055908000001</v>
      </c>
      <c r="K2169">
        <v>0</v>
      </c>
      <c r="L2169">
        <v>2750</v>
      </c>
      <c r="M2169">
        <v>2750</v>
      </c>
      <c r="N2169">
        <v>0</v>
      </c>
    </row>
    <row r="2170" spans="1:14" x14ac:dyDescent="0.25">
      <c r="A2170">
        <v>1282.665984</v>
      </c>
      <c r="B2170" s="1">
        <f>DATE(2013,11,3) + TIME(15,59,1)</f>
        <v>41581.665983796294</v>
      </c>
      <c r="C2170">
        <v>80</v>
      </c>
      <c r="D2170">
        <v>79.711830139</v>
      </c>
      <c r="E2170">
        <v>50</v>
      </c>
      <c r="F2170">
        <v>50.131649017000001</v>
      </c>
      <c r="G2170">
        <v>1329.4294434000001</v>
      </c>
      <c r="H2170">
        <v>1328.1708983999999</v>
      </c>
      <c r="I2170">
        <v>1339.3381348</v>
      </c>
      <c r="J2170">
        <v>1336.6033935999999</v>
      </c>
      <c r="K2170">
        <v>0</v>
      </c>
      <c r="L2170">
        <v>2750</v>
      </c>
      <c r="M2170">
        <v>2750</v>
      </c>
      <c r="N2170">
        <v>0</v>
      </c>
    </row>
    <row r="2171" spans="1:14" x14ac:dyDescent="0.25">
      <c r="A2171">
        <v>1282.8310590000001</v>
      </c>
      <c r="B2171" s="1">
        <f>DATE(2013,11,3) + TIME(19,56,43)</f>
        <v>41581.831053240741</v>
      </c>
      <c r="C2171">
        <v>80</v>
      </c>
      <c r="D2171">
        <v>79.697593689000001</v>
      </c>
      <c r="E2171">
        <v>50</v>
      </c>
      <c r="F2171">
        <v>50.100181579999997</v>
      </c>
      <c r="G2171">
        <v>1329.4176024999999</v>
      </c>
      <c r="H2171">
        <v>1328.1535644999999</v>
      </c>
      <c r="I2171">
        <v>1339.3337402</v>
      </c>
      <c r="J2171">
        <v>1336.6010742000001</v>
      </c>
      <c r="K2171">
        <v>0</v>
      </c>
      <c r="L2171">
        <v>2750</v>
      </c>
      <c r="M2171">
        <v>2750</v>
      </c>
      <c r="N2171">
        <v>0</v>
      </c>
    </row>
    <row r="2172" spans="1:14" x14ac:dyDescent="0.25">
      <c r="A2172">
        <v>1283.004124</v>
      </c>
      <c r="B2172" s="1">
        <f>DATE(2013,11,4) + TIME(0,5,56)</f>
        <v>41582.004120370373</v>
      </c>
      <c r="C2172">
        <v>80</v>
      </c>
      <c r="D2172">
        <v>79.682815551999994</v>
      </c>
      <c r="E2172">
        <v>50</v>
      </c>
      <c r="F2172">
        <v>50.074672698999997</v>
      </c>
      <c r="G2172">
        <v>1329.4055175999999</v>
      </c>
      <c r="H2172">
        <v>1328.1357422000001</v>
      </c>
      <c r="I2172">
        <v>1339.3292236</v>
      </c>
      <c r="J2172">
        <v>1336.5988769999999</v>
      </c>
      <c r="K2172">
        <v>0</v>
      </c>
      <c r="L2172">
        <v>2750</v>
      </c>
      <c r="M2172">
        <v>2750</v>
      </c>
      <c r="N2172">
        <v>0</v>
      </c>
    </row>
    <row r="2173" spans="1:14" x14ac:dyDescent="0.25">
      <c r="A2173">
        <v>1283.1857540000001</v>
      </c>
      <c r="B2173" s="1">
        <f>DATE(2013,11,4) + TIME(4,27,29)</f>
        <v>41582.185752314814</v>
      </c>
      <c r="C2173">
        <v>80</v>
      </c>
      <c r="D2173">
        <v>79.667465210000003</v>
      </c>
      <c r="E2173">
        <v>50</v>
      </c>
      <c r="F2173">
        <v>50.054187775000003</v>
      </c>
      <c r="G2173">
        <v>1329.3929443</v>
      </c>
      <c r="H2173">
        <v>1328.1173096</v>
      </c>
      <c r="I2173">
        <v>1339.3245850000001</v>
      </c>
      <c r="J2173">
        <v>1336.5965576000001</v>
      </c>
      <c r="K2173">
        <v>0</v>
      </c>
      <c r="L2173">
        <v>2750</v>
      </c>
      <c r="M2173">
        <v>2750</v>
      </c>
      <c r="N2173">
        <v>0</v>
      </c>
    </row>
    <row r="2174" spans="1:14" x14ac:dyDescent="0.25">
      <c r="A2174">
        <v>1283.376659</v>
      </c>
      <c r="B2174" s="1">
        <f>DATE(2013,11,4) + TIME(9,2,23)</f>
        <v>41582.376655092594</v>
      </c>
      <c r="C2174">
        <v>80</v>
      </c>
      <c r="D2174">
        <v>79.651489257999998</v>
      </c>
      <c r="E2174">
        <v>50</v>
      </c>
      <c r="F2174">
        <v>50.037879943999997</v>
      </c>
      <c r="G2174">
        <v>1329.3800048999999</v>
      </c>
      <c r="H2174">
        <v>1328.0983887</v>
      </c>
      <c r="I2174">
        <v>1339.3198242000001</v>
      </c>
      <c r="J2174">
        <v>1336.5941161999999</v>
      </c>
      <c r="K2174">
        <v>0</v>
      </c>
      <c r="L2174">
        <v>2750</v>
      </c>
      <c r="M2174">
        <v>2750</v>
      </c>
      <c r="N2174">
        <v>0</v>
      </c>
    </row>
    <row r="2175" spans="1:14" x14ac:dyDescent="0.25">
      <c r="A2175">
        <v>1283.5775920000001</v>
      </c>
      <c r="B2175" s="1">
        <f>DATE(2013,11,4) + TIME(13,51,43)</f>
        <v>41582.577581018515</v>
      </c>
      <c r="C2175">
        <v>80</v>
      </c>
      <c r="D2175">
        <v>79.634849548000005</v>
      </c>
      <c r="E2175">
        <v>50</v>
      </c>
      <c r="F2175">
        <v>50.025032043000003</v>
      </c>
      <c r="G2175">
        <v>1329.3665771000001</v>
      </c>
      <c r="H2175">
        <v>1328.0787353999999</v>
      </c>
      <c r="I2175">
        <v>1339.3148193</v>
      </c>
      <c r="J2175">
        <v>1336.5916748</v>
      </c>
      <c r="K2175">
        <v>0</v>
      </c>
      <c r="L2175">
        <v>2750</v>
      </c>
      <c r="M2175">
        <v>2750</v>
      </c>
      <c r="N2175">
        <v>0</v>
      </c>
    </row>
    <row r="2176" spans="1:14" x14ac:dyDescent="0.25">
      <c r="A2176">
        <v>1283.7893710000001</v>
      </c>
      <c r="B2176" s="1">
        <f>DATE(2013,11,4) + TIME(18,56,41)</f>
        <v>41582.789363425924</v>
      </c>
      <c r="C2176">
        <v>80</v>
      </c>
      <c r="D2176">
        <v>79.617485045999999</v>
      </c>
      <c r="E2176">
        <v>50</v>
      </c>
      <c r="F2176">
        <v>50.015010834000002</v>
      </c>
      <c r="G2176">
        <v>1329.3526611</v>
      </c>
      <c r="H2176">
        <v>1328.0584716999999</v>
      </c>
      <c r="I2176">
        <v>1339.3095702999999</v>
      </c>
      <c r="J2176">
        <v>1336.5891113</v>
      </c>
      <c r="K2176">
        <v>0</v>
      </c>
      <c r="L2176">
        <v>2750</v>
      </c>
      <c r="M2176">
        <v>2750</v>
      </c>
      <c r="N2176">
        <v>0</v>
      </c>
    </row>
    <row r="2177" spans="1:14" x14ac:dyDescent="0.25">
      <c r="A2177">
        <v>1284.012911</v>
      </c>
      <c r="B2177" s="1">
        <f>DATE(2013,11,5) + TIME(0,18,35)</f>
        <v>41583.01290509259</v>
      </c>
      <c r="C2177">
        <v>80</v>
      </c>
      <c r="D2177">
        <v>79.599349975999999</v>
      </c>
      <c r="E2177">
        <v>50</v>
      </c>
      <c r="F2177">
        <v>50.007274627999998</v>
      </c>
      <c r="G2177">
        <v>1329.3382568</v>
      </c>
      <c r="H2177">
        <v>1328.0374756000001</v>
      </c>
      <c r="I2177">
        <v>1339.3041992000001</v>
      </c>
      <c r="J2177">
        <v>1336.5864257999999</v>
      </c>
      <c r="K2177">
        <v>0</v>
      </c>
      <c r="L2177">
        <v>2750</v>
      </c>
      <c r="M2177">
        <v>2750</v>
      </c>
      <c r="N2177">
        <v>0</v>
      </c>
    </row>
    <row r="2178" spans="1:14" x14ac:dyDescent="0.25">
      <c r="A2178">
        <v>1284.248597</v>
      </c>
      <c r="B2178" s="1">
        <f>DATE(2013,11,5) + TIME(5,57,58)</f>
        <v>41583.24858796296</v>
      </c>
      <c r="C2178">
        <v>80</v>
      </c>
      <c r="D2178">
        <v>79.580413817999997</v>
      </c>
      <c r="E2178">
        <v>50</v>
      </c>
      <c r="F2178">
        <v>50.001384735000002</v>
      </c>
      <c r="G2178">
        <v>1329.3232422000001</v>
      </c>
      <c r="H2178">
        <v>1328.015625</v>
      </c>
      <c r="I2178">
        <v>1339.2987060999999</v>
      </c>
      <c r="J2178">
        <v>1336.5837402</v>
      </c>
      <c r="K2178">
        <v>0</v>
      </c>
      <c r="L2178">
        <v>2750</v>
      </c>
      <c r="M2178">
        <v>2750</v>
      </c>
      <c r="N2178">
        <v>0</v>
      </c>
    </row>
    <row r="2179" spans="1:14" x14ac:dyDescent="0.25">
      <c r="A2179">
        <v>1284.4886980000001</v>
      </c>
      <c r="B2179" s="1">
        <f>DATE(2013,11,5) + TIME(11,43,43)</f>
        <v>41583.488692129627</v>
      </c>
      <c r="C2179">
        <v>80</v>
      </c>
      <c r="D2179">
        <v>79.561164856000005</v>
      </c>
      <c r="E2179">
        <v>50</v>
      </c>
      <c r="F2179">
        <v>49.997058868000003</v>
      </c>
      <c r="G2179">
        <v>1329.3077393000001</v>
      </c>
      <c r="H2179">
        <v>1327.9931641000001</v>
      </c>
      <c r="I2179">
        <v>1339.2930908000001</v>
      </c>
      <c r="J2179">
        <v>1336.5809326000001</v>
      </c>
      <c r="K2179">
        <v>0</v>
      </c>
      <c r="L2179">
        <v>2750</v>
      </c>
      <c r="M2179">
        <v>2750</v>
      </c>
      <c r="N2179">
        <v>0</v>
      </c>
    </row>
    <row r="2180" spans="1:14" x14ac:dyDescent="0.25">
      <c r="A2180">
        <v>1284.73389</v>
      </c>
      <c r="B2180" s="1">
        <f>DATE(2013,11,5) + TIME(17,36,48)</f>
        <v>41583.733888888892</v>
      </c>
      <c r="C2180">
        <v>80</v>
      </c>
      <c r="D2180">
        <v>79.541572571000003</v>
      </c>
      <c r="E2180">
        <v>50</v>
      </c>
      <c r="F2180">
        <v>49.993877411</v>
      </c>
      <c r="G2180">
        <v>1329.2921143000001</v>
      </c>
      <c r="H2180">
        <v>1327.9704589999999</v>
      </c>
      <c r="I2180">
        <v>1339.2875977000001</v>
      </c>
      <c r="J2180">
        <v>1336.578125</v>
      </c>
      <c r="K2180">
        <v>0</v>
      </c>
      <c r="L2180">
        <v>2750</v>
      </c>
      <c r="M2180">
        <v>2750</v>
      </c>
      <c r="N2180">
        <v>0</v>
      </c>
    </row>
    <row r="2181" spans="1:14" x14ac:dyDescent="0.25">
      <c r="A2181">
        <v>1284.9847070000001</v>
      </c>
      <c r="B2181" s="1">
        <f>DATE(2013,11,5) + TIME(23,37,58)</f>
        <v>41583.984699074077</v>
      </c>
      <c r="C2181">
        <v>80</v>
      </c>
      <c r="D2181">
        <v>79.521629333000007</v>
      </c>
      <c r="E2181">
        <v>50</v>
      </c>
      <c r="F2181">
        <v>49.991542815999999</v>
      </c>
      <c r="G2181">
        <v>1329.2763672000001</v>
      </c>
      <c r="H2181">
        <v>1327.9476318</v>
      </c>
      <c r="I2181">
        <v>1339.2819824000001</v>
      </c>
      <c r="J2181">
        <v>1336.5753173999999</v>
      </c>
      <c r="K2181">
        <v>0</v>
      </c>
      <c r="L2181">
        <v>2750</v>
      </c>
      <c r="M2181">
        <v>2750</v>
      </c>
      <c r="N2181">
        <v>0</v>
      </c>
    </row>
    <row r="2182" spans="1:14" x14ac:dyDescent="0.25">
      <c r="A2182">
        <v>1285.241706</v>
      </c>
      <c r="B2182" s="1">
        <f>DATE(2013,11,6) + TIME(5,48,3)</f>
        <v>41584.241701388892</v>
      </c>
      <c r="C2182">
        <v>80</v>
      </c>
      <c r="D2182">
        <v>79.501327515</v>
      </c>
      <c r="E2182">
        <v>50</v>
      </c>
      <c r="F2182">
        <v>49.989826202000003</v>
      </c>
      <c r="G2182">
        <v>1329.260376</v>
      </c>
      <c r="H2182">
        <v>1327.9245605000001</v>
      </c>
      <c r="I2182">
        <v>1339.2764893000001</v>
      </c>
      <c r="J2182">
        <v>1336.5725098</v>
      </c>
      <c r="K2182">
        <v>0</v>
      </c>
      <c r="L2182">
        <v>2750</v>
      </c>
      <c r="M2182">
        <v>2750</v>
      </c>
      <c r="N2182">
        <v>0</v>
      </c>
    </row>
    <row r="2183" spans="1:14" x14ac:dyDescent="0.25">
      <c r="A2183">
        <v>1285.5054700000001</v>
      </c>
      <c r="B2183" s="1">
        <f>DATE(2013,11,6) + TIME(12,7,52)</f>
        <v>41584.505462962959</v>
      </c>
      <c r="C2183">
        <v>80</v>
      </c>
      <c r="D2183">
        <v>79.480628967000001</v>
      </c>
      <c r="E2183">
        <v>50</v>
      </c>
      <c r="F2183">
        <v>49.988563538000001</v>
      </c>
      <c r="G2183">
        <v>1329.2442627</v>
      </c>
      <c r="H2183">
        <v>1327.9012451000001</v>
      </c>
      <c r="I2183">
        <v>1339.2709961</v>
      </c>
      <c r="J2183">
        <v>1336.5697021000001</v>
      </c>
      <c r="K2183">
        <v>0</v>
      </c>
      <c r="L2183">
        <v>2750</v>
      </c>
      <c r="M2183">
        <v>2750</v>
      </c>
      <c r="N2183">
        <v>0</v>
      </c>
    </row>
    <row r="2184" spans="1:14" x14ac:dyDescent="0.25">
      <c r="A2184">
        <v>1285.776617</v>
      </c>
      <c r="B2184" s="1">
        <f>DATE(2013,11,6) + TIME(18,38,19)</f>
        <v>41584.776608796295</v>
      </c>
      <c r="C2184">
        <v>80</v>
      </c>
      <c r="D2184">
        <v>79.459503174000005</v>
      </c>
      <c r="E2184">
        <v>50</v>
      </c>
      <c r="F2184">
        <v>49.987632751</v>
      </c>
      <c r="G2184">
        <v>1329.2279053</v>
      </c>
      <c r="H2184">
        <v>1327.8775635</v>
      </c>
      <c r="I2184">
        <v>1339.265625</v>
      </c>
      <c r="J2184">
        <v>1336.5668945</v>
      </c>
      <c r="K2184">
        <v>0</v>
      </c>
      <c r="L2184">
        <v>2750</v>
      </c>
      <c r="M2184">
        <v>2750</v>
      </c>
      <c r="N2184">
        <v>0</v>
      </c>
    </row>
    <row r="2185" spans="1:14" x14ac:dyDescent="0.25">
      <c r="A2185">
        <v>1286.0557980000001</v>
      </c>
      <c r="B2185" s="1">
        <f>DATE(2013,11,7) + TIME(1,20,20)</f>
        <v>41585.055787037039</v>
      </c>
      <c r="C2185">
        <v>80</v>
      </c>
      <c r="D2185">
        <v>79.437934874999996</v>
      </c>
      <c r="E2185">
        <v>50</v>
      </c>
      <c r="F2185">
        <v>49.986942290999998</v>
      </c>
      <c r="G2185">
        <v>1329.2113036999999</v>
      </c>
      <c r="H2185">
        <v>1327.8536377</v>
      </c>
      <c r="I2185">
        <v>1339.2601318</v>
      </c>
      <c r="J2185">
        <v>1336.5640868999999</v>
      </c>
      <c r="K2185">
        <v>0</v>
      </c>
      <c r="L2185">
        <v>2750</v>
      </c>
      <c r="M2185">
        <v>2750</v>
      </c>
      <c r="N2185">
        <v>0</v>
      </c>
    </row>
    <row r="2186" spans="1:14" x14ac:dyDescent="0.25">
      <c r="A2186">
        <v>1286.343709</v>
      </c>
      <c r="B2186" s="1">
        <f>DATE(2013,11,7) + TIME(8,14,56)</f>
        <v>41585.3437037037</v>
      </c>
      <c r="C2186">
        <v>80</v>
      </c>
      <c r="D2186">
        <v>79.415878296000002</v>
      </c>
      <c r="E2186">
        <v>50</v>
      </c>
      <c r="F2186">
        <v>49.986434936999999</v>
      </c>
      <c r="G2186">
        <v>1329.1944579999999</v>
      </c>
      <c r="H2186">
        <v>1327.8293457</v>
      </c>
      <c r="I2186">
        <v>1339.2547606999999</v>
      </c>
      <c r="J2186">
        <v>1336.5612793</v>
      </c>
      <c r="K2186">
        <v>0</v>
      </c>
      <c r="L2186">
        <v>2750</v>
      </c>
      <c r="M2186">
        <v>2750</v>
      </c>
      <c r="N2186">
        <v>0</v>
      </c>
    </row>
    <row r="2187" spans="1:14" x14ac:dyDescent="0.25">
      <c r="A2187">
        <v>1286.6410969999999</v>
      </c>
      <c r="B2187" s="1">
        <f>DATE(2013,11,7) + TIME(15,23,10)</f>
        <v>41585.641087962962</v>
      </c>
      <c r="C2187">
        <v>80</v>
      </c>
      <c r="D2187">
        <v>79.393302917</v>
      </c>
      <c r="E2187">
        <v>50</v>
      </c>
      <c r="F2187">
        <v>49.986053466999998</v>
      </c>
      <c r="G2187">
        <v>1329.1772461</v>
      </c>
      <c r="H2187">
        <v>1327.8045654</v>
      </c>
      <c r="I2187">
        <v>1339.2495117000001</v>
      </c>
      <c r="J2187">
        <v>1336.5584716999999</v>
      </c>
      <c r="K2187">
        <v>0</v>
      </c>
      <c r="L2187">
        <v>2750</v>
      </c>
      <c r="M2187">
        <v>2750</v>
      </c>
      <c r="N2187">
        <v>0</v>
      </c>
    </row>
    <row r="2188" spans="1:14" x14ac:dyDescent="0.25">
      <c r="A2188">
        <v>1286.9486730000001</v>
      </c>
      <c r="B2188" s="1">
        <f>DATE(2013,11,7) + TIME(22,46,5)</f>
        <v>41585.94866898148</v>
      </c>
      <c r="C2188">
        <v>80</v>
      </c>
      <c r="D2188">
        <v>79.370155334000003</v>
      </c>
      <c r="E2188">
        <v>50</v>
      </c>
      <c r="F2188">
        <v>49.985767365000001</v>
      </c>
      <c r="G2188">
        <v>1329.159668</v>
      </c>
      <c r="H2188">
        <v>1327.7794189000001</v>
      </c>
      <c r="I2188">
        <v>1339.2441406</v>
      </c>
      <c r="J2188">
        <v>1336.5556641000001</v>
      </c>
      <c r="K2188">
        <v>0</v>
      </c>
      <c r="L2188">
        <v>2750</v>
      </c>
      <c r="M2188">
        <v>2750</v>
      </c>
      <c r="N2188">
        <v>0</v>
      </c>
    </row>
    <row r="2189" spans="1:14" x14ac:dyDescent="0.25">
      <c r="A2189">
        <v>1287.267351</v>
      </c>
      <c r="B2189" s="1">
        <f>DATE(2013,11,8) + TIME(6,24,59)</f>
        <v>41586.26734953704</v>
      </c>
      <c r="C2189">
        <v>80</v>
      </c>
      <c r="D2189">
        <v>79.346389771000005</v>
      </c>
      <c r="E2189">
        <v>50</v>
      </c>
      <c r="F2189">
        <v>49.985549927000001</v>
      </c>
      <c r="G2189">
        <v>1329.1418457</v>
      </c>
      <c r="H2189">
        <v>1327.7536620999999</v>
      </c>
      <c r="I2189">
        <v>1339.2388916</v>
      </c>
      <c r="J2189">
        <v>1336.5528564000001</v>
      </c>
      <c r="K2189">
        <v>0</v>
      </c>
      <c r="L2189">
        <v>2750</v>
      </c>
      <c r="M2189">
        <v>2750</v>
      </c>
      <c r="N2189">
        <v>0</v>
      </c>
    </row>
    <row r="2190" spans="1:14" x14ac:dyDescent="0.25">
      <c r="A2190">
        <v>1287.5981260000001</v>
      </c>
      <c r="B2190" s="1">
        <f>DATE(2013,11,8) + TIME(14,21,18)</f>
        <v>41586.598124999997</v>
      </c>
      <c r="C2190">
        <v>80</v>
      </c>
      <c r="D2190">
        <v>79.321968079000001</v>
      </c>
      <c r="E2190">
        <v>50</v>
      </c>
      <c r="F2190">
        <v>49.985382080000001</v>
      </c>
      <c r="G2190">
        <v>1329.1235352000001</v>
      </c>
      <c r="H2190">
        <v>1327.7275391000001</v>
      </c>
      <c r="I2190">
        <v>1339.2335204999999</v>
      </c>
      <c r="J2190">
        <v>1336.5500488</v>
      </c>
      <c r="K2190">
        <v>0</v>
      </c>
      <c r="L2190">
        <v>2750</v>
      </c>
      <c r="M2190">
        <v>2750</v>
      </c>
      <c r="N2190">
        <v>0</v>
      </c>
    </row>
    <row r="2191" spans="1:14" x14ac:dyDescent="0.25">
      <c r="A2191">
        <v>1287.9420520000001</v>
      </c>
      <c r="B2191" s="1">
        <f>DATE(2013,11,8) + TIME(22,36,33)</f>
        <v>41586.942048611112</v>
      </c>
      <c r="C2191">
        <v>80</v>
      </c>
      <c r="D2191">
        <v>79.296821593999994</v>
      </c>
      <c r="E2191">
        <v>50</v>
      </c>
      <c r="F2191">
        <v>49.985252379999999</v>
      </c>
      <c r="G2191">
        <v>1329.1047363</v>
      </c>
      <c r="H2191">
        <v>1327.7006836</v>
      </c>
      <c r="I2191">
        <v>1339.2282714999999</v>
      </c>
      <c r="J2191">
        <v>1336.5472411999999</v>
      </c>
      <c r="K2191">
        <v>0</v>
      </c>
      <c r="L2191">
        <v>2750</v>
      </c>
      <c r="M2191">
        <v>2750</v>
      </c>
      <c r="N2191">
        <v>0</v>
      </c>
    </row>
    <row r="2192" spans="1:14" x14ac:dyDescent="0.25">
      <c r="A2192">
        <v>1288.3002859999999</v>
      </c>
      <c r="B2192" s="1">
        <f>DATE(2013,11,9) + TIME(7,12,24)</f>
        <v>41587.30027777778</v>
      </c>
      <c r="C2192">
        <v>80</v>
      </c>
      <c r="D2192">
        <v>79.270881653000004</v>
      </c>
      <c r="E2192">
        <v>50</v>
      </c>
      <c r="F2192">
        <v>49.985149384000003</v>
      </c>
      <c r="G2192">
        <v>1329.0855713000001</v>
      </c>
      <c r="H2192">
        <v>1327.6732178</v>
      </c>
      <c r="I2192">
        <v>1339.2229004000001</v>
      </c>
      <c r="J2192">
        <v>1336.5444336</v>
      </c>
      <c r="K2192">
        <v>0</v>
      </c>
      <c r="L2192">
        <v>2750</v>
      </c>
      <c r="M2192">
        <v>2750</v>
      </c>
      <c r="N2192">
        <v>0</v>
      </c>
    </row>
    <row r="2193" spans="1:14" x14ac:dyDescent="0.25">
      <c r="A2193">
        <v>1288.674119</v>
      </c>
      <c r="B2193" s="1">
        <f>DATE(2013,11,9) + TIME(16,10,43)</f>
        <v>41587.674108796295</v>
      </c>
      <c r="C2193">
        <v>80</v>
      </c>
      <c r="D2193">
        <v>79.244102478000002</v>
      </c>
      <c r="E2193">
        <v>50</v>
      </c>
      <c r="F2193">
        <v>49.985065460000001</v>
      </c>
      <c r="G2193">
        <v>1329.0657959</v>
      </c>
      <c r="H2193">
        <v>1327.6448975000001</v>
      </c>
      <c r="I2193">
        <v>1339.2176514</v>
      </c>
      <c r="J2193">
        <v>1336.541626</v>
      </c>
      <c r="K2193">
        <v>0</v>
      </c>
      <c r="L2193">
        <v>2750</v>
      </c>
      <c r="M2193">
        <v>2750</v>
      </c>
      <c r="N2193">
        <v>0</v>
      </c>
    </row>
    <row r="2194" spans="1:14" x14ac:dyDescent="0.25">
      <c r="A2194">
        <v>1289.0649900000001</v>
      </c>
      <c r="B2194" s="1">
        <f>DATE(2013,11,10) + TIME(1,33,35)</f>
        <v>41588.064988425926</v>
      </c>
      <c r="C2194">
        <v>80</v>
      </c>
      <c r="D2194">
        <v>79.216384887999993</v>
      </c>
      <c r="E2194">
        <v>50</v>
      </c>
      <c r="F2194">
        <v>49.98500061</v>
      </c>
      <c r="G2194">
        <v>1329.0455322</v>
      </c>
      <c r="H2194">
        <v>1327.6159668</v>
      </c>
      <c r="I2194">
        <v>1339.2122803</v>
      </c>
      <c r="J2194">
        <v>1336.5388184000001</v>
      </c>
      <c r="K2194">
        <v>0</v>
      </c>
      <c r="L2194">
        <v>2750</v>
      </c>
      <c r="M2194">
        <v>2750</v>
      </c>
      <c r="N2194">
        <v>0</v>
      </c>
    </row>
    <row r="2195" spans="1:14" x14ac:dyDescent="0.25">
      <c r="A2195">
        <v>1289.474506</v>
      </c>
      <c r="B2195" s="1">
        <f>DATE(2013,11,10) + TIME(11,23,17)</f>
        <v>41588.474502314813</v>
      </c>
      <c r="C2195">
        <v>80</v>
      </c>
      <c r="D2195">
        <v>79.187667847</v>
      </c>
      <c r="E2195">
        <v>50</v>
      </c>
      <c r="F2195">
        <v>49.984943389999998</v>
      </c>
      <c r="G2195">
        <v>1329.0245361</v>
      </c>
      <c r="H2195">
        <v>1327.5860596</v>
      </c>
      <c r="I2195">
        <v>1339.2069091999999</v>
      </c>
      <c r="J2195">
        <v>1336.5360106999999</v>
      </c>
      <c r="K2195">
        <v>0</v>
      </c>
      <c r="L2195">
        <v>2750</v>
      </c>
      <c r="M2195">
        <v>2750</v>
      </c>
      <c r="N2195">
        <v>0</v>
      </c>
    </row>
    <row r="2196" spans="1:14" x14ac:dyDescent="0.25">
      <c r="A2196">
        <v>1289.904479</v>
      </c>
      <c r="B2196" s="1">
        <f>DATE(2013,11,10) + TIME(21,42,26)</f>
        <v>41588.904467592591</v>
      </c>
      <c r="C2196">
        <v>80</v>
      </c>
      <c r="D2196">
        <v>79.157844542999996</v>
      </c>
      <c r="E2196">
        <v>50</v>
      </c>
      <c r="F2196">
        <v>49.984897613999998</v>
      </c>
      <c r="G2196">
        <v>1329.0028076000001</v>
      </c>
      <c r="H2196">
        <v>1327.5551757999999</v>
      </c>
      <c r="I2196">
        <v>1339.2015381000001</v>
      </c>
      <c r="J2196">
        <v>1336.5330810999999</v>
      </c>
      <c r="K2196">
        <v>0</v>
      </c>
      <c r="L2196">
        <v>2750</v>
      </c>
      <c r="M2196">
        <v>2750</v>
      </c>
      <c r="N2196">
        <v>0</v>
      </c>
    </row>
    <row r="2197" spans="1:14" x14ac:dyDescent="0.25">
      <c r="A2197">
        <v>1290.3569600000001</v>
      </c>
      <c r="B2197" s="1">
        <f>DATE(2013,11,11) + TIME(8,34,1)</f>
        <v>41589.356956018521</v>
      </c>
      <c r="C2197">
        <v>80</v>
      </c>
      <c r="D2197">
        <v>79.126823424999998</v>
      </c>
      <c r="E2197">
        <v>50</v>
      </c>
      <c r="F2197">
        <v>49.984859467</v>
      </c>
      <c r="G2197">
        <v>1328.9803466999999</v>
      </c>
      <c r="H2197">
        <v>1327.5233154</v>
      </c>
      <c r="I2197">
        <v>1339.1961670000001</v>
      </c>
      <c r="J2197">
        <v>1336.5302733999999</v>
      </c>
      <c r="K2197">
        <v>0</v>
      </c>
      <c r="L2197">
        <v>2750</v>
      </c>
      <c r="M2197">
        <v>2750</v>
      </c>
      <c r="N2197">
        <v>0</v>
      </c>
    </row>
    <row r="2198" spans="1:14" x14ac:dyDescent="0.25">
      <c r="A2198">
        <v>1290.8343110000001</v>
      </c>
      <c r="B2198" s="1">
        <f>DATE(2013,11,11) + TIME(20,1,24)</f>
        <v>41589.834305555552</v>
      </c>
      <c r="C2198">
        <v>80</v>
      </c>
      <c r="D2198">
        <v>79.094482421999999</v>
      </c>
      <c r="E2198">
        <v>50</v>
      </c>
      <c r="F2198">
        <v>49.984825133999998</v>
      </c>
      <c r="G2198">
        <v>1328.9570312000001</v>
      </c>
      <c r="H2198">
        <v>1327.4902344</v>
      </c>
      <c r="I2198">
        <v>1339.1906738</v>
      </c>
      <c r="J2198">
        <v>1336.5273437999999</v>
      </c>
      <c r="K2198">
        <v>0</v>
      </c>
      <c r="L2198">
        <v>2750</v>
      </c>
      <c r="M2198">
        <v>2750</v>
      </c>
      <c r="N2198">
        <v>0</v>
      </c>
    </row>
    <row r="2199" spans="1:14" x14ac:dyDescent="0.25">
      <c r="A2199">
        <v>1291.339264</v>
      </c>
      <c r="B2199" s="1">
        <f>DATE(2013,11,12) + TIME(8,8,32)</f>
        <v>41590.339259259257</v>
      </c>
      <c r="C2199">
        <v>80</v>
      </c>
      <c r="D2199">
        <v>79.060699463000006</v>
      </c>
      <c r="E2199">
        <v>50</v>
      </c>
      <c r="F2199">
        <v>49.984794616999999</v>
      </c>
      <c r="G2199">
        <v>1328.9328613</v>
      </c>
      <c r="H2199">
        <v>1327.4559326000001</v>
      </c>
      <c r="I2199">
        <v>1339.1851807</v>
      </c>
      <c r="J2199">
        <v>1336.5244141000001</v>
      </c>
      <c r="K2199">
        <v>0</v>
      </c>
      <c r="L2199">
        <v>2750</v>
      </c>
      <c r="M2199">
        <v>2750</v>
      </c>
      <c r="N2199">
        <v>0</v>
      </c>
    </row>
    <row r="2200" spans="1:14" x14ac:dyDescent="0.25">
      <c r="A2200">
        <v>1291.869007</v>
      </c>
      <c r="B2200" s="1">
        <f>DATE(2013,11,12) + TIME(20,51,22)</f>
        <v>41590.869004629632</v>
      </c>
      <c r="C2200">
        <v>80</v>
      </c>
      <c r="D2200">
        <v>79.025550842000001</v>
      </c>
      <c r="E2200">
        <v>50</v>
      </c>
      <c r="F2200">
        <v>49.984771729000002</v>
      </c>
      <c r="G2200">
        <v>1328.9075928</v>
      </c>
      <c r="H2200">
        <v>1327.4202881000001</v>
      </c>
      <c r="I2200">
        <v>1339.1795654</v>
      </c>
      <c r="J2200">
        <v>1336.5214844</v>
      </c>
      <c r="K2200">
        <v>0</v>
      </c>
      <c r="L2200">
        <v>2750</v>
      </c>
      <c r="M2200">
        <v>2750</v>
      </c>
      <c r="N2200">
        <v>0</v>
      </c>
    </row>
    <row r="2201" spans="1:14" x14ac:dyDescent="0.25">
      <c r="A2201">
        <v>1292.406853</v>
      </c>
      <c r="B2201" s="1">
        <f>DATE(2013,11,13) + TIME(9,45,52)</f>
        <v>41591.406851851854</v>
      </c>
      <c r="C2201">
        <v>80</v>
      </c>
      <c r="D2201">
        <v>78.989669800000001</v>
      </c>
      <c r="E2201">
        <v>50</v>
      </c>
      <c r="F2201">
        <v>49.984748840000002</v>
      </c>
      <c r="G2201">
        <v>1328.8815918</v>
      </c>
      <c r="H2201">
        <v>1327.3835449000001</v>
      </c>
      <c r="I2201">
        <v>1339.1738281</v>
      </c>
      <c r="J2201">
        <v>1336.5184326000001</v>
      </c>
      <c r="K2201">
        <v>0</v>
      </c>
      <c r="L2201">
        <v>2750</v>
      </c>
      <c r="M2201">
        <v>2750</v>
      </c>
      <c r="N2201">
        <v>0</v>
      </c>
    </row>
    <row r="2202" spans="1:14" x14ac:dyDescent="0.25">
      <c r="A2202">
        <v>1292.9557070000001</v>
      </c>
      <c r="B2202" s="1">
        <f>DATE(2013,11,13) + TIME(22,56,13)</f>
        <v>41591.955706018518</v>
      </c>
      <c r="C2202">
        <v>80</v>
      </c>
      <c r="D2202">
        <v>78.953201293999996</v>
      </c>
      <c r="E2202">
        <v>50</v>
      </c>
      <c r="F2202">
        <v>49.984725951999998</v>
      </c>
      <c r="G2202">
        <v>1328.8553466999999</v>
      </c>
      <c r="H2202">
        <v>1327.3464355000001</v>
      </c>
      <c r="I2202">
        <v>1339.1683350000001</v>
      </c>
      <c r="J2202">
        <v>1336.515625</v>
      </c>
      <c r="K2202">
        <v>0</v>
      </c>
      <c r="L2202">
        <v>2750</v>
      </c>
      <c r="M2202">
        <v>2750</v>
      </c>
      <c r="N2202">
        <v>0</v>
      </c>
    </row>
    <row r="2203" spans="1:14" x14ac:dyDescent="0.25">
      <c r="A2203">
        <v>1293.5165219999999</v>
      </c>
      <c r="B2203" s="1">
        <f>DATE(2013,11,14) + TIME(12,23,47)</f>
        <v>41592.516516203701</v>
      </c>
      <c r="C2203">
        <v>80</v>
      </c>
      <c r="D2203">
        <v>78.916191100999995</v>
      </c>
      <c r="E2203">
        <v>50</v>
      </c>
      <c r="F2203">
        <v>49.984710692999997</v>
      </c>
      <c r="G2203">
        <v>1328.8288574000001</v>
      </c>
      <c r="H2203">
        <v>1327.309082</v>
      </c>
      <c r="I2203">
        <v>1339.1629639</v>
      </c>
      <c r="J2203">
        <v>1336.5128173999999</v>
      </c>
      <c r="K2203">
        <v>0</v>
      </c>
      <c r="L2203">
        <v>2750</v>
      </c>
      <c r="M2203">
        <v>2750</v>
      </c>
      <c r="N2203">
        <v>0</v>
      </c>
    </row>
    <row r="2204" spans="1:14" x14ac:dyDescent="0.25">
      <c r="A2204">
        <v>1294.093093</v>
      </c>
      <c r="B2204" s="1">
        <f>DATE(2013,11,15) + TIME(2,14,3)</f>
        <v>41593.093090277776</v>
      </c>
      <c r="C2204">
        <v>80</v>
      </c>
      <c r="D2204">
        <v>78.878578185999999</v>
      </c>
      <c r="E2204">
        <v>50</v>
      </c>
      <c r="F2204">
        <v>49.98469162</v>
      </c>
      <c r="G2204">
        <v>1328.802124</v>
      </c>
      <c r="H2204">
        <v>1327.2713623</v>
      </c>
      <c r="I2204">
        <v>1339.1577147999999</v>
      </c>
      <c r="J2204">
        <v>1336.5100098</v>
      </c>
      <c r="K2204">
        <v>0</v>
      </c>
      <c r="L2204">
        <v>2750</v>
      </c>
      <c r="M2204">
        <v>2750</v>
      </c>
      <c r="N2204">
        <v>0</v>
      </c>
    </row>
    <row r="2205" spans="1:14" x14ac:dyDescent="0.25">
      <c r="A2205">
        <v>1294.689464</v>
      </c>
      <c r="B2205" s="1">
        <f>DATE(2013,11,15) + TIME(16,32,49)</f>
        <v>41593.689456018517</v>
      </c>
      <c r="C2205">
        <v>80</v>
      </c>
      <c r="D2205">
        <v>78.840194702000005</v>
      </c>
      <c r="E2205">
        <v>50</v>
      </c>
      <c r="F2205">
        <v>49.984676360999998</v>
      </c>
      <c r="G2205">
        <v>1328.7749022999999</v>
      </c>
      <c r="H2205">
        <v>1327.2331543</v>
      </c>
      <c r="I2205">
        <v>1339.1525879000001</v>
      </c>
      <c r="J2205">
        <v>1336.5074463000001</v>
      </c>
      <c r="K2205">
        <v>0</v>
      </c>
      <c r="L2205">
        <v>2750</v>
      </c>
      <c r="M2205">
        <v>2750</v>
      </c>
      <c r="N2205">
        <v>0</v>
      </c>
    </row>
    <row r="2206" spans="1:14" x14ac:dyDescent="0.25">
      <c r="A2206">
        <v>1295.3062110000001</v>
      </c>
      <c r="B2206" s="1">
        <f>DATE(2013,11,16) + TIME(7,20,56)</f>
        <v>41594.306203703702</v>
      </c>
      <c r="C2206">
        <v>80</v>
      </c>
      <c r="D2206">
        <v>78.800979613999999</v>
      </c>
      <c r="E2206">
        <v>50</v>
      </c>
      <c r="F2206">
        <v>49.984661101999997</v>
      </c>
      <c r="G2206">
        <v>1328.7473144999999</v>
      </c>
      <c r="H2206">
        <v>1327.1943358999999</v>
      </c>
      <c r="I2206">
        <v>1339.1474608999999</v>
      </c>
      <c r="J2206">
        <v>1336.5047606999999</v>
      </c>
      <c r="K2206">
        <v>0</v>
      </c>
      <c r="L2206">
        <v>2750</v>
      </c>
      <c r="M2206">
        <v>2750</v>
      </c>
      <c r="N2206">
        <v>0</v>
      </c>
    </row>
    <row r="2207" spans="1:14" x14ac:dyDescent="0.25">
      <c r="A2207">
        <v>1295.9407309999999</v>
      </c>
      <c r="B2207" s="1">
        <f>DATE(2013,11,16) + TIME(22,34,39)</f>
        <v>41594.940729166665</v>
      </c>
      <c r="C2207">
        <v>80</v>
      </c>
      <c r="D2207">
        <v>78.760978699000006</v>
      </c>
      <c r="E2207">
        <v>50</v>
      </c>
      <c r="F2207">
        <v>49.984649658000002</v>
      </c>
      <c r="G2207">
        <v>1328.7191161999999</v>
      </c>
      <c r="H2207">
        <v>1327.1547852000001</v>
      </c>
      <c r="I2207">
        <v>1339.1423339999999</v>
      </c>
      <c r="J2207">
        <v>1336.5021973</v>
      </c>
      <c r="K2207">
        <v>0</v>
      </c>
      <c r="L2207">
        <v>2750</v>
      </c>
      <c r="M2207">
        <v>2750</v>
      </c>
      <c r="N2207">
        <v>0</v>
      </c>
    </row>
    <row r="2208" spans="1:14" x14ac:dyDescent="0.25">
      <c r="A2208">
        <v>1296.5948920000001</v>
      </c>
      <c r="B2208" s="1">
        <f>DATE(2013,11,17) + TIME(14,16,38)</f>
        <v>41595.594884259262</v>
      </c>
      <c r="C2208">
        <v>80</v>
      </c>
      <c r="D2208">
        <v>78.720169067</v>
      </c>
      <c r="E2208">
        <v>50</v>
      </c>
      <c r="F2208">
        <v>49.984634399000001</v>
      </c>
      <c r="G2208">
        <v>1328.6905518000001</v>
      </c>
      <c r="H2208">
        <v>1327.1147461</v>
      </c>
      <c r="I2208">
        <v>1339.1373291</v>
      </c>
      <c r="J2208">
        <v>1336.4996338000001</v>
      </c>
      <c r="K2208">
        <v>0</v>
      </c>
      <c r="L2208">
        <v>2750</v>
      </c>
      <c r="M2208">
        <v>2750</v>
      </c>
      <c r="N2208">
        <v>0</v>
      </c>
    </row>
    <row r="2209" spans="1:14" x14ac:dyDescent="0.25">
      <c r="A2209">
        <v>1297.2705989999999</v>
      </c>
      <c r="B2209" s="1">
        <f>DATE(2013,11,18) + TIME(6,29,39)</f>
        <v>41596.270590277774</v>
      </c>
      <c r="C2209">
        <v>80</v>
      </c>
      <c r="D2209">
        <v>78.678474425999994</v>
      </c>
      <c r="E2209">
        <v>50</v>
      </c>
      <c r="F2209">
        <v>49.984622954999999</v>
      </c>
      <c r="G2209">
        <v>1328.661499</v>
      </c>
      <c r="H2209">
        <v>1327.0740966999999</v>
      </c>
      <c r="I2209">
        <v>1339.1323242000001</v>
      </c>
      <c r="J2209">
        <v>1336.4970702999999</v>
      </c>
      <c r="K2209">
        <v>0</v>
      </c>
      <c r="L2209">
        <v>2750</v>
      </c>
      <c r="M2209">
        <v>2750</v>
      </c>
      <c r="N2209">
        <v>0</v>
      </c>
    </row>
    <row r="2210" spans="1:14" x14ac:dyDescent="0.25">
      <c r="A2210">
        <v>1297.96964</v>
      </c>
      <c r="B2210" s="1">
        <f>DATE(2013,11,18) + TIME(23,16,16)</f>
        <v>41596.969629629632</v>
      </c>
      <c r="C2210">
        <v>80</v>
      </c>
      <c r="D2210">
        <v>78.635818481000001</v>
      </c>
      <c r="E2210">
        <v>50</v>
      </c>
      <c r="F2210">
        <v>49.984611510999997</v>
      </c>
      <c r="G2210">
        <v>1328.6319579999999</v>
      </c>
      <c r="H2210">
        <v>1327.0328368999999</v>
      </c>
      <c r="I2210">
        <v>1339.1273193</v>
      </c>
      <c r="J2210">
        <v>1336.4946289</v>
      </c>
      <c r="K2210">
        <v>0</v>
      </c>
      <c r="L2210">
        <v>2750</v>
      </c>
      <c r="M2210">
        <v>2750</v>
      </c>
      <c r="N2210">
        <v>0</v>
      </c>
    </row>
    <row r="2211" spans="1:14" x14ac:dyDescent="0.25">
      <c r="A2211">
        <v>1298.689611</v>
      </c>
      <c r="B2211" s="1">
        <f>DATE(2013,11,19) + TIME(16,33,2)</f>
        <v>41597.689606481479</v>
      </c>
      <c r="C2211">
        <v>80</v>
      </c>
      <c r="D2211">
        <v>78.592239379999995</v>
      </c>
      <c r="E2211">
        <v>50</v>
      </c>
      <c r="F2211">
        <v>49.984596252000003</v>
      </c>
      <c r="G2211">
        <v>1328.6018065999999</v>
      </c>
      <c r="H2211">
        <v>1326.9908447</v>
      </c>
      <c r="I2211">
        <v>1339.1224365</v>
      </c>
      <c r="J2211">
        <v>1336.4921875</v>
      </c>
      <c r="K2211">
        <v>0</v>
      </c>
      <c r="L2211">
        <v>2750</v>
      </c>
      <c r="M2211">
        <v>2750</v>
      </c>
      <c r="N2211">
        <v>0</v>
      </c>
    </row>
    <row r="2212" spans="1:14" x14ac:dyDescent="0.25">
      <c r="A2212">
        <v>1299.419952</v>
      </c>
      <c r="B2212" s="1">
        <f>DATE(2013,11,20) + TIME(10,4,43)</f>
        <v>41598.419942129629</v>
      </c>
      <c r="C2212">
        <v>80</v>
      </c>
      <c r="D2212">
        <v>78.548057556000003</v>
      </c>
      <c r="E2212">
        <v>50</v>
      </c>
      <c r="F2212">
        <v>49.984584808000001</v>
      </c>
      <c r="G2212">
        <v>1328.5712891000001</v>
      </c>
      <c r="H2212">
        <v>1326.9482422000001</v>
      </c>
      <c r="I2212">
        <v>1339.1175536999999</v>
      </c>
      <c r="J2212">
        <v>1336.4898682</v>
      </c>
      <c r="K2212">
        <v>0</v>
      </c>
      <c r="L2212">
        <v>2750</v>
      </c>
      <c r="M2212">
        <v>2750</v>
      </c>
      <c r="N2212">
        <v>0</v>
      </c>
    </row>
    <row r="2213" spans="1:14" x14ac:dyDescent="0.25">
      <c r="A2213">
        <v>1300.165886</v>
      </c>
      <c r="B2213" s="1">
        <f>DATE(2013,11,21) + TIME(3,58,52)</f>
        <v>41599.165879629632</v>
      </c>
      <c r="C2213">
        <v>80</v>
      </c>
      <c r="D2213">
        <v>78.503303528000004</v>
      </c>
      <c r="E2213">
        <v>50</v>
      </c>
      <c r="F2213">
        <v>49.984573363999999</v>
      </c>
      <c r="G2213">
        <v>1328.5405272999999</v>
      </c>
      <c r="H2213">
        <v>1326.9055175999999</v>
      </c>
      <c r="I2213">
        <v>1339.112793</v>
      </c>
      <c r="J2213">
        <v>1336.4875488</v>
      </c>
      <c r="K2213">
        <v>0</v>
      </c>
      <c r="L2213">
        <v>2750</v>
      </c>
      <c r="M2213">
        <v>2750</v>
      </c>
      <c r="N2213">
        <v>0</v>
      </c>
    </row>
    <row r="2214" spans="1:14" x14ac:dyDescent="0.25">
      <c r="A2214">
        <v>1300.9327370000001</v>
      </c>
      <c r="B2214" s="1">
        <f>DATE(2013,11,21) + TIME(22,23,8)</f>
        <v>41599.93273148148</v>
      </c>
      <c r="C2214">
        <v>80</v>
      </c>
      <c r="D2214">
        <v>78.457839965999995</v>
      </c>
      <c r="E2214">
        <v>50</v>
      </c>
      <c r="F2214">
        <v>49.984561919999997</v>
      </c>
      <c r="G2214">
        <v>1328.5096435999999</v>
      </c>
      <c r="H2214">
        <v>1326.8625488</v>
      </c>
      <c r="I2214">
        <v>1339.1081543</v>
      </c>
      <c r="J2214">
        <v>1336.4853516000001</v>
      </c>
      <c r="K2214">
        <v>0</v>
      </c>
      <c r="L2214">
        <v>2750</v>
      </c>
      <c r="M2214">
        <v>2750</v>
      </c>
      <c r="N2214">
        <v>0</v>
      </c>
    </row>
    <row r="2215" spans="1:14" x14ac:dyDescent="0.25">
      <c r="A2215">
        <v>1301.726287</v>
      </c>
      <c r="B2215" s="1">
        <f>DATE(2013,11,22) + TIME(17,25,51)</f>
        <v>41600.726284722223</v>
      </c>
      <c r="C2215">
        <v>80</v>
      </c>
      <c r="D2215">
        <v>78.411422728999995</v>
      </c>
      <c r="E2215">
        <v>50</v>
      </c>
      <c r="F2215">
        <v>49.984550476000003</v>
      </c>
      <c r="G2215">
        <v>1328.4783935999999</v>
      </c>
      <c r="H2215">
        <v>1326.8190918</v>
      </c>
      <c r="I2215">
        <v>1339.1035156</v>
      </c>
      <c r="J2215">
        <v>1336.4831543</v>
      </c>
      <c r="K2215">
        <v>0</v>
      </c>
      <c r="L2215">
        <v>2750</v>
      </c>
      <c r="M2215">
        <v>2750</v>
      </c>
      <c r="N2215">
        <v>0</v>
      </c>
    </row>
    <row r="2216" spans="1:14" x14ac:dyDescent="0.25">
      <c r="A2216">
        <v>1302.5530550000001</v>
      </c>
      <c r="B2216" s="1">
        <f>DATE(2013,11,23) + TIME(13,16,23)</f>
        <v>41601.553043981483</v>
      </c>
      <c r="C2216">
        <v>80</v>
      </c>
      <c r="D2216">
        <v>78.363739014000004</v>
      </c>
      <c r="E2216">
        <v>50</v>
      </c>
      <c r="F2216">
        <v>49.984539032000001</v>
      </c>
      <c r="G2216">
        <v>1328.4465332</v>
      </c>
      <c r="H2216">
        <v>1326.7749022999999</v>
      </c>
      <c r="I2216">
        <v>1339.0988769999999</v>
      </c>
      <c r="J2216">
        <v>1336.4810791</v>
      </c>
      <c r="K2216">
        <v>0</v>
      </c>
      <c r="L2216">
        <v>2750</v>
      </c>
      <c r="M2216">
        <v>2750</v>
      </c>
      <c r="N2216">
        <v>0</v>
      </c>
    </row>
    <row r="2217" spans="1:14" x14ac:dyDescent="0.25">
      <c r="A2217">
        <v>1303.4206139999999</v>
      </c>
      <c r="B2217" s="1">
        <f>DATE(2013,11,24) + TIME(10,5,41)</f>
        <v>41602.420613425929</v>
      </c>
      <c r="C2217">
        <v>80</v>
      </c>
      <c r="D2217">
        <v>78.314407349000007</v>
      </c>
      <c r="E2217">
        <v>50</v>
      </c>
      <c r="F2217">
        <v>49.984527587999999</v>
      </c>
      <c r="G2217">
        <v>1328.4139404</v>
      </c>
      <c r="H2217">
        <v>1326.7297363</v>
      </c>
      <c r="I2217">
        <v>1339.0943603999999</v>
      </c>
      <c r="J2217">
        <v>1336.4788818</v>
      </c>
      <c r="K2217">
        <v>0</v>
      </c>
      <c r="L2217">
        <v>2750</v>
      </c>
      <c r="M2217">
        <v>2750</v>
      </c>
      <c r="N2217">
        <v>0</v>
      </c>
    </row>
    <row r="2218" spans="1:14" x14ac:dyDescent="0.25">
      <c r="A2218">
        <v>1304.3256289999999</v>
      </c>
      <c r="B2218" s="1">
        <f>DATE(2013,11,25) + TIME(7,48,54)</f>
        <v>41603.325624999998</v>
      </c>
      <c r="C2218">
        <v>80</v>
      </c>
      <c r="D2218">
        <v>78.263290405000006</v>
      </c>
      <c r="E2218">
        <v>50</v>
      </c>
      <c r="F2218">
        <v>49.984516143999997</v>
      </c>
      <c r="G2218">
        <v>1328.380249</v>
      </c>
      <c r="H2218">
        <v>1326.6833495999999</v>
      </c>
      <c r="I2218">
        <v>1339.0897216999999</v>
      </c>
      <c r="J2218">
        <v>1336.4768065999999</v>
      </c>
      <c r="K2218">
        <v>0</v>
      </c>
      <c r="L2218">
        <v>2750</v>
      </c>
      <c r="M2218">
        <v>2750</v>
      </c>
      <c r="N2218">
        <v>0</v>
      </c>
    </row>
    <row r="2219" spans="1:14" x14ac:dyDescent="0.25">
      <c r="A2219">
        <v>1305.251321</v>
      </c>
      <c r="B2219" s="1">
        <f>DATE(2013,11,26) + TIME(6,1,54)</f>
        <v>41604.251319444447</v>
      </c>
      <c r="C2219">
        <v>80</v>
      </c>
      <c r="D2219">
        <v>78.210708617999998</v>
      </c>
      <c r="E2219">
        <v>50</v>
      </c>
      <c r="F2219">
        <v>49.984504700000002</v>
      </c>
      <c r="G2219">
        <v>1328.3458252</v>
      </c>
      <c r="H2219">
        <v>1326.6358643000001</v>
      </c>
      <c r="I2219">
        <v>1339.0849608999999</v>
      </c>
      <c r="J2219">
        <v>1336.4747314000001</v>
      </c>
      <c r="K2219">
        <v>0</v>
      </c>
      <c r="L2219">
        <v>2750</v>
      </c>
      <c r="M2219">
        <v>2750</v>
      </c>
      <c r="N2219">
        <v>0</v>
      </c>
    </row>
    <row r="2220" spans="1:14" x14ac:dyDescent="0.25">
      <c r="A2220">
        <v>1306.1857500000001</v>
      </c>
      <c r="B2220" s="1">
        <f>DATE(2013,11,27) + TIME(4,27,28)</f>
        <v>41605.185740740744</v>
      </c>
      <c r="C2220">
        <v>80</v>
      </c>
      <c r="D2220">
        <v>78.157264709000003</v>
      </c>
      <c r="E2220">
        <v>50</v>
      </c>
      <c r="F2220">
        <v>49.984489441000001</v>
      </c>
      <c r="G2220">
        <v>1328.3109131000001</v>
      </c>
      <c r="H2220">
        <v>1326.5878906</v>
      </c>
      <c r="I2220">
        <v>1339.0803223</v>
      </c>
      <c r="J2220">
        <v>1336.4726562000001</v>
      </c>
      <c r="K2220">
        <v>0</v>
      </c>
      <c r="L2220">
        <v>2750</v>
      </c>
      <c r="M2220">
        <v>2750</v>
      </c>
      <c r="N2220">
        <v>0</v>
      </c>
    </row>
    <row r="2221" spans="1:14" x14ac:dyDescent="0.25">
      <c r="A2221">
        <v>1307.132323</v>
      </c>
      <c r="B2221" s="1">
        <f>DATE(2013,11,28) + TIME(3,10,32)</f>
        <v>41606.132314814815</v>
      </c>
      <c r="C2221">
        <v>80</v>
      </c>
      <c r="D2221">
        <v>78.103233337000006</v>
      </c>
      <c r="E2221">
        <v>50</v>
      </c>
      <c r="F2221">
        <v>49.984477996999999</v>
      </c>
      <c r="G2221">
        <v>1328.2761230000001</v>
      </c>
      <c r="H2221">
        <v>1326.5399170000001</v>
      </c>
      <c r="I2221">
        <v>1339.0759277</v>
      </c>
      <c r="J2221">
        <v>1336.4707031</v>
      </c>
      <c r="K2221">
        <v>0</v>
      </c>
      <c r="L2221">
        <v>2750</v>
      </c>
      <c r="M2221">
        <v>2750</v>
      </c>
      <c r="N2221">
        <v>0</v>
      </c>
    </row>
    <row r="2222" spans="1:14" x14ac:dyDescent="0.25">
      <c r="A2222">
        <v>1308.0981609999999</v>
      </c>
      <c r="B2222" s="1">
        <f>DATE(2013,11,29) + TIME(2,21,21)</f>
        <v>41607.09815972222</v>
      </c>
      <c r="C2222">
        <v>80</v>
      </c>
      <c r="D2222">
        <v>78.048530579000001</v>
      </c>
      <c r="E2222">
        <v>50</v>
      </c>
      <c r="F2222">
        <v>49.984466552999997</v>
      </c>
      <c r="G2222">
        <v>1328.2413329999999</v>
      </c>
      <c r="H2222">
        <v>1326.4919434000001</v>
      </c>
      <c r="I2222">
        <v>1339.0715332</v>
      </c>
      <c r="J2222">
        <v>1336.4688721</v>
      </c>
      <c r="K2222">
        <v>0</v>
      </c>
      <c r="L2222">
        <v>2750</v>
      </c>
      <c r="M2222">
        <v>2750</v>
      </c>
      <c r="N2222">
        <v>0</v>
      </c>
    </row>
    <row r="2223" spans="1:14" x14ac:dyDescent="0.25">
      <c r="A2223">
        <v>1309.0906319999999</v>
      </c>
      <c r="B2223" s="1">
        <f>DATE(2013,11,30) + TIME(2,10,30)</f>
        <v>41608.090624999997</v>
      </c>
      <c r="C2223">
        <v>80</v>
      </c>
      <c r="D2223">
        <v>77.992851256999998</v>
      </c>
      <c r="E2223">
        <v>50</v>
      </c>
      <c r="F2223">
        <v>49.984455109000002</v>
      </c>
      <c r="G2223">
        <v>1328.2062988</v>
      </c>
      <c r="H2223">
        <v>1326.4439697</v>
      </c>
      <c r="I2223">
        <v>1339.0672606999999</v>
      </c>
      <c r="J2223">
        <v>1336.4670410000001</v>
      </c>
      <c r="K2223">
        <v>0</v>
      </c>
      <c r="L2223">
        <v>2750</v>
      </c>
      <c r="M2223">
        <v>2750</v>
      </c>
      <c r="N2223">
        <v>0</v>
      </c>
    </row>
    <row r="2224" spans="1:14" x14ac:dyDescent="0.25">
      <c r="A2224">
        <v>1310</v>
      </c>
      <c r="B2224" s="1">
        <f>DATE(2013,12,1) + TIME(0,0,0)</f>
        <v>41609</v>
      </c>
      <c r="C2224">
        <v>80</v>
      </c>
      <c r="D2224">
        <v>77.938369750999996</v>
      </c>
      <c r="E2224">
        <v>50</v>
      </c>
      <c r="F2224">
        <v>49.984447479000004</v>
      </c>
      <c r="G2224">
        <v>1328.1712646000001</v>
      </c>
      <c r="H2224">
        <v>1326.3961182</v>
      </c>
      <c r="I2224">
        <v>1339.0629882999999</v>
      </c>
      <c r="J2224">
        <v>1336.4652100000001</v>
      </c>
      <c r="K2224">
        <v>0</v>
      </c>
      <c r="L2224">
        <v>2750</v>
      </c>
      <c r="M2224">
        <v>2750</v>
      </c>
      <c r="N2224">
        <v>0</v>
      </c>
    </row>
    <row r="2225" spans="1:14" x14ac:dyDescent="0.25">
      <c r="A2225">
        <v>1311.0271</v>
      </c>
      <c r="B2225" s="1">
        <f>DATE(2013,12,2) + TIME(0,39,1)</f>
        <v>41610.027094907404</v>
      </c>
      <c r="C2225">
        <v>80</v>
      </c>
      <c r="D2225">
        <v>77.882926940999994</v>
      </c>
      <c r="E2225">
        <v>50</v>
      </c>
      <c r="F2225">
        <v>49.984436035000002</v>
      </c>
      <c r="G2225">
        <v>1328.1383057</v>
      </c>
      <c r="H2225">
        <v>1326.3503418</v>
      </c>
      <c r="I2225">
        <v>1339.0592041</v>
      </c>
      <c r="J2225">
        <v>1336.4637451000001</v>
      </c>
      <c r="K2225">
        <v>0</v>
      </c>
      <c r="L2225">
        <v>2750</v>
      </c>
      <c r="M2225">
        <v>2750</v>
      </c>
      <c r="N2225">
        <v>0</v>
      </c>
    </row>
    <row r="2226" spans="1:14" x14ac:dyDescent="0.25">
      <c r="A2226">
        <v>1312.1305</v>
      </c>
      <c r="B2226" s="1">
        <f>DATE(2013,12,3) + TIME(3,7,55)</f>
        <v>41611.130497685182</v>
      </c>
      <c r="C2226">
        <v>80</v>
      </c>
      <c r="D2226">
        <v>77.824012756000002</v>
      </c>
      <c r="E2226">
        <v>50</v>
      </c>
      <c r="F2226">
        <v>49.984424591</v>
      </c>
      <c r="G2226">
        <v>1328.1032714999999</v>
      </c>
      <c r="H2226">
        <v>1326.3027344</v>
      </c>
      <c r="I2226">
        <v>1339.0550536999999</v>
      </c>
      <c r="J2226">
        <v>1336.4620361</v>
      </c>
      <c r="K2226">
        <v>0</v>
      </c>
      <c r="L2226">
        <v>2750</v>
      </c>
      <c r="M2226">
        <v>2750</v>
      </c>
      <c r="N2226">
        <v>0</v>
      </c>
    </row>
    <row r="2227" spans="1:14" x14ac:dyDescent="0.25">
      <c r="A2227">
        <v>1313.2798769999999</v>
      </c>
      <c r="B2227" s="1">
        <f>DATE(2013,12,4) + TIME(6,43,1)</f>
        <v>41612.279872685183</v>
      </c>
      <c r="C2227">
        <v>80</v>
      </c>
      <c r="D2227">
        <v>77.761650084999999</v>
      </c>
      <c r="E2227">
        <v>50</v>
      </c>
      <c r="F2227">
        <v>49.984413146999998</v>
      </c>
      <c r="G2227">
        <v>1328.0665283000001</v>
      </c>
      <c r="H2227">
        <v>1326.2526855000001</v>
      </c>
      <c r="I2227">
        <v>1339.0507812000001</v>
      </c>
      <c r="J2227">
        <v>1336.4603271000001</v>
      </c>
      <c r="K2227">
        <v>0</v>
      </c>
      <c r="L2227">
        <v>2750</v>
      </c>
      <c r="M2227">
        <v>2750</v>
      </c>
      <c r="N2227">
        <v>0</v>
      </c>
    </row>
    <row r="2228" spans="1:14" x14ac:dyDescent="0.25">
      <c r="A2228">
        <v>1314.471671</v>
      </c>
      <c r="B2228" s="1">
        <f>DATE(2013,12,5) + TIME(11,19,12)</f>
        <v>41613.471666666665</v>
      </c>
      <c r="C2228">
        <v>80</v>
      </c>
      <c r="D2228">
        <v>77.696426392000006</v>
      </c>
      <c r="E2228">
        <v>50</v>
      </c>
      <c r="F2228">
        <v>49.984401703000003</v>
      </c>
      <c r="G2228">
        <v>1328.0286865</v>
      </c>
      <c r="H2228">
        <v>1326.2011719</v>
      </c>
      <c r="I2228">
        <v>1339.0465088000001</v>
      </c>
      <c r="J2228">
        <v>1336.4587402</v>
      </c>
      <c r="K2228">
        <v>0</v>
      </c>
      <c r="L2228">
        <v>2750</v>
      </c>
      <c r="M2228">
        <v>2750</v>
      </c>
      <c r="N2228">
        <v>0</v>
      </c>
    </row>
    <row r="2229" spans="1:14" x14ac:dyDescent="0.25">
      <c r="A2229">
        <v>1315.6721190000001</v>
      </c>
      <c r="B2229" s="1">
        <f>DATE(2013,12,6) + TIME(16,7,51)</f>
        <v>41614.672118055554</v>
      </c>
      <c r="C2229">
        <v>80</v>
      </c>
      <c r="D2229">
        <v>77.629188537999994</v>
      </c>
      <c r="E2229">
        <v>50</v>
      </c>
      <c r="F2229">
        <v>49.984390259000001</v>
      </c>
      <c r="G2229">
        <v>1327.9899902</v>
      </c>
      <c r="H2229">
        <v>1326.1485596</v>
      </c>
      <c r="I2229">
        <v>1339.0422363</v>
      </c>
      <c r="J2229">
        <v>1336.4570312000001</v>
      </c>
      <c r="K2229">
        <v>0</v>
      </c>
      <c r="L2229">
        <v>2750</v>
      </c>
      <c r="M2229">
        <v>2750</v>
      </c>
      <c r="N2229">
        <v>0</v>
      </c>
    </row>
    <row r="2230" spans="1:14" x14ac:dyDescent="0.25">
      <c r="A2230">
        <v>1316.8865290000001</v>
      </c>
      <c r="B2230" s="1">
        <f>DATE(2013,12,7) + TIME(21,16,36)</f>
        <v>41615.88652777778</v>
      </c>
      <c r="C2230">
        <v>80</v>
      </c>
      <c r="D2230">
        <v>77.560783385999997</v>
      </c>
      <c r="E2230">
        <v>50</v>
      </c>
      <c r="F2230">
        <v>49.984378814999999</v>
      </c>
      <c r="G2230">
        <v>1327.9512939000001</v>
      </c>
      <c r="H2230">
        <v>1326.0959473</v>
      </c>
      <c r="I2230">
        <v>1339.0379639</v>
      </c>
      <c r="J2230">
        <v>1336.4554443</v>
      </c>
      <c r="K2230">
        <v>0</v>
      </c>
      <c r="L2230">
        <v>2750</v>
      </c>
      <c r="M2230">
        <v>2750</v>
      </c>
      <c r="N2230">
        <v>0</v>
      </c>
    </row>
    <row r="2231" spans="1:14" x14ac:dyDescent="0.25">
      <c r="A2231">
        <v>1318.1199099999999</v>
      </c>
      <c r="B2231" s="1">
        <f>DATE(2013,12,9) + TIME(2,52,40)</f>
        <v>41617.11990740741</v>
      </c>
      <c r="C2231">
        <v>80</v>
      </c>
      <c r="D2231">
        <v>77.491256714000002</v>
      </c>
      <c r="E2231">
        <v>50</v>
      </c>
      <c r="F2231">
        <v>49.984367370999998</v>
      </c>
      <c r="G2231">
        <v>1327.9127197</v>
      </c>
      <c r="H2231">
        <v>1326.0435791</v>
      </c>
      <c r="I2231">
        <v>1339.0339355000001</v>
      </c>
      <c r="J2231">
        <v>1336.4539795000001</v>
      </c>
      <c r="K2231">
        <v>0</v>
      </c>
      <c r="L2231">
        <v>2750</v>
      </c>
      <c r="M2231">
        <v>2750</v>
      </c>
      <c r="N2231">
        <v>0</v>
      </c>
    </row>
    <row r="2232" spans="1:14" x14ac:dyDescent="0.25">
      <c r="A2232">
        <v>1319.381736</v>
      </c>
      <c r="B2232" s="1">
        <f>DATE(2013,12,10) + TIME(9,9,41)</f>
        <v>41618.381724537037</v>
      </c>
      <c r="C2232">
        <v>80</v>
      </c>
      <c r="D2232">
        <v>77.420326232999997</v>
      </c>
      <c r="E2232">
        <v>50</v>
      </c>
      <c r="F2232">
        <v>49.984355927000003</v>
      </c>
      <c r="G2232">
        <v>1327.8741454999999</v>
      </c>
      <c r="H2232">
        <v>1325.9912108999999</v>
      </c>
      <c r="I2232">
        <v>1339.0299072</v>
      </c>
      <c r="J2232">
        <v>1336.4525146000001</v>
      </c>
      <c r="K2232">
        <v>0</v>
      </c>
      <c r="L2232">
        <v>2750</v>
      </c>
      <c r="M2232">
        <v>2750</v>
      </c>
      <c r="N2232">
        <v>0</v>
      </c>
    </row>
    <row r="2233" spans="1:14" x14ac:dyDescent="0.25">
      <c r="A2233">
        <v>1320.6820439999999</v>
      </c>
      <c r="B2233" s="1">
        <f>DATE(2013,12,11) + TIME(16,22,8)</f>
        <v>41619.682037037041</v>
      </c>
      <c r="C2233">
        <v>80</v>
      </c>
      <c r="D2233">
        <v>77.347488403</v>
      </c>
      <c r="E2233">
        <v>50</v>
      </c>
      <c r="F2233">
        <v>49.984344481999997</v>
      </c>
      <c r="G2233">
        <v>1327.8355713000001</v>
      </c>
      <c r="H2233">
        <v>1325.9389647999999</v>
      </c>
      <c r="I2233">
        <v>1339.0258789</v>
      </c>
      <c r="J2233">
        <v>1336.4511719</v>
      </c>
      <c r="K2233">
        <v>0</v>
      </c>
      <c r="L2233">
        <v>2750</v>
      </c>
      <c r="M2233">
        <v>2750</v>
      </c>
      <c r="N2233">
        <v>0</v>
      </c>
    </row>
    <row r="2234" spans="1:14" x14ac:dyDescent="0.25">
      <c r="A2234">
        <v>1322.031913</v>
      </c>
      <c r="B2234" s="1">
        <f>DATE(2013,12,13) + TIME(0,45,57)</f>
        <v>41621.031909722224</v>
      </c>
      <c r="C2234">
        <v>80</v>
      </c>
      <c r="D2234">
        <v>77.272140503000003</v>
      </c>
      <c r="E2234">
        <v>50</v>
      </c>
      <c r="F2234">
        <v>49.984333038000003</v>
      </c>
      <c r="G2234">
        <v>1327.7965088000001</v>
      </c>
      <c r="H2234">
        <v>1325.8862305</v>
      </c>
      <c r="I2234">
        <v>1339.0219727000001</v>
      </c>
      <c r="J2234">
        <v>1336.4498291</v>
      </c>
      <c r="K2234">
        <v>0</v>
      </c>
      <c r="L2234">
        <v>2750</v>
      </c>
      <c r="M2234">
        <v>2750</v>
      </c>
      <c r="N2234">
        <v>0</v>
      </c>
    </row>
    <row r="2235" spans="1:14" x14ac:dyDescent="0.25">
      <c r="A2235">
        <v>1323.4440529999999</v>
      </c>
      <c r="B2235" s="1">
        <f>DATE(2013,12,14) + TIME(10,39,26)</f>
        <v>41622.444050925929</v>
      </c>
      <c r="C2235">
        <v>80</v>
      </c>
      <c r="D2235">
        <v>77.193572997999993</v>
      </c>
      <c r="E2235">
        <v>50</v>
      </c>
      <c r="F2235">
        <v>49.984321594000001</v>
      </c>
      <c r="G2235">
        <v>1327.7568358999999</v>
      </c>
      <c r="H2235">
        <v>1325.8326416</v>
      </c>
      <c r="I2235">
        <v>1339.0179443</v>
      </c>
      <c r="J2235">
        <v>1336.4484863</v>
      </c>
      <c r="K2235">
        <v>0</v>
      </c>
      <c r="L2235">
        <v>2750</v>
      </c>
      <c r="M2235">
        <v>2750</v>
      </c>
      <c r="N2235">
        <v>0</v>
      </c>
    </row>
    <row r="2236" spans="1:14" x14ac:dyDescent="0.25">
      <c r="A2236">
        <v>1324.9140709999999</v>
      </c>
      <c r="B2236" s="1">
        <f>DATE(2013,12,15) + TIME(21,56,15)</f>
        <v>41623.9140625</v>
      </c>
      <c r="C2236">
        <v>80</v>
      </c>
      <c r="D2236">
        <v>77.111259459999999</v>
      </c>
      <c r="E2236">
        <v>50</v>
      </c>
      <c r="F2236">
        <v>49.984310149999999</v>
      </c>
      <c r="G2236">
        <v>1327.7161865</v>
      </c>
      <c r="H2236">
        <v>1325.7779541</v>
      </c>
      <c r="I2236">
        <v>1339.0139160000001</v>
      </c>
      <c r="J2236">
        <v>1336.4471435999999</v>
      </c>
      <c r="K2236">
        <v>0</v>
      </c>
      <c r="L2236">
        <v>2750</v>
      </c>
      <c r="M2236">
        <v>2750</v>
      </c>
      <c r="N2236">
        <v>0</v>
      </c>
    </row>
    <row r="2237" spans="1:14" x14ac:dyDescent="0.25">
      <c r="A2237">
        <v>1326.3854409999999</v>
      </c>
      <c r="B2237" s="1">
        <f>DATE(2013,12,17) + TIME(9,15,2)</f>
        <v>41625.385439814818</v>
      </c>
      <c r="C2237">
        <v>80</v>
      </c>
      <c r="D2237">
        <v>77.025978088000002</v>
      </c>
      <c r="E2237">
        <v>50</v>
      </c>
      <c r="F2237">
        <v>49.984298705999997</v>
      </c>
      <c r="G2237">
        <v>1327.6748047000001</v>
      </c>
      <c r="H2237">
        <v>1325.7222899999999</v>
      </c>
      <c r="I2237">
        <v>1339.0097656</v>
      </c>
      <c r="J2237">
        <v>1336.4458007999999</v>
      </c>
      <c r="K2237">
        <v>0</v>
      </c>
      <c r="L2237">
        <v>2750</v>
      </c>
      <c r="M2237">
        <v>2750</v>
      </c>
      <c r="N2237">
        <v>0</v>
      </c>
    </row>
    <row r="2238" spans="1:14" x14ac:dyDescent="0.25">
      <c r="A2238">
        <v>1327.8729719999999</v>
      </c>
      <c r="B2238" s="1">
        <f>DATE(2013,12,18) + TIME(20,57,4)</f>
        <v>41626.87296296296</v>
      </c>
      <c r="C2238">
        <v>80</v>
      </c>
      <c r="D2238">
        <v>76.939193725999999</v>
      </c>
      <c r="E2238">
        <v>50</v>
      </c>
      <c r="F2238">
        <v>49.984287262000002</v>
      </c>
      <c r="G2238">
        <v>1327.6335449000001</v>
      </c>
      <c r="H2238">
        <v>1325.6667480000001</v>
      </c>
      <c r="I2238">
        <v>1339.0058594</v>
      </c>
      <c r="J2238">
        <v>1336.4445800999999</v>
      </c>
      <c r="K2238">
        <v>0</v>
      </c>
      <c r="L2238">
        <v>2750</v>
      </c>
      <c r="M2238">
        <v>2750</v>
      </c>
      <c r="N2238">
        <v>0</v>
      </c>
    </row>
    <row r="2239" spans="1:14" x14ac:dyDescent="0.25">
      <c r="A2239">
        <v>1329.3887540000001</v>
      </c>
      <c r="B2239" s="1">
        <f>DATE(2013,12,20) + TIME(9,19,48)</f>
        <v>41628.388749999998</v>
      </c>
      <c r="C2239">
        <v>80</v>
      </c>
      <c r="D2239">
        <v>76.850708007999998</v>
      </c>
      <c r="E2239">
        <v>50</v>
      </c>
      <c r="F2239">
        <v>49.984275818</v>
      </c>
      <c r="G2239">
        <v>1327.5926514</v>
      </c>
      <c r="H2239">
        <v>1325.6116943</v>
      </c>
      <c r="I2239">
        <v>1339.0019531</v>
      </c>
      <c r="J2239">
        <v>1336.4433594</v>
      </c>
      <c r="K2239">
        <v>0</v>
      </c>
      <c r="L2239">
        <v>2750</v>
      </c>
      <c r="M2239">
        <v>2750</v>
      </c>
      <c r="N2239">
        <v>0</v>
      </c>
    </row>
    <row r="2240" spans="1:14" x14ac:dyDescent="0.25">
      <c r="A2240">
        <v>1330.9453619999999</v>
      </c>
      <c r="B2240" s="1">
        <f>DATE(2013,12,21) + TIME(22,41,19)</f>
        <v>41629.9453587963</v>
      </c>
      <c r="C2240">
        <v>80</v>
      </c>
      <c r="D2240">
        <v>76.759895325000002</v>
      </c>
      <c r="E2240">
        <v>50</v>
      </c>
      <c r="F2240">
        <v>49.984264373999999</v>
      </c>
      <c r="G2240">
        <v>1327.5517577999999</v>
      </c>
      <c r="H2240">
        <v>1325.5568848</v>
      </c>
      <c r="I2240">
        <v>1338.9981689000001</v>
      </c>
      <c r="J2240">
        <v>1336.4422606999999</v>
      </c>
      <c r="K2240">
        <v>0</v>
      </c>
      <c r="L2240">
        <v>2750</v>
      </c>
      <c r="M2240">
        <v>2750</v>
      </c>
      <c r="N2240">
        <v>0</v>
      </c>
    </row>
    <row r="2241" spans="1:14" x14ac:dyDescent="0.25">
      <c r="A2241">
        <v>1332.5564260000001</v>
      </c>
      <c r="B2241" s="1">
        <f>DATE(2013,12,23) + TIME(13,21,15)</f>
        <v>41631.556423611109</v>
      </c>
      <c r="C2241">
        <v>80</v>
      </c>
      <c r="D2241">
        <v>76.665992736999996</v>
      </c>
      <c r="E2241">
        <v>50</v>
      </c>
      <c r="F2241">
        <v>49.984256744</v>
      </c>
      <c r="G2241">
        <v>1327.5107422000001</v>
      </c>
      <c r="H2241">
        <v>1325.5018310999999</v>
      </c>
      <c r="I2241">
        <v>1338.9943848</v>
      </c>
      <c r="J2241">
        <v>1336.4411620999999</v>
      </c>
      <c r="K2241">
        <v>0</v>
      </c>
      <c r="L2241">
        <v>2750</v>
      </c>
      <c r="M2241">
        <v>2750</v>
      </c>
      <c r="N2241">
        <v>0</v>
      </c>
    </row>
    <row r="2242" spans="1:14" x14ac:dyDescent="0.25">
      <c r="A2242">
        <v>1334.236298</v>
      </c>
      <c r="B2242" s="1">
        <f>DATE(2013,12,25) + TIME(5,40,16)</f>
        <v>41633.236296296294</v>
      </c>
      <c r="C2242">
        <v>80</v>
      </c>
      <c r="D2242">
        <v>76.568130492999998</v>
      </c>
      <c r="E2242">
        <v>50</v>
      </c>
      <c r="F2242">
        <v>49.984245299999998</v>
      </c>
      <c r="G2242">
        <v>1327.4691161999999</v>
      </c>
      <c r="H2242">
        <v>1325.4462891000001</v>
      </c>
      <c r="I2242">
        <v>1338.9904785000001</v>
      </c>
      <c r="J2242">
        <v>1336.4399414</v>
      </c>
      <c r="K2242">
        <v>0</v>
      </c>
      <c r="L2242">
        <v>2750</v>
      </c>
      <c r="M2242">
        <v>2750</v>
      </c>
      <c r="N2242">
        <v>0</v>
      </c>
    </row>
    <row r="2243" spans="1:14" x14ac:dyDescent="0.25">
      <c r="A2243">
        <v>1335.978214</v>
      </c>
      <c r="B2243" s="1">
        <f>DATE(2013,12,26) + TIME(23,28,37)</f>
        <v>41634.978206018517</v>
      </c>
      <c r="C2243">
        <v>80</v>
      </c>
      <c r="D2243">
        <v>76.465660095000004</v>
      </c>
      <c r="E2243">
        <v>50</v>
      </c>
      <c r="F2243">
        <v>49.984233856000003</v>
      </c>
      <c r="G2243">
        <v>1327.4267577999999</v>
      </c>
      <c r="H2243">
        <v>1325.3897704999999</v>
      </c>
      <c r="I2243">
        <v>1338.9865723</v>
      </c>
      <c r="J2243">
        <v>1336.4388428</v>
      </c>
      <c r="K2243">
        <v>0</v>
      </c>
      <c r="L2243">
        <v>2750</v>
      </c>
      <c r="M2243">
        <v>2750</v>
      </c>
      <c r="N2243">
        <v>0</v>
      </c>
    </row>
    <row r="2244" spans="1:14" x14ac:dyDescent="0.25">
      <c r="A2244">
        <v>1337.7719689999999</v>
      </c>
      <c r="B2244" s="1">
        <f>DATE(2013,12,28) + TIME(18,31,38)</f>
        <v>41636.771967592591</v>
      </c>
      <c r="C2244">
        <v>80</v>
      </c>
      <c r="D2244">
        <v>76.358703613000003</v>
      </c>
      <c r="E2244">
        <v>50</v>
      </c>
      <c r="F2244">
        <v>49.984222412000001</v>
      </c>
      <c r="G2244">
        <v>1327.3836670000001</v>
      </c>
      <c r="H2244">
        <v>1325.3322754000001</v>
      </c>
      <c r="I2244">
        <v>1338.9826660000001</v>
      </c>
      <c r="J2244">
        <v>1336.4378661999999</v>
      </c>
      <c r="K2244">
        <v>0</v>
      </c>
      <c r="L2244">
        <v>2750</v>
      </c>
      <c r="M2244">
        <v>2750</v>
      </c>
      <c r="N2244">
        <v>0</v>
      </c>
    </row>
    <row r="2245" spans="1:14" x14ac:dyDescent="0.25">
      <c r="A2245">
        <v>1339.577839</v>
      </c>
      <c r="B2245" s="1">
        <f>DATE(2013,12,30) + TIME(13,52,5)</f>
        <v>41638.577835648146</v>
      </c>
      <c r="C2245">
        <v>80</v>
      </c>
      <c r="D2245">
        <v>76.248107910000002</v>
      </c>
      <c r="E2245">
        <v>50</v>
      </c>
      <c r="F2245">
        <v>49.984210967999999</v>
      </c>
      <c r="G2245">
        <v>1327.3400879000001</v>
      </c>
      <c r="H2245">
        <v>1325.2742920000001</v>
      </c>
      <c r="I2245">
        <v>1338.9787598</v>
      </c>
      <c r="J2245">
        <v>1336.4367675999999</v>
      </c>
      <c r="K2245">
        <v>0</v>
      </c>
      <c r="L2245">
        <v>2750</v>
      </c>
      <c r="M2245">
        <v>2750</v>
      </c>
      <c r="N2245">
        <v>0</v>
      </c>
    </row>
    <row r="2246" spans="1:14" x14ac:dyDescent="0.25">
      <c r="A2246">
        <v>1341</v>
      </c>
      <c r="B2246" s="1">
        <f>DATE(2014,1,1) + TIME(0,0,0)</f>
        <v>41640</v>
      </c>
      <c r="C2246">
        <v>80</v>
      </c>
      <c r="D2246">
        <v>76.142005920000003</v>
      </c>
      <c r="E2246">
        <v>50</v>
      </c>
      <c r="F2246">
        <v>49.984199523999997</v>
      </c>
      <c r="G2246">
        <v>1327.2969971</v>
      </c>
      <c r="H2246">
        <v>1325.2172852000001</v>
      </c>
      <c r="I2246">
        <v>1338.9749756000001</v>
      </c>
      <c r="J2246">
        <v>1336.4356689000001</v>
      </c>
      <c r="K2246">
        <v>0</v>
      </c>
      <c r="L2246">
        <v>2750</v>
      </c>
      <c r="M2246">
        <v>2750</v>
      </c>
      <c r="N2246">
        <v>0</v>
      </c>
    </row>
    <row r="2247" spans="1:14" x14ac:dyDescent="0.25">
      <c r="A2247">
        <v>1342.836454</v>
      </c>
      <c r="B2247" s="1">
        <f>DATE(2014,1,2) + TIME(20,4,29)</f>
        <v>41641.836446759262</v>
      </c>
      <c r="C2247">
        <v>80</v>
      </c>
      <c r="D2247">
        <v>76.041763306000007</v>
      </c>
      <c r="E2247">
        <v>50</v>
      </c>
      <c r="F2247">
        <v>49.984191895000002</v>
      </c>
      <c r="G2247">
        <v>1327.2604980000001</v>
      </c>
      <c r="H2247">
        <v>1325.1671143000001</v>
      </c>
      <c r="I2247">
        <v>1338.9720459</v>
      </c>
      <c r="J2247">
        <v>1336.4349365</v>
      </c>
      <c r="K2247">
        <v>0</v>
      </c>
      <c r="L2247">
        <v>2750</v>
      </c>
      <c r="M2247">
        <v>2750</v>
      </c>
      <c r="N2247">
        <v>0</v>
      </c>
    </row>
    <row r="2248" spans="1:14" x14ac:dyDescent="0.25">
      <c r="A2248">
        <v>1344.768669</v>
      </c>
      <c r="B2248" s="1">
        <f>DATE(2014,1,4) + TIME(18,26,52)</f>
        <v>41643.768657407411</v>
      </c>
      <c r="C2248">
        <v>80</v>
      </c>
      <c r="D2248">
        <v>75.927528381000002</v>
      </c>
      <c r="E2248">
        <v>50</v>
      </c>
      <c r="F2248">
        <v>49.984180449999997</v>
      </c>
      <c r="G2248">
        <v>1327.2198486</v>
      </c>
      <c r="H2248">
        <v>1325.1140137</v>
      </c>
      <c r="I2248">
        <v>1338.9682617000001</v>
      </c>
      <c r="J2248">
        <v>1336.4339600000001</v>
      </c>
      <c r="K2248">
        <v>0</v>
      </c>
      <c r="L2248">
        <v>2750</v>
      </c>
      <c r="M2248">
        <v>2750</v>
      </c>
      <c r="N2248">
        <v>0</v>
      </c>
    </row>
    <row r="2249" spans="1:14" x14ac:dyDescent="0.25">
      <c r="A2249">
        <v>1346.7614719999999</v>
      </c>
      <c r="B2249" s="1">
        <f>DATE(2014,1,6) + TIME(18,16,31)</f>
        <v>41645.761469907404</v>
      </c>
      <c r="C2249">
        <v>80</v>
      </c>
      <c r="D2249">
        <v>75.805076599000003</v>
      </c>
      <c r="E2249">
        <v>50</v>
      </c>
      <c r="F2249">
        <v>49.984172821000001</v>
      </c>
      <c r="G2249">
        <v>1327.1770019999999</v>
      </c>
      <c r="H2249">
        <v>1325.0574951000001</v>
      </c>
      <c r="I2249">
        <v>1338.9644774999999</v>
      </c>
      <c r="J2249">
        <v>1336.4329834</v>
      </c>
      <c r="K2249">
        <v>0</v>
      </c>
      <c r="L2249">
        <v>2750</v>
      </c>
      <c r="M2249">
        <v>2750</v>
      </c>
      <c r="N2249">
        <v>0</v>
      </c>
    </row>
    <row r="2250" spans="1:14" x14ac:dyDescent="0.25">
      <c r="A2250">
        <v>1348.822578</v>
      </c>
      <c r="B2250" s="1">
        <f>DATE(2014,1,8) + TIME(19,44,30)</f>
        <v>41647.822569444441</v>
      </c>
      <c r="C2250">
        <v>80</v>
      </c>
      <c r="D2250">
        <v>75.676933289000004</v>
      </c>
      <c r="E2250">
        <v>50</v>
      </c>
      <c r="F2250">
        <v>49.984161377</v>
      </c>
      <c r="G2250">
        <v>1327.1331786999999</v>
      </c>
      <c r="H2250">
        <v>1324.9995117000001</v>
      </c>
      <c r="I2250">
        <v>1338.9606934000001</v>
      </c>
      <c r="J2250">
        <v>1336.4321289</v>
      </c>
      <c r="K2250">
        <v>0</v>
      </c>
      <c r="L2250">
        <v>2750</v>
      </c>
      <c r="M2250">
        <v>2750</v>
      </c>
      <c r="N2250">
        <v>0</v>
      </c>
    </row>
    <row r="2251" spans="1:14" x14ac:dyDescent="0.25">
      <c r="A2251">
        <v>1350.9187569999999</v>
      </c>
      <c r="B2251" s="1">
        <f>DATE(2014,1,10) + TIME(22,3,0)</f>
        <v>41649.918749999997</v>
      </c>
      <c r="C2251">
        <v>80</v>
      </c>
      <c r="D2251">
        <v>75.543701171999999</v>
      </c>
      <c r="E2251">
        <v>50</v>
      </c>
      <c r="F2251">
        <v>49.984149932999998</v>
      </c>
      <c r="G2251">
        <v>1327.0887451000001</v>
      </c>
      <c r="H2251">
        <v>1324.9407959</v>
      </c>
      <c r="I2251">
        <v>1338.9567870999999</v>
      </c>
      <c r="J2251">
        <v>1336.4311522999999</v>
      </c>
      <c r="K2251">
        <v>0</v>
      </c>
      <c r="L2251">
        <v>2750</v>
      </c>
      <c r="M2251">
        <v>2750</v>
      </c>
      <c r="N2251">
        <v>0</v>
      </c>
    </row>
    <row r="2252" spans="1:14" x14ac:dyDescent="0.25">
      <c r="A2252">
        <v>1353.0632419999999</v>
      </c>
      <c r="B2252" s="1">
        <f>DATE(2014,1,13) + TIME(1,31,4)</f>
        <v>41652.063240740739</v>
      </c>
      <c r="C2252">
        <v>80</v>
      </c>
      <c r="D2252">
        <v>75.406616210999999</v>
      </c>
      <c r="E2252">
        <v>50</v>
      </c>
      <c r="F2252">
        <v>49.984142302999999</v>
      </c>
      <c r="G2252">
        <v>1327.0441894999999</v>
      </c>
      <c r="H2252">
        <v>1324.8818358999999</v>
      </c>
      <c r="I2252">
        <v>1338.9530029</v>
      </c>
      <c r="J2252">
        <v>1336.4301757999999</v>
      </c>
      <c r="K2252">
        <v>0</v>
      </c>
      <c r="L2252">
        <v>2750</v>
      </c>
      <c r="M2252">
        <v>2750</v>
      </c>
      <c r="N2252">
        <v>0</v>
      </c>
    </row>
    <row r="2253" spans="1:14" x14ac:dyDescent="0.25">
      <c r="A2253">
        <v>1355.2856509999999</v>
      </c>
      <c r="B2253" s="1">
        <f>DATE(2014,1,15) + TIME(6,51,20)</f>
        <v>41654.28564814815</v>
      </c>
      <c r="C2253">
        <v>80</v>
      </c>
      <c r="D2253">
        <v>75.265022278000004</v>
      </c>
      <c r="E2253">
        <v>50</v>
      </c>
      <c r="F2253">
        <v>49.984130858999997</v>
      </c>
      <c r="G2253">
        <v>1326.9996338000001</v>
      </c>
      <c r="H2253">
        <v>1324.8229980000001</v>
      </c>
      <c r="I2253">
        <v>1338.9492187999999</v>
      </c>
      <c r="J2253">
        <v>1336.4291992000001</v>
      </c>
      <c r="K2253">
        <v>0</v>
      </c>
      <c r="L2253">
        <v>2750</v>
      </c>
      <c r="M2253">
        <v>2750</v>
      </c>
      <c r="N2253">
        <v>0</v>
      </c>
    </row>
    <row r="2254" spans="1:14" x14ac:dyDescent="0.25">
      <c r="A2254">
        <v>1357.5586089999999</v>
      </c>
      <c r="B2254" s="1">
        <f>DATE(2014,1,17) + TIME(13,24,23)</f>
        <v>41656.558599537035</v>
      </c>
      <c r="C2254">
        <v>80</v>
      </c>
      <c r="D2254">
        <v>75.117889403999996</v>
      </c>
      <c r="E2254">
        <v>50</v>
      </c>
      <c r="F2254">
        <v>49.984123230000002</v>
      </c>
      <c r="G2254">
        <v>1326.9545897999999</v>
      </c>
      <c r="H2254">
        <v>1324.7636719</v>
      </c>
      <c r="I2254">
        <v>1338.9453125</v>
      </c>
      <c r="J2254">
        <v>1336.4283447</v>
      </c>
      <c r="K2254">
        <v>0</v>
      </c>
      <c r="L2254">
        <v>2750</v>
      </c>
      <c r="M2254">
        <v>2750</v>
      </c>
      <c r="N2254">
        <v>0</v>
      </c>
    </row>
    <row r="2255" spans="1:14" x14ac:dyDescent="0.25">
      <c r="A2255">
        <v>1359.870265</v>
      </c>
      <c r="B2255" s="1">
        <f>DATE(2014,1,19) + TIME(20,53,10)</f>
        <v>41658.870254629626</v>
      </c>
      <c r="C2255">
        <v>80</v>
      </c>
      <c r="D2255">
        <v>74.966148376000007</v>
      </c>
      <c r="E2255">
        <v>50</v>
      </c>
      <c r="F2255">
        <v>49.984111786</v>
      </c>
      <c r="G2255">
        <v>1326.9094238</v>
      </c>
      <c r="H2255">
        <v>1324.7041016000001</v>
      </c>
      <c r="I2255">
        <v>1338.9414062000001</v>
      </c>
      <c r="J2255">
        <v>1336.4273682</v>
      </c>
      <c r="K2255">
        <v>0</v>
      </c>
      <c r="L2255">
        <v>2750</v>
      </c>
      <c r="M2255">
        <v>2750</v>
      </c>
      <c r="N2255">
        <v>0</v>
      </c>
    </row>
    <row r="2256" spans="1:14" x14ac:dyDescent="0.25">
      <c r="A2256">
        <v>1362.252577</v>
      </c>
      <c r="B2256" s="1">
        <f>DATE(2014,1,22) + TIME(6,3,42)</f>
        <v>41661.252569444441</v>
      </c>
      <c r="C2256">
        <v>80</v>
      </c>
      <c r="D2256">
        <v>74.810020446999999</v>
      </c>
      <c r="E2256">
        <v>50</v>
      </c>
      <c r="F2256">
        <v>49.984100341999998</v>
      </c>
      <c r="G2256">
        <v>1326.8642577999999</v>
      </c>
      <c r="H2256">
        <v>1324.6447754000001</v>
      </c>
      <c r="I2256">
        <v>1338.9376221</v>
      </c>
      <c r="J2256">
        <v>1336.4265137</v>
      </c>
      <c r="K2256">
        <v>0</v>
      </c>
      <c r="L2256">
        <v>2750</v>
      </c>
      <c r="M2256">
        <v>2750</v>
      </c>
      <c r="N2256">
        <v>0</v>
      </c>
    </row>
    <row r="2257" spans="1:14" x14ac:dyDescent="0.25">
      <c r="A2257">
        <v>1364.7298269999999</v>
      </c>
      <c r="B2257" s="1">
        <f>DATE(2014,1,24) + TIME(17,30,57)</f>
        <v>41663.729826388888</v>
      </c>
      <c r="C2257">
        <v>80</v>
      </c>
      <c r="D2257">
        <v>74.647972107000001</v>
      </c>
      <c r="E2257">
        <v>50</v>
      </c>
      <c r="F2257">
        <v>49.984092711999999</v>
      </c>
      <c r="G2257">
        <v>1326.8189697</v>
      </c>
      <c r="H2257">
        <v>1324.5852050999999</v>
      </c>
      <c r="I2257">
        <v>1338.9337158000001</v>
      </c>
      <c r="J2257">
        <v>1336.4255370999999</v>
      </c>
      <c r="K2257">
        <v>0</v>
      </c>
      <c r="L2257">
        <v>2750</v>
      </c>
      <c r="M2257">
        <v>2750</v>
      </c>
      <c r="N2257">
        <v>0</v>
      </c>
    </row>
    <row r="2258" spans="1:14" x14ac:dyDescent="0.25">
      <c r="A2258">
        <v>1367.3301100000001</v>
      </c>
      <c r="B2258" s="1">
        <f>DATE(2014,1,27) + TIME(7,55,21)</f>
        <v>41666.330104166664</v>
      </c>
      <c r="C2258">
        <v>80</v>
      </c>
      <c r="D2258">
        <v>74.478294372999997</v>
      </c>
      <c r="E2258">
        <v>50</v>
      </c>
      <c r="F2258">
        <v>49.984085082999997</v>
      </c>
      <c r="G2258">
        <v>1326.7730713000001</v>
      </c>
      <c r="H2258">
        <v>1324.5249022999999</v>
      </c>
      <c r="I2258">
        <v>1338.9298096</v>
      </c>
      <c r="J2258">
        <v>1336.4245605000001</v>
      </c>
      <c r="K2258">
        <v>0</v>
      </c>
      <c r="L2258">
        <v>2750</v>
      </c>
      <c r="M2258">
        <v>2750</v>
      </c>
      <c r="N2258">
        <v>0</v>
      </c>
    </row>
    <row r="2259" spans="1:14" x14ac:dyDescent="0.25">
      <c r="A2259">
        <v>1369.944598</v>
      </c>
      <c r="B2259" s="1">
        <f>DATE(2014,1,29) + TIME(22,40,13)</f>
        <v>41668.944594907407</v>
      </c>
      <c r="C2259">
        <v>80</v>
      </c>
      <c r="D2259">
        <v>74.300460814999994</v>
      </c>
      <c r="E2259">
        <v>50</v>
      </c>
      <c r="F2259">
        <v>49.984073639000002</v>
      </c>
      <c r="G2259">
        <v>1326.7260742000001</v>
      </c>
      <c r="H2259">
        <v>1324.463501</v>
      </c>
      <c r="I2259">
        <v>1338.9257812000001</v>
      </c>
      <c r="J2259">
        <v>1336.4235839999999</v>
      </c>
      <c r="K2259">
        <v>0</v>
      </c>
      <c r="L2259">
        <v>2750</v>
      </c>
      <c r="M2259">
        <v>2750</v>
      </c>
      <c r="N2259">
        <v>0</v>
      </c>
    </row>
    <row r="2260" spans="1:14" x14ac:dyDescent="0.25">
      <c r="A2260">
        <v>1372</v>
      </c>
      <c r="B2260" s="1">
        <f>DATE(2014,2,1) + TIME(0,0,0)</f>
        <v>41671</v>
      </c>
      <c r="C2260">
        <v>80</v>
      </c>
      <c r="D2260">
        <v>74.127021790000001</v>
      </c>
      <c r="E2260">
        <v>50</v>
      </c>
      <c r="F2260">
        <v>49.984066009999999</v>
      </c>
      <c r="G2260">
        <v>1326.6795654</v>
      </c>
      <c r="H2260">
        <v>1324.4027100000001</v>
      </c>
      <c r="I2260">
        <v>1338.9217529</v>
      </c>
      <c r="J2260">
        <v>1336.4226074000001</v>
      </c>
      <c r="K2260">
        <v>0</v>
      </c>
      <c r="L2260">
        <v>2750</v>
      </c>
      <c r="M2260">
        <v>2750</v>
      </c>
      <c r="N2260">
        <v>0</v>
      </c>
    </row>
    <row r="2261" spans="1:14" x14ac:dyDescent="0.25">
      <c r="A2261">
        <v>1374.641513</v>
      </c>
      <c r="B2261" s="1">
        <f>DATE(2014,2,3) + TIME(15,23,46)</f>
        <v>41673.641504629632</v>
      </c>
      <c r="C2261">
        <v>80</v>
      </c>
      <c r="D2261">
        <v>73.970909118999998</v>
      </c>
      <c r="E2261">
        <v>50</v>
      </c>
      <c r="F2261">
        <v>49.98405838</v>
      </c>
      <c r="G2261">
        <v>1326.6403809000001</v>
      </c>
      <c r="H2261">
        <v>1324.3493652</v>
      </c>
      <c r="I2261">
        <v>1338.9187012</v>
      </c>
      <c r="J2261">
        <v>1336.421875</v>
      </c>
      <c r="K2261">
        <v>0</v>
      </c>
      <c r="L2261">
        <v>2750</v>
      </c>
      <c r="M2261">
        <v>2750</v>
      </c>
      <c r="N2261">
        <v>0</v>
      </c>
    </row>
    <row r="2262" spans="1:14" x14ac:dyDescent="0.25">
      <c r="A2262">
        <v>1377.3868</v>
      </c>
      <c r="B2262" s="1">
        <f>DATE(2014,2,6) + TIME(9,16,59)</f>
        <v>41676.386793981481</v>
      </c>
      <c r="C2262">
        <v>80</v>
      </c>
      <c r="D2262">
        <v>73.788864136000001</v>
      </c>
      <c r="E2262">
        <v>50</v>
      </c>
      <c r="F2262">
        <v>49.984050750999998</v>
      </c>
      <c r="G2262">
        <v>1326.5974120999999</v>
      </c>
      <c r="H2262">
        <v>1324.2941894999999</v>
      </c>
      <c r="I2262">
        <v>1338.9147949000001</v>
      </c>
      <c r="J2262">
        <v>1336.4208983999999</v>
      </c>
      <c r="K2262">
        <v>0</v>
      </c>
      <c r="L2262">
        <v>2750</v>
      </c>
      <c r="M2262">
        <v>2750</v>
      </c>
      <c r="N2262">
        <v>0</v>
      </c>
    </row>
    <row r="2263" spans="1:14" x14ac:dyDescent="0.25">
      <c r="A2263">
        <v>1380.2598559999999</v>
      </c>
      <c r="B2263" s="1">
        <f>DATE(2014,2,9) + TIME(6,14,11)</f>
        <v>41679.25984953704</v>
      </c>
      <c r="C2263">
        <v>80</v>
      </c>
      <c r="D2263">
        <v>73.595291137999993</v>
      </c>
      <c r="E2263">
        <v>50</v>
      </c>
      <c r="F2263">
        <v>49.984043120999999</v>
      </c>
      <c r="G2263">
        <v>1326.5520019999999</v>
      </c>
      <c r="H2263">
        <v>1324.2351074000001</v>
      </c>
      <c r="I2263">
        <v>1338.9108887</v>
      </c>
      <c r="J2263">
        <v>1336.4199219</v>
      </c>
      <c r="K2263">
        <v>0</v>
      </c>
      <c r="L2263">
        <v>2750</v>
      </c>
      <c r="M2263">
        <v>2750</v>
      </c>
      <c r="N2263">
        <v>0</v>
      </c>
    </row>
    <row r="2264" spans="1:14" x14ac:dyDescent="0.25">
      <c r="A2264">
        <v>1383.261614</v>
      </c>
      <c r="B2264" s="1">
        <f>DATE(2014,2,12) + TIME(6,16,43)</f>
        <v>41682.261608796296</v>
      </c>
      <c r="C2264">
        <v>80</v>
      </c>
      <c r="D2264">
        <v>73.391334533999995</v>
      </c>
      <c r="E2264">
        <v>50</v>
      </c>
      <c r="F2264">
        <v>49.984035491999997</v>
      </c>
      <c r="G2264">
        <v>1326.5056152</v>
      </c>
      <c r="H2264">
        <v>1324.1744385</v>
      </c>
      <c r="I2264">
        <v>1338.9067382999999</v>
      </c>
      <c r="J2264">
        <v>1336.4188231999999</v>
      </c>
      <c r="K2264">
        <v>0</v>
      </c>
      <c r="L2264">
        <v>2750</v>
      </c>
      <c r="M2264">
        <v>2750</v>
      </c>
      <c r="N2264">
        <v>0</v>
      </c>
    </row>
    <row r="2265" spans="1:14" x14ac:dyDescent="0.25">
      <c r="A2265">
        <v>1386.367751</v>
      </c>
      <c r="B2265" s="1">
        <f>DATE(2014,2,15) + TIME(8,49,33)</f>
        <v>41685.367743055554</v>
      </c>
      <c r="C2265">
        <v>80</v>
      </c>
      <c r="D2265">
        <v>73.177047728999995</v>
      </c>
      <c r="E2265">
        <v>50</v>
      </c>
      <c r="F2265">
        <v>49.984027863000001</v>
      </c>
      <c r="G2265">
        <v>1326.4580077999999</v>
      </c>
      <c r="H2265">
        <v>1324.1125488</v>
      </c>
      <c r="I2265">
        <v>1338.9025879000001</v>
      </c>
      <c r="J2265">
        <v>1336.4177245999999</v>
      </c>
      <c r="K2265">
        <v>0</v>
      </c>
      <c r="L2265">
        <v>2750</v>
      </c>
      <c r="M2265">
        <v>2750</v>
      </c>
      <c r="N2265">
        <v>0</v>
      </c>
    </row>
    <row r="2266" spans="1:14" x14ac:dyDescent="0.25">
      <c r="A2266">
        <v>1389.5701979999999</v>
      </c>
      <c r="B2266" s="1">
        <f>DATE(2014,2,18) + TIME(13,41,5)</f>
        <v>41688.570196759261</v>
      </c>
      <c r="C2266">
        <v>80</v>
      </c>
      <c r="D2266">
        <v>72.953910828000005</v>
      </c>
      <c r="E2266">
        <v>50</v>
      </c>
      <c r="F2266">
        <v>49.984020233000003</v>
      </c>
      <c r="G2266">
        <v>1326.4099120999999</v>
      </c>
      <c r="H2266">
        <v>1324.0498047000001</v>
      </c>
      <c r="I2266">
        <v>1338.8983154</v>
      </c>
      <c r="J2266">
        <v>1336.416626</v>
      </c>
      <c r="K2266">
        <v>0</v>
      </c>
      <c r="L2266">
        <v>2750</v>
      </c>
      <c r="M2266">
        <v>2750</v>
      </c>
      <c r="N2266">
        <v>0</v>
      </c>
    </row>
    <row r="2267" spans="1:14" x14ac:dyDescent="0.25">
      <c r="A2267">
        <v>1392.831723</v>
      </c>
      <c r="B2267" s="1">
        <f>DATE(2014,2,21) + TIME(19,57,40)</f>
        <v>41691.831712962965</v>
      </c>
      <c r="C2267">
        <v>80</v>
      </c>
      <c r="D2267">
        <v>72.722541809000006</v>
      </c>
      <c r="E2267">
        <v>50</v>
      </c>
      <c r="F2267">
        <v>49.984012604</v>
      </c>
      <c r="G2267">
        <v>1326.3614502</v>
      </c>
      <c r="H2267">
        <v>1323.9866943</v>
      </c>
      <c r="I2267">
        <v>1338.894043</v>
      </c>
      <c r="J2267">
        <v>1336.4154053</v>
      </c>
      <c r="K2267">
        <v>0</v>
      </c>
      <c r="L2267">
        <v>2750</v>
      </c>
      <c r="M2267">
        <v>2750</v>
      </c>
      <c r="N2267">
        <v>0</v>
      </c>
    </row>
    <row r="2268" spans="1:14" x14ac:dyDescent="0.25">
      <c r="A2268">
        <v>1396.125372</v>
      </c>
      <c r="B2268" s="1">
        <f>DATE(2014,2,25) + TIME(3,0,32)</f>
        <v>41695.12537037037</v>
      </c>
      <c r="C2268">
        <v>80</v>
      </c>
      <c r="D2268">
        <v>72.485565186000002</v>
      </c>
      <c r="E2268">
        <v>50</v>
      </c>
      <c r="F2268">
        <v>49.984008789000001</v>
      </c>
      <c r="G2268">
        <v>1326.3131103999999</v>
      </c>
      <c r="H2268">
        <v>1323.9235839999999</v>
      </c>
      <c r="I2268">
        <v>1338.8897704999999</v>
      </c>
      <c r="J2268">
        <v>1336.4143065999999</v>
      </c>
      <c r="K2268">
        <v>0</v>
      </c>
      <c r="L2268">
        <v>2750</v>
      </c>
      <c r="M2268">
        <v>2750</v>
      </c>
      <c r="N2268">
        <v>0</v>
      </c>
    </row>
    <row r="2269" spans="1:14" x14ac:dyDescent="0.25">
      <c r="A2269">
        <v>1399.454831</v>
      </c>
      <c r="B2269" s="1">
        <f>DATE(2014,2,28) + TIME(10,54,57)</f>
        <v>41698.454826388886</v>
      </c>
      <c r="C2269">
        <v>80</v>
      </c>
      <c r="D2269">
        <v>72.244262695000003</v>
      </c>
      <c r="E2269">
        <v>50</v>
      </c>
      <c r="F2269">
        <v>49.984001159999998</v>
      </c>
      <c r="G2269">
        <v>1326.2653809000001</v>
      </c>
      <c r="H2269">
        <v>1323.8610839999999</v>
      </c>
      <c r="I2269">
        <v>1338.8854980000001</v>
      </c>
      <c r="J2269">
        <v>1336.4130858999999</v>
      </c>
      <c r="K2269">
        <v>0</v>
      </c>
      <c r="L2269">
        <v>2750</v>
      </c>
      <c r="M2269">
        <v>2750</v>
      </c>
      <c r="N2269">
        <v>0</v>
      </c>
    </row>
    <row r="2270" spans="1:14" x14ac:dyDescent="0.25">
      <c r="A2270">
        <v>1400</v>
      </c>
      <c r="B2270" s="1">
        <f>DATE(2014,3,1) + TIME(0,0,0)</f>
        <v>41699</v>
      </c>
      <c r="C2270">
        <v>80</v>
      </c>
      <c r="D2270">
        <v>72.094558715999995</v>
      </c>
      <c r="E2270">
        <v>50</v>
      </c>
      <c r="F2270">
        <v>49.983993529999999</v>
      </c>
      <c r="G2270">
        <v>1326.2192382999999</v>
      </c>
      <c r="H2270">
        <v>1323.8045654</v>
      </c>
      <c r="I2270">
        <v>1338.8812256000001</v>
      </c>
      <c r="J2270">
        <v>1336.4117432</v>
      </c>
      <c r="K2270">
        <v>0</v>
      </c>
      <c r="L2270">
        <v>2750</v>
      </c>
      <c r="M2270">
        <v>2750</v>
      </c>
      <c r="N2270">
        <v>0</v>
      </c>
    </row>
    <row r="2271" spans="1:14" x14ac:dyDescent="0.25">
      <c r="A2271">
        <v>1403.3993230000001</v>
      </c>
      <c r="B2271" s="1">
        <f>DATE(2014,3,4) + TIME(9,35,1)</f>
        <v>41702.399317129632</v>
      </c>
      <c r="C2271">
        <v>80</v>
      </c>
      <c r="D2271">
        <v>71.944915770999998</v>
      </c>
      <c r="E2271">
        <v>50</v>
      </c>
      <c r="F2271">
        <v>49.983993529999999</v>
      </c>
      <c r="G2271">
        <v>1326.2036132999999</v>
      </c>
      <c r="H2271">
        <v>1323.7766113</v>
      </c>
      <c r="I2271">
        <v>1338.8806152</v>
      </c>
      <c r="J2271">
        <v>1336.4116211</v>
      </c>
      <c r="K2271">
        <v>0</v>
      </c>
      <c r="L2271">
        <v>2750</v>
      </c>
      <c r="M2271">
        <v>2750</v>
      </c>
      <c r="N2271">
        <v>0</v>
      </c>
    </row>
    <row r="2272" spans="1:14" x14ac:dyDescent="0.25">
      <c r="A2272">
        <v>1406.9355250000001</v>
      </c>
      <c r="B2272" s="1">
        <f>DATE(2014,3,7) + TIME(22,27,9)</f>
        <v>41705.935520833336</v>
      </c>
      <c r="C2272">
        <v>80</v>
      </c>
      <c r="D2272">
        <v>71.703125</v>
      </c>
      <c r="E2272">
        <v>50</v>
      </c>
      <c r="F2272">
        <v>49.983989716000004</v>
      </c>
      <c r="G2272">
        <v>1326.1628418</v>
      </c>
      <c r="H2272">
        <v>1323.7268065999999</v>
      </c>
      <c r="I2272">
        <v>1338.8763428</v>
      </c>
      <c r="J2272">
        <v>1336.4102783000001</v>
      </c>
      <c r="K2272">
        <v>0</v>
      </c>
      <c r="L2272">
        <v>2750</v>
      </c>
      <c r="M2272">
        <v>2750</v>
      </c>
      <c r="N2272">
        <v>0</v>
      </c>
    </row>
    <row r="2273" spans="1:14" x14ac:dyDescent="0.25">
      <c r="A2273">
        <v>1410.591471</v>
      </c>
      <c r="B2273" s="1">
        <f>DATE(2014,3,11) + TIME(14,11,43)</f>
        <v>41709.591469907406</v>
      </c>
      <c r="C2273">
        <v>80</v>
      </c>
      <c r="D2273">
        <v>71.441474915000001</v>
      </c>
      <c r="E2273">
        <v>50</v>
      </c>
      <c r="F2273">
        <v>49.983985900999997</v>
      </c>
      <c r="G2273">
        <v>1326.1165771000001</v>
      </c>
      <c r="H2273">
        <v>1323.6671143000001</v>
      </c>
      <c r="I2273">
        <v>1338.8719481999999</v>
      </c>
      <c r="J2273">
        <v>1336.4089355000001</v>
      </c>
      <c r="K2273">
        <v>0</v>
      </c>
      <c r="L2273">
        <v>2750</v>
      </c>
      <c r="M2273">
        <v>2750</v>
      </c>
      <c r="N2273">
        <v>0</v>
      </c>
    </row>
    <row r="2274" spans="1:14" x14ac:dyDescent="0.25">
      <c r="A2274">
        <v>1414.4579329999999</v>
      </c>
      <c r="B2274" s="1">
        <f>DATE(2014,3,15) + TIME(10,59,25)</f>
        <v>41713.457928240743</v>
      </c>
      <c r="C2274">
        <v>80</v>
      </c>
      <c r="D2274">
        <v>71.166122436999999</v>
      </c>
      <c r="E2274">
        <v>50</v>
      </c>
      <c r="F2274">
        <v>49.983982085999997</v>
      </c>
      <c r="G2274">
        <v>1326.0693358999999</v>
      </c>
      <c r="H2274">
        <v>1323.6057129000001</v>
      </c>
      <c r="I2274">
        <v>1338.8675536999999</v>
      </c>
      <c r="J2274">
        <v>1336.4074707</v>
      </c>
      <c r="K2274">
        <v>0</v>
      </c>
      <c r="L2274">
        <v>2750</v>
      </c>
      <c r="M2274">
        <v>2750</v>
      </c>
      <c r="N2274">
        <v>0</v>
      </c>
    </row>
    <row r="2275" spans="1:14" x14ac:dyDescent="0.25">
      <c r="A2275">
        <v>1418.4012290000001</v>
      </c>
      <c r="B2275" s="1">
        <f>DATE(2014,3,19) + TIME(9,37,46)</f>
        <v>41717.401226851849</v>
      </c>
      <c r="C2275">
        <v>80</v>
      </c>
      <c r="D2275">
        <v>70.876876831000004</v>
      </c>
      <c r="E2275">
        <v>50</v>
      </c>
      <c r="F2275">
        <v>49.983978270999998</v>
      </c>
      <c r="G2275">
        <v>1326.020874</v>
      </c>
      <c r="H2275">
        <v>1323.5428466999999</v>
      </c>
      <c r="I2275">
        <v>1338.8629149999999</v>
      </c>
      <c r="J2275">
        <v>1336.4058838000001</v>
      </c>
      <c r="K2275">
        <v>0</v>
      </c>
      <c r="L2275">
        <v>2750</v>
      </c>
      <c r="M2275">
        <v>2750</v>
      </c>
      <c r="N2275">
        <v>0</v>
      </c>
    </row>
    <row r="2276" spans="1:14" x14ac:dyDescent="0.25">
      <c r="A2276">
        <v>1422.404912</v>
      </c>
      <c r="B2276" s="1">
        <f>DATE(2014,3,23) + TIME(9,43,4)</f>
        <v>41721.404907407406</v>
      </c>
      <c r="C2276">
        <v>80</v>
      </c>
      <c r="D2276">
        <v>70.576080321999996</v>
      </c>
      <c r="E2276">
        <v>50</v>
      </c>
      <c r="F2276">
        <v>49.983974457000002</v>
      </c>
      <c r="G2276">
        <v>1325.9722899999999</v>
      </c>
      <c r="H2276">
        <v>1323.4796143000001</v>
      </c>
      <c r="I2276">
        <v>1338.8581543</v>
      </c>
      <c r="J2276">
        <v>1336.4042969</v>
      </c>
      <c r="K2276">
        <v>0</v>
      </c>
      <c r="L2276">
        <v>2750</v>
      </c>
      <c r="M2276">
        <v>2750</v>
      </c>
      <c r="N2276">
        <v>0</v>
      </c>
    </row>
    <row r="2277" spans="1:14" x14ac:dyDescent="0.25">
      <c r="A2277">
        <v>1426.4346029999999</v>
      </c>
      <c r="B2277" s="1">
        <f>DATE(2014,3,27) + TIME(10,25,49)</f>
        <v>41725.434594907405</v>
      </c>
      <c r="C2277">
        <v>80</v>
      </c>
      <c r="D2277">
        <v>70.274635314999998</v>
      </c>
      <c r="E2277">
        <v>50</v>
      </c>
      <c r="F2277">
        <v>49.983970642000003</v>
      </c>
      <c r="G2277">
        <v>1325.9241943</v>
      </c>
      <c r="H2277">
        <v>1323.4167480000001</v>
      </c>
      <c r="I2277">
        <v>1338.8535156</v>
      </c>
      <c r="J2277">
        <v>1336.4027100000001</v>
      </c>
      <c r="K2277">
        <v>0</v>
      </c>
      <c r="L2277">
        <v>2750</v>
      </c>
      <c r="M2277">
        <v>2750</v>
      </c>
      <c r="N2277">
        <v>0</v>
      </c>
    </row>
    <row r="2278" spans="1:14" x14ac:dyDescent="0.25">
      <c r="A2278">
        <v>1430.538004</v>
      </c>
      <c r="B2278" s="1">
        <f>DATE(2014,3,31) + TIME(12,54,43)</f>
        <v>41729.537997685184</v>
      </c>
      <c r="C2278">
        <v>80</v>
      </c>
      <c r="D2278">
        <v>69.956634520999998</v>
      </c>
      <c r="E2278">
        <v>50</v>
      </c>
      <c r="F2278">
        <v>49.983966827000003</v>
      </c>
      <c r="G2278">
        <v>1325.8769531</v>
      </c>
      <c r="H2278">
        <v>1323.3549805</v>
      </c>
      <c r="I2278">
        <v>1338.8488769999999</v>
      </c>
      <c r="J2278">
        <v>1336.401001</v>
      </c>
      <c r="K2278">
        <v>0</v>
      </c>
      <c r="L2278">
        <v>2750</v>
      </c>
      <c r="M2278">
        <v>2750</v>
      </c>
      <c r="N2278">
        <v>0</v>
      </c>
    </row>
    <row r="2279" spans="1:14" x14ac:dyDescent="0.25">
      <c r="A2279">
        <v>1431</v>
      </c>
      <c r="B2279" s="1">
        <f>DATE(2014,4,1) + TIME(0,0,0)</f>
        <v>41730</v>
      </c>
      <c r="C2279">
        <v>80</v>
      </c>
      <c r="D2279">
        <v>69.789939880000006</v>
      </c>
      <c r="E2279">
        <v>50</v>
      </c>
      <c r="F2279">
        <v>49.983963013</v>
      </c>
      <c r="G2279">
        <v>1325.8306885</v>
      </c>
      <c r="H2279">
        <v>1323.2996826000001</v>
      </c>
      <c r="I2279">
        <v>1338.8441161999999</v>
      </c>
      <c r="J2279">
        <v>1336.3991699000001</v>
      </c>
      <c r="K2279">
        <v>0</v>
      </c>
      <c r="L2279">
        <v>2750</v>
      </c>
      <c r="M2279">
        <v>2750</v>
      </c>
      <c r="N2279">
        <v>0</v>
      </c>
    </row>
    <row r="2280" spans="1:14" x14ac:dyDescent="0.25">
      <c r="A2280">
        <v>1435.2234129999999</v>
      </c>
      <c r="B2280" s="1">
        <f>DATE(2014,4,5) + TIME(5,21,42)</f>
        <v>41734.223402777781</v>
      </c>
      <c r="C2280">
        <v>80</v>
      </c>
      <c r="D2280">
        <v>69.601654053000004</v>
      </c>
      <c r="E2280">
        <v>50</v>
      </c>
      <c r="F2280">
        <v>49.983966827000003</v>
      </c>
      <c r="G2280">
        <v>1325.8184814000001</v>
      </c>
      <c r="H2280">
        <v>1323.2750243999999</v>
      </c>
      <c r="I2280">
        <v>1338.84375</v>
      </c>
      <c r="J2280">
        <v>1336.3990478999999</v>
      </c>
      <c r="K2280">
        <v>0</v>
      </c>
      <c r="L2280">
        <v>2750</v>
      </c>
      <c r="M2280">
        <v>2750</v>
      </c>
      <c r="N2280">
        <v>0</v>
      </c>
    </row>
    <row r="2281" spans="1:14" x14ac:dyDescent="0.25">
      <c r="A2281">
        <v>1439.6714360000001</v>
      </c>
      <c r="B2281" s="1">
        <f>DATE(2014,4,9) + TIME(16,6,52)</f>
        <v>41738.671435185184</v>
      </c>
      <c r="C2281">
        <v>80</v>
      </c>
      <c r="D2281">
        <v>69.258995056000003</v>
      </c>
      <c r="E2281">
        <v>50</v>
      </c>
      <c r="F2281">
        <v>49.983966827000003</v>
      </c>
      <c r="G2281">
        <v>1325.777832</v>
      </c>
      <c r="H2281">
        <v>1323.2252197</v>
      </c>
      <c r="I2281">
        <v>1338.8389893000001</v>
      </c>
      <c r="J2281">
        <v>1336.3972168</v>
      </c>
      <c r="K2281">
        <v>0</v>
      </c>
      <c r="L2281">
        <v>2750</v>
      </c>
      <c r="M2281">
        <v>2750</v>
      </c>
      <c r="N2281">
        <v>0</v>
      </c>
    </row>
    <row r="2282" spans="1:14" x14ac:dyDescent="0.25">
      <c r="A2282">
        <v>1444.2684630000001</v>
      </c>
      <c r="B2282" s="1">
        <f>DATE(2014,4,14) + TIME(6,26,35)</f>
        <v>41743.268460648149</v>
      </c>
      <c r="C2282">
        <v>80</v>
      </c>
      <c r="D2282">
        <v>68.966239928999997</v>
      </c>
      <c r="E2282">
        <v>50</v>
      </c>
      <c r="F2282">
        <v>49.983966827000003</v>
      </c>
      <c r="G2282">
        <v>1325.7312012</v>
      </c>
      <c r="H2282">
        <v>1323.1654053</v>
      </c>
      <c r="I2282">
        <v>1338.8339844</v>
      </c>
      <c r="J2282">
        <v>1336.3952637</v>
      </c>
      <c r="K2282">
        <v>0</v>
      </c>
      <c r="L2282">
        <v>2750</v>
      </c>
      <c r="M2282">
        <v>2750</v>
      </c>
      <c r="N2282">
        <v>0</v>
      </c>
    </row>
    <row r="2283" spans="1:14" x14ac:dyDescent="0.25">
      <c r="A2283">
        <v>1446.668285</v>
      </c>
      <c r="B2283" s="1">
        <f>DATE(2014,4,16) + TIME(16,2,19)</f>
        <v>41745.668275462966</v>
      </c>
      <c r="C2283">
        <v>80</v>
      </c>
      <c r="D2283">
        <v>68.509490967000005</v>
      </c>
      <c r="E2283">
        <v>50</v>
      </c>
      <c r="F2283">
        <v>49.983959198000001</v>
      </c>
      <c r="G2283">
        <v>1325.6838379000001</v>
      </c>
      <c r="H2283">
        <v>1323.1038818</v>
      </c>
      <c r="I2283">
        <v>1338.8289795000001</v>
      </c>
      <c r="J2283">
        <v>1336.3931885</v>
      </c>
      <c r="K2283">
        <v>0</v>
      </c>
      <c r="L2283">
        <v>2750</v>
      </c>
      <c r="M2283">
        <v>2750</v>
      </c>
      <c r="N2283">
        <v>0</v>
      </c>
    </row>
    <row r="2284" spans="1:14" x14ac:dyDescent="0.25">
      <c r="A2284">
        <v>1449.0093360000001</v>
      </c>
      <c r="B2284" s="1">
        <f>DATE(2014,4,19) + TIME(0,13,26)</f>
        <v>41748.009328703702</v>
      </c>
      <c r="C2284">
        <v>80</v>
      </c>
      <c r="D2284">
        <v>68.442672728999995</v>
      </c>
      <c r="E2284">
        <v>50</v>
      </c>
      <c r="F2284">
        <v>49.983959198000001</v>
      </c>
      <c r="G2284">
        <v>1325.6529541</v>
      </c>
      <c r="H2284">
        <v>1323.0596923999999</v>
      </c>
      <c r="I2284">
        <v>1338.8262939000001</v>
      </c>
      <c r="J2284">
        <v>1336.3920897999999</v>
      </c>
      <c r="K2284">
        <v>0</v>
      </c>
      <c r="L2284">
        <v>2750</v>
      </c>
      <c r="M2284">
        <v>2750</v>
      </c>
      <c r="N2284">
        <v>0</v>
      </c>
    </row>
    <row r="2285" spans="1:14" x14ac:dyDescent="0.25">
      <c r="A2285">
        <v>1450.8699750000001</v>
      </c>
      <c r="B2285" s="1">
        <f>DATE(2014,4,20) + TIME(20,52,45)</f>
        <v>41749.86996527778</v>
      </c>
      <c r="C2285">
        <v>80</v>
      </c>
      <c r="D2285">
        <v>68.147155761999997</v>
      </c>
      <c r="E2285">
        <v>50</v>
      </c>
      <c r="F2285">
        <v>49.983955383000001</v>
      </c>
      <c r="G2285">
        <v>1325.6295166</v>
      </c>
      <c r="H2285">
        <v>1323.0290527</v>
      </c>
      <c r="I2285">
        <v>1338.8238524999999</v>
      </c>
      <c r="J2285">
        <v>1336.3909911999999</v>
      </c>
      <c r="K2285">
        <v>0</v>
      </c>
      <c r="L2285">
        <v>2750</v>
      </c>
      <c r="M2285">
        <v>2750</v>
      </c>
      <c r="N2285">
        <v>0</v>
      </c>
    </row>
    <row r="2286" spans="1:14" x14ac:dyDescent="0.25">
      <c r="A2286">
        <v>1452.7306140000001</v>
      </c>
      <c r="B2286" s="1">
        <f>DATE(2014,4,22) + TIME(17,32,5)</f>
        <v>41751.730613425927</v>
      </c>
      <c r="C2286">
        <v>80</v>
      </c>
      <c r="D2286">
        <v>68.056282042999996</v>
      </c>
      <c r="E2286">
        <v>50</v>
      </c>
      <c r="F2286">
        <v>49.983955383000001</v>
      </c>
      <c r="G2286">
        <v>1325.6092529</v>
      </c>
      <c r="H2286">
        <v>1323.0009766000001</v>
      </c>
      <c r="I2286">
        <v>1338.8217772999999</v>
      </c>
      <c r="J2286">
        <v>1336.3901367000001</v>
      </c>
      <c r="K2286">
        <v>0</v>
      </c>
      <c r="L2286">
        <v>2750</v>
      </c>
      <c r="M2286">
        <v>2750</v>
      </c>
      <c r="N2286">
        <v>0</v>
      </c>
    </row>
    <row r="2287" spans="1:14" x14ac:dyDescent="0.25">
      <c r="A2287">
        <v>1456.451892</v>
      </c>
      <c r="B2287" s="1">
        <f>DATE(2014,4,26) + TIME(10,50,43)</f>
        <v>41755.451886574076</v>
      </c>
      <c r="C2287">
        <v>80</v>
      </c>
      <c r="D2287">
        <v>67.856727599999999</v>
      </c>
      <c r="E2287">
        <v>50</v>
      </c>
      <c r="F2287">
        <v>49.983963013</v>
      </c>
      <c r="G2287">
        <v>1325.5916748</v>
      </c>
      <c r="H2287">
        <v>1322.9775391000001</v>
      </c>
      <c r="I2287">
        <v>1338.8198242000001</v>
      </c>
      <c r="J2287">
        <v>1336.3892822</v>
      </c>
      <c r="K2287">
        <v>0</v>
      </c>
      <c r="L2287">
        <v>2750</v>
      </c>
      <c r="M2287">
        <v>2750</v>
      </c>
      <c r="N2287">
        <v>0</v>
      </c>
    </row>
    <row r="2288" spans="1:14" x14ac:dyDescent="0.25">
      <c r="A2288">
        <v>1460.2679049999999</v>
      </c>
      <c r="B2288" s="1">
        <f>DATE(2014,4,30) + TIME(6,25,46)</f>
        <v>41759.267893518518</v>
      </c>
      <c r="C2288">
        <v>80</v>
      </c>
      <c r="D2288">
        <v>67.606536864999995</v>
      </c>
      <c r="E2288">
        <v>50</v>
      </c>
      <c r="F2288">
        <v>49.983966827000003</v>
      </c>
      <c r="G2288">
        <v>1325.5612793</v>
      </c>
      <c r="H2288">
        <v>1322.9410399999999</v>
      </c>
      <c r="I2288">
        <v>1338.815918</v>
      </c>
      <c r="J2288">
        <v>1336.3874512</v>
      </c>
      <c r="K2288">
        <v>0</v>
      </c>
      <c r="L2288">
        <v>2750</v>
      </c>
      <c r="M2288">
        <v>2750</v>
      </c>
      <c r="N2288">
        <v>0</v>
      </c>
    </row>
    <row r="2289" spans="1:14" x14ac:dyDescent="0.25">
      <c r="A2289">
        <v>1461</v>
      </c>
      <c r="B2289" s="1">
        <f>DATE(2014,5,1) + TIME(0,0,0)</f>
        <v>41760</v>
      </c>
      <c r="C2289">
        <v>80</v>
      </c>
      <c r="D2289">
        <v>67.346733092999997</v>
      </c>
      <c r="E2289">
        <v>50</v>
      </c>
      <c r="F2289">
        <v>49.983959198000001</v>
      </c>
      <c r="G2289">
        <v>1325.5262451000001</v>
      </c>
      <c r="H2289">
        <v>1322.8986815999999</v>
      </c>
      <c r="I2289">
        <v>1338.8117675999999</v>
      </c>
      <c r="J2289">
        <v>1336.3856201000001</v>
      </c>
      <c r="K2289">
        <v>0</v>
      </c>
      <c r="L2289">
        <v>2750</v>
      </c>
      <c r="M2289">
        <v>2750</v>
      </c>
      <c r="N2289">
        <v>0</v>
      </c>
    </row>
    <row r="2290" spans="1:14" x14ac:dyDescent="0.25">
      <c r="A2290">
        <v>1461.0000010000001</v>
      </c>
      <c r="B2290" s="1">
        <f>DATE(2014,5,1) + TIME(0,0,0)</f>
        <v>41760</v>
      </c>
      <c r="C2290">
        <v>80</v>
      </c>
      <c r="D2290">
        <v>67.346900939999998</v>
      </c>
      <c r="E2290">
        <v>50</v>
      </c>
      <c r="F2290">
        <v>49.983867644999997</v>
      </c>
      <c r="G2290">
        <v>1329.1334228999999</v>
      </c>
      <c r="H2290">
        <v>1326.5959473</v>
      </c>
      <c r="I2290">
        <v>1335.635376</v>
      </c>
      <c r="J2290">
        <v>1333.6673584</v>
      </c>
      <c r="K2290">
        <v>2750</v>
      </c>
      <c r="L2290">
        <v>0</v>
      </c>
      <c r="M2290">
        <v>0</v>
      </c>
      <c r="N2290">
        <v>2750</v>
      </c>
    </row>
    <row r="2291" spans="1:14" x14ac:dyDescent="0.25">
      <c r="A2291">
        <v>1461.000004</v>
      </c>
      <c r="B2291" s="1">
        <f>DATE(2014,5,1) + TIME(0,0,0)</f>
        <v>41760</v>
      </c>
      <c r="C2291">
        <v>80</v>
      </c>
      <c r="D2291">
        <v>67.347175598000007</v>
      </c>
      <c r="E2291">
        <v>50</v>
      </c>
      <c r="F2291">
        <v>49.983718871999997</v>
      </c>
      <c r="G2291">
        <v>1330.4759521000001</v>
      </c>
      <c r="H2291">
        <v>1328.0603027</v>
      </c>
      <c r="I2291">
        <v>1334.4636230000001</v>
      </c>
      <c r="J2291">
        <v>1332.4957274999999</v>
      </c>
      <c r="K2291">
        <v>2750</v>
      </c>
      <c r="L2291">
        <v>0</v>
      </c>
      <c r="M2291">
        <v>0</v>
      </c>
      <c r="N2291">
        <v>2750</v>
      </c>
    </row>
    <row r="2292" spans="1:14" x14ac:dyDescent="0.25">
      <c r="A2292">
        <v>1461.0000130000001</v>
      </c>
      <c r="B2292" s="1">
        <f>DATE(2014,5,1) + TIME(0,0,1)</f>
        <v>41760.000011574077</v>
      </c>
      <c r="C2292">
        <v>80</v>
      </c>
      <c r="D2292">
        <v>67.347618103000002</v>
      </c>
      <c r="E2292">
        <v>50</v>
      </c>
      <c r="F2292">
        <v>49.983551024999997</v>
      </c>
      <c r="G2292">
        <v>1332.0688477000001</v>
      </c>
      <c r="H2292">
        <v>1329.6234131000001</v>
      </c>
      <c r="I2292">
        <v>1333.1354980000001</v>
      </c>
      <c r="J2292">
        <v>1331.1680908000001</v>
      </c>
      <c r="K2292">
        <v>2750</v>
      </c>
      <c r="L2292">
        <v>0</v>
      </c>
      <c r="M2292">
        <v>0</v>
      </c>
      <c r="N2292">
        <v>2750</v>
      </c>
    </row>
    <row r="2293" spans="1:14" x14ac:dyDescent="0.25">
      <c r="A2293">
        <v>1461.0000399999999</v>
      </c>
      <c r="B2293" s="1">
        <f>DATE(2014,5,1) + TIME(0,0,3)</f>
        <v>41760.000034722223</v>
      </c>
      <c r="C2293">
        <v>80</v>
      </c>
      <c r="D2293">
        <v>67.348526000999996</v>
      </c>
      <c r="E2293">
        <v>50</v>
      </c>
      <c r="F2293">
        <v>49.983383179</v>
      </c>
      <c r="G2293">
        <v>1333.6708983999999</v>
      </c>
      <c r="H2293">
        <v>1331.1612548999999</v>
      </c>
      <c r="I2293">
        <v>1331.8352050999999</v>
      </c>
      <c r="J2293">
        <v>1329.8677978999999</v>
      </c>
      <c r="K2293">
        <v>2750</v>
      </c>
      <c r="L2293">
        <v>0</v>
      </c>
      <c r="M2293">
        <v>0</v>
      </c>
      <c r="N2293">
        <v>2750</v>
      </c>
    </row>
    <row r="2294" spans="1:14" x14ac:dyDescent="0.25">
      <c r="A2294">
        <v>1461.000121</v>
      </c>
      <c r="B2294" s="1">
        <f>DATE(2014,5,1) + TIME(0,0,10)</f>
        <v>41760.000115740739</v>
      </c>
      <c r="C2294">
        <v>80</v>
      </c>
      <c r="D2294">
        <v>67.350891113000003</v>
      </c>
      <c r="E2294">
        <v>50</v>
      </c>
      <c r="F2294">
        <v>49.983219147</v>
      </c>
      <c r="G2294">
        <v>1335.2392577999999</v>
      </c>
      <c r="H2294">
        <v>1332.668457</v>
      </c>
      <c r="I2294">
        <v>1330.5584716999999</v>
      </c>
      <c r="J2294">
        <v>1328.5854492000001</v>
      </c>
      <c r="K2294">
        <v>2750</v>
      </c>
      <c r="L2294">
        <v>0</v>
      </c>
      <c r="M2294">
        <v>0</v>
      </c>
      <c r="N2294">
        <v>2750</v>
      </c>
    </row>
    <row r="2295" spans="1:14" x14ac:dyDescent="0.25">
      <c r="A2295">
        <v>1461.000364</v>
      </c>
      <c r="B2295" s="1">
        <f>DATE(2014,5,1) + TIME(0,0,31)</f>
        <v>41760.000358796293</v>
      </c>
      <c r="C2295">
        <v>80</v>
      </c>
      <c r="D2295">
        <v>67.357734679999993</v>
      </c>
      <c r="E2295">
        <v>50</v>
      </c>
      <c r="F2295">
        <v>49.983036040999998</v>
      </c>
      <c r="G2295">
        <v>1336.7772216999999</v>
      </c>
      <c r="H2295">
        <v>1334.1430664</v>
      </c>
      <c r="I2295">
        <v>1329.2679443</v>
      </c>
      <c r="J2295">
        <v>1327.2722168</v>
      </c>
      <c r="K2295">
        <v>2750</v>
      </c>
      <c r="L2295">
        <v>0</v>
      </c>
      <c r="M2295">
        <v>0</v>
      </c>
      <c r="N2295">
        <v>2750</v>
      </c>
    </row>
    <row r="2296" spans="1:14" x14ac:dyDescent="0.25">
      <c r="A2296">
        <v>1461.0010930000001</v>
      </c>
      <c r="B2296" s="1">
        <f>DATE(2014,5,1) + TIME(0,1,34)</f>
        <v>41760.001087962963</v>
      </c>
      <c r="C2296">
        <v>80</v>
      </c>
      <c r="D2296">
        <v>67.378250121999997</v>
      </c>
      <c r="E2296">
        <v>50</v>
      </c>
      <c r="F2296">
        <v>49.982814789000003</v>
      </c>
      <c r="G2296">
        <v>1338.1685791</v>
      </c>
      <c r="H2296">
        <v>1335.4741211</v>
      </c>
      <c r="I2296">
        <v>1328.0166016000001</v>
      </c>
      <c r="J2296">
        <v>1325.9848632999999</v>
      </c>
      <c r="K2296">
        <v>2750</v>
      </c>
      <c r="L2296">
        <v>0</v>
      </c>
      <c r="M2296">
        <v>0</v>
      </c>
      <c r="N2296">
        <v>2750</v>
      </c>
    </row>
    <row r="2297" spans="1:14" x14ac:dyDescent="0.25">
      <c r="A2297">
        <v>1461.0032799999999</v>
      </c>
      <c r="B2297" s="1">
        <f>DATE(2014,5,1) + TIME(0,4,43)</f>
        <v>41760.003275462965</v>
      </c>
      <c r="C2297">
        <v>80</v>
      </c>
      <c r="D2297">
        <v>67.439971924000005</v>
      </c>
      <c r="E2297">
        <v>50</v>
      </c>
      <c r="F2297">
        <v>49.982505797999998</v>
      </c>
      <c r="G2297">
        <v>1339.1693115</v>
      </c>
      <c r="H2297">
        <v>1336.4384766000001</v>
      </c>
      <c r="I2297">
        <v>1327.0250243999999</v>
      </c>
      <c r="J2297">
        <v>1324.96875</v>
      </c>
      <c r="K2297">
        <v>2750</v>
      </c>
      <c r="L2297">
        <v>0</v>
      </c>
      <c r="M2297">
        <v>0</v>
      </c>
      <c r="N2297">
        <v>2750</v>
      </c>
    </row>
    <row r="2298" spans="1:14" x14ac:dyDescent="0.25">
      <c r="A2298">
        <v>1461.0098410000001</v>
      </c>
      <c r="B2298" s="1">
        <f>DATE(2014,5,1) + TIME(0,14,10)</f>
        <v>41760.009837962964</v>
      </c>
      <c r="C2298">
        <v>80</v>
      </c>
      <c r="D2298">
        <v>67.622856139999996</v>
      </c>
      <c r="E2298">
        <v>50</v>
      </c>
      <c r="F2298">
        <v>49.981887817</v>
      </c>
      <c r="G2298">
        <v>1339.6552733999999</v>
      </c>
      <c r="H2298">
        <v>1336.9200439000001</v>
      </c>
      <c r="I2298">
        <v>1326.5051269999999</v>
      </c>
      <c r="J2298">
        <v>1324.4403076000001</v>
      </c>
      <c r="K2298">
        <v>2750</v>
      </c>
      <c r="L2298">
        <v>0</v>
      </c>
      <c r="M2298">
        <v>0</v>
      </c>
      <c r="N2298">
        <v>2750</v>
      </c>
    </row>
    <row r="2299" spans="1:14" x14ac:dyDescent="0.25">
      <c r="A2299">
        <v>1461.027742</v>
      </c>
      <c r="B2299" s="1">
        <f>DATE(2014,5,1) + TIME(0,39,56)</f>
        <v>41760.027731481481</v>
      </c>
      <c r="C2299">
        <v>80</v>
      </c>
      <c r="D2299">
        <v>68.101692200000002</v>
      </c>
      <c r="E2299">
        <v>50</v>
      </c>
      <c r="F2299">
        <v>49.980388640999998</v>
      </c>
      <c r="G2299">
        <v>1339.7537841999999</v>
      </c>
      <c r="H2299">
        <v>1337.0397949000001</v>
      </c>
      <c r="I2299">
        <v>1326.3758545000001</v>
      </c>
      <c r="J2299">
        <v>1324.3094481999999</v>
      </c>
      <c r="K2299">
        <v>2750</v>
      </c>
      <c r="L2299">
        <v>0</v>
      </c>
      <c r="M2299">
        <v>0</v>
      </c>
      <c r="N2299">
        <v>2750</v>
      </c>
    </row>
    <row r="2300" spans="1:14" x14ac:dyDescent="0.25">
      <c r="A2300">
        <v>1461.0460109999999</v>
      </c>
      <c r="B2300" s="1">
        <f>DATE(2014,5,1) + TIME(1,6,15)</f>
        <v>41760.046006944445</v>
      </c>
      <c r="C2300">
        <v>80</v>
      </c>
      <c r="D2300">
        <v>68.572662354000002</v>
      </c>
      <c r="E2300">
        <v>50</v>
      </c>
      <c r="F2300">
        <v>49.978885650999999</v>
      </c>
      <c r="G2300">
        <v>1339.7680664</v>
      </c>
      <c r="H2300">
        <v>1337.0620117000001</v>
      </c>
      <c r="I2300">
        <v>1326.3643798999999</v>
      </c>
      <c r="J2300">
        <v>1324.2977295000001</v>
      </c>
      <c r="K2300">
        <v>2750</v>
      </c>
      <c r="L2300">
        <v>0</v>
      </c>
      <c r="M2300">
        <v>0</v>
      </c>
      <c r="N2300">
        <v>2750</v>
      </c>
    </row>
    <row r="2301" spans="1:14" x14ac:dyDescent="0.25">
      <c r="A2301">
        <v>1461.0646819999999</v>
      </c>
      <c r="B2301" s="1">
        <f>DATE(2014,5,1) + TIME(1,33,8)</f>
        <v>41760.064675925925</v>
      </c>
      <c r="C2301">
        <v>80</v>
      </c>
      <c r="D2301">
        <v>69.036186217999997</v>
      </c>
      <c r="E2301">
        <v>50</v>
      </c>
      <c r="F2301">
        <v>49.977363586000003</v>
      </c>
      <c r="G2301">
        <v>1339.7696533000001</v>
      </c>
      <c r="H2301">
        <v>1337.0706786999999</v>
      </c>
      <c r="I2301">
        <v>1326.3637695</v>
      </c>
      <c r="J2301">
        <v>1324.2971190999999</v>
      </c>
      <c r="K2301">
        <v>2750</v>
      </c>
      <c r="L2301">
        <v>0</v>
      </c>
      <c r="M2301">
        <v>0</v>
      </c>
      <c r="N2301">
        <v>2750</v>
      </c>
    </row>
    <row r="2302" spans="1:14" x14ac:dyDescent="0.25">
      <c r="A2302">
        <v>1461.0837750000001</v>
      </c>
      <c r="B2302" s="1">
        <f>DATE(2014,5,1) + TIME(2,0,38)</f>
        <v>41760.083773148152</v>
      </c>
      <c r="C2302">
        <v>80</v>
      </c>
      <c r="D2302">
        <v>69.492256165000001</v>
      </c>
      <c r="E2302">
        <v>50</v>
      </c>
      <c r="F2302">
        <v>49.975814819</v>
      </c>
      <c r="G2302">
        <v>1339.7712402</v>
      </c>
      <c r="H2302">
        <v>1337.0784911999999</v>
      </c>
      <c r="I2302">
        <v>1326.3638916</v>
      </c>
      <c r="J2302">
        <v>1324.2971190999999</v>
      </c>
      <c r="K2302">
        <v>2750</v>
      </c>
      <c r="L2302">
        <v>0</v>
      </c>
      <c r="M2302">
        <v>0</v>
      </c>
      <c r="N2302">
        <v>2750</v>
      </c>
    </row>
    <row r="2303" spans="1:14" x14ac:dyDescent="0.25">
      <c r="A2303">
        <v>1461.1032749999999</v>
      </c>
      <c r="B2303" s="1">
        <f>DATE(2014,5,1) + TIME(2,28,42)</f>
        <v>41760.103263888886</v>
      </c>
      <c r="C2303">
        <v>80</v>
      </c>
      <c r="D2303">
        <v>69.940025329999997</v>
      </c>
      <c r="E2303">
        <v>50</v>
      </c>
      <c r="F2303">
        <v>49.974250793000003</v>
      </c>
      <c r="G2303">
        <v>1339.7747803</v>
      </c>
      <c r="H2303">
        <v>1337.0871582</v>
      </c>
      <c r="I2303">
        <v>1326.3640137</v>
      </c>
      <c r="J2303">
        <v>1324.2972411999999</v>
      </c>
      <c r="K2303">
        <v>2750</v>
      </c>
      <c r="L2303">
        <v>0</v>
      </c>
      <c r="M2303">
        <v>0</v>
      </c>
      <c r="N2303">
        <v>2750</v>
      </c>
    </row>
    <row r="2304" spans="1:14" x14ac:dyDescent="0.25">
      <c r="A2304">
        <v>1461.123192</v>
      </c>
      <c r="B2304" s="1">
        <f>DATE(2014,5,1) + TIME(2,57,23)</f>
        <v>41760.123182870368</v>
      </c>
      <c r="C2304">
        <v>80</v>
      </c>
      <c r="D2304">
        <v>70.379035950000002</v>
      </c>
      <c r="E2304">
        <v>50</v>
      </c>
      <c r="F2304">
        <v>49.972663879000002</v>
      </c>
      <c r="G2304">
        <v>1339.7803954999999</v>
      </c>
      <c r="H2304">
        <v>1337.0969238</v>
      </c>
      <c r="I2304">
        <v>1326.3640137</v>
      </c>
      <c r="J2304">
        <v>1324.2972411999999</v>
      </c>
      <c r="K2304">
        <v>2750</v>
      </c>
      <c r="L2304">
        <v>0</v>
      </c>
      <c r="M2304">
        <v>0</v>
      </c>
      <c r="N2304">
        <v>2750</v>
      </c>
    </row>
    <row r="2305" spans="1:14" x14ac:dyDescent="0.25">
      <c r="A2305">
        <v>1461.1435469999999</v>
      </c>
      <c r="B2305" s="1">
        <f>DATE(2014,5,1) + TIME(3,26,42)</f>
        <v>41760.143541666665</v>
      </c>
      <c r="C2305">
        <v>80</v>
      </c>
      <c r="D2305">
        <v>70.809494018999999</v>
      </c>
      <c r="E2305">
        <v>50</v>
      </c>
      <c r="F2305">
        <v>49.971054076999998</v>
      </c>
      <c r="G2305">
        <v>1339.7878418</v>
      </c>
      <c r="H2305">
        <v>1337.1076660000001</v>
      </c>
      <c r="I2305">
        <v>1326.3641356999999</v>
      </c>
      <c r="J2305">
        <v>1324.2972411999999</v>
      </c>
      <c r="K2305">
        <v>2750</v>
      </c>
      <c r="L2305">
        <v>0</v>
      </c>
      <c r="M2305">
        <v>0</v>
      </c>
      <c r="N2305">
        <v>2750</v>
      </c>
    </row>
    <row r="2306" spans="1:14" x14ac:dyDescent="0.25">
      <c r="A2306">
        <v>1461.1643630000001</v>
      </c>
      <c r="B2306" s="1">
        <f>DATE(2014,5,1) + TIME(3,56,40)</f>
        <v>41760.164351851854</v>
      </c>
      <c r="C2306">
        <v>80</v>
      </c>
      <c r="D2306">
        <v>71.231422424000002</v>
      </c>
      <c r="E2306">
        <v>50</v>
      </c>
      <c r="F2306">
        <v>49.969421386999997</v>
      </c>
      <c r="G2306">
        <v>1339.7971190999999</v>
      </c>
      <c r="H2306">
        <v>1337.1195068</v>
      </c>
      <c r="I2306">
        <v>1326.3641356999999</v>
      </c>
      <c r="J2306">
        <v>1324.2972411999999</v>
      </c>
      <c r="K2306">
        <v>2750</v>
      </c>
      <c r="L2306">
        <v>0</v>
      </c>
      <c r="M2306">
        <v>0</v>
      </c>
      <c r="N2306">
        <v>2750</v>
      </c>
    </row>
    <row r="2307" spans="1:14" x14ac:dyDescent="0.25">
      <c r="A2307">
        <v>1461.185663</v>
      </c>
      <c r="B2307" s="1">
        <f>DATE(2014,5,1) + TIME(4,27,21)</f>
        <v>41760.185659722221</v>
      </c>
      <c r="C2307">
        <v>80</v>
      </c>
      <c r="D2307">
        <v>71.644767760999997</v>
      </c>
      <c r="E2307">
        <v>50</v>
      </c>
      <c r="F2307">
        <v>49.967765808000003</v>
      </c>
      <c r="G2307">
        <v>1339.8082274999999</v>
      </c>
      <c r="H2307">
        <v>1337.1322021000001</v>
      </c>
      <c r="I2307">
        <v>1326.3641356999999</v>
      </c>
      <c r="J2307">
        <v>1324.2971190999999</v>
      </c>
      <c r="K2307">
        <v>2750</v>
      </c>
      <c r="L2307">
        <v>0</v>
      </c>
      <c r="M2307">
        <v>0</v>
      </c>
      <c r="N2307">
        <v>2750</v>
      </c>
    </row>
    <row r="2308" spans="1:14" x14ac:dyDescent="0.25">
      <c r="A2308">
        <v>1461.2074709999999</v>
      </c>
      <c r="B2308" s="1">
        <f>DATE(2014,5,1) + TIME(4,58,45)</f>
        <v>41760.207465277781</v>
      </c>
      <c r="C2308">
        <v>80</v>
      </c>
      <c r="D2308">
        <v>72.049476623999993</v>
      </c>
      <c r="E2308">
        <v>50</v>
      </c>
      <c r="F2308">
        <v>49.966079712000003</v>
      </c>
      <c r="G2308">
        <v>1339.8210449000001</v>
      </c>
      <c r="H2308">
        <v>1337.145874</v>
      </c>
      <c r="I2308">
        <v>1326.3641356999999</v>
      </c>
      <c r="J2308">
        <v>1324.2971190999999</v>
      </c>
      <c r="K2308">
        <v>2750</v>
      </c>
      <c r="L2308">
        <v>0</v>
      </c>
      <c r="M2308">
        <v>0</v>
      </c>
      <c r="N2308">
        <v>2750</v>
      </c>
    </row>
    <row r="2309" spans="1:14" x14ac:dyDescent="0.25">
      <c r="A2309">
        <v>1461.229816</v>
      </c>
      <c r="B2309" s="1">
        <f>DATE(2014,5,1) + TIME(5,30,56)</f>
        <v>41760.229814814818</v>
      </c>
      <c r="C2309">
        <v>80</v>
      </c>
      <c r="D2309">
        <v>72.445457458000007</v>
      </c>
      <c r="E2309">
        <v>50</v>
      </c>
      <c r="F2309">
        <v>49.964370727999999</v>
      </c>
      <c r="G2309">
        <v>1339.8354492000001</v>
      </c>
      <c r="H2309">
        <v>1337.1604004000001</v>
      </c>
      <c r="I2309">
        <v>1326.3641356999999</v>
      </c>
      <c r="J2309">
        <v>1324.2969971</v>
      </c>
      <c r="K2309">
        <v>2750</v>
      </c>
      <c r="L2309">
        <v>0</v>
      </c>
      <c r="M2309">
        <v>0</v>
      </c>
      <c r="N2309">
        <v>2750</v>
      </c>
    </row>
    <row r="2310" spans="1:14" x14ac:dyDescent="0.25">
      <c r="A2310">
        <v>1461.2527250000001</v>
      </c>
      <c r="B2310" s="1">
        <f>DATE(2014,5,1) + TIME(6,3,55)</f>
        <v>41760.25271990741</v>
      </c>
      <c r="C2310">
        <v>80</v>
      </c>
      <c r="D2310">
        <v>72.832618713000002</v>
      </c>
      <c r="E2310">
        <v>50</v>
      </c>
      <c r="F2310">
        <v>49.962631225999999</v>
      </c>
      <c r="G2310">
        <v>1339.8514404</v>
      </c>
      <c r="H2310">
        <v>1337.1757812000001</v>
      </c>
      <c r="I2310">
        <v>1326.3641356999999</v>
      </c>
      <c r="J2310">
        <v>1324.2969971</v>
      </c>
      <c r="K2310">
        <v>2750</v>
      </c>
      <c r="L2310">
        <v>0</v>
      </c>
      <c r="M2310">
        <v>0</v>
      </c>
      <c r="N2310">
        <v>2750</v>
      </c>
    </row>
    <row r="2311" spans="1:14" x14ac:dyDescent="0.25">
      <c r="A2311">
        <v>1461.276222</v>
      </c>
      <c r="B2311" s="1">
        <f>DATE(2014,5,1) + TIME(6,37,45)</f>
        <v>41760.27621527778</v>
      </c>
      <c r="C2311">
        <v>80</v>
      </c>
      <c r="D2311">
        <v>73.210754394999995</v>
      </c>
      <c r="E2311">
        <v>50</v>
      </c>
      <c r="F2311">
        <v>49.960865020999996</v>
      </c>
      <c r="G2311">
        <v>1339.8688964999999</v>
      </c>
      <c r="H2311">
        <v>1337.1920166</v>
      </c>
      <c r="I2311">
        <v>1326.3641356999999</v>
      </c>
      <c r="J2311">
        <v>1324.296875</v>
      </c>
      <c r="K2311">
        <v>2750</v>
      </c>
      <c r="L2311">
        <v>0</v>
      </c>
      <c r="M2311">
        <v>0</v>
      </c>
      <c r="N2311">
        <v>2750</v>
      </c>
    </row>
    <row r="2312" spans="1:14" x14ac:dyDescent="0.25">
      <c r="A2312">
        <v>1461.300346</v>
      </c>
      <c r="B2312" s="1">
        <f>DATE(2014,5,1) + TIME(7,12,29)</f>
        <v>41760.300335648149</v>
      </c>
      <c r="C2312">
        <v>80</v>
      </c>
      <c r="D2312">
        <v>73.579826354999994</v>
      </c>
      <c r="E2312">
        <v>50</v>
      </c>
      <c r="F2312">
        <v>49.959064484000002</v>
      </c>
      <c r="G2312">
        <v>1339.8878173999999</v>
      </c>
      <c r="H2312">
        <v>1337.2088623</v>
      </c>
      <c r="I2312">
        <v>1326.3640137</v>
      </c>
      <c r="J2312">
        <v>1324.2967529</v>
      </c>
      <c r="K2312">
        <v>2750</v>
      </c>
      <c r="L2312">
        <v>0</v>
      </c>
      <c r="M2312">
        <v>0</v>
      </c>
      <c r="N2312">
        <v>2750</v>
      </c>
    </row>
    <row r="2313" spans="1:14" x14ac:dyDescent="0.25">
      <c r="A2313">
        <v>1461.3251310000001</v>
      </c>
      <c r="B2313" s="1">
        <f>DATE(2014,5,1) + TIME(7,48,11)</f>
        <v>41760.325127314813</v>
      </c>
      <c r="C2313">
        <v>80</v>
      </c>
      <c r="D2313">
        <v>73.939697265999996</v>
      </c>
      <c r="E2313">
        <v>50</v>
      </c>
      <c r="F2313">
        <v>49.957229613999999</v>
      </c>
      <c r="G2313">
        <v>1339.9079589999999</v>
      </c>
      <c r="H2313">
        <v>1337.2265625</v>
      </c>
      <c r="I2313">
        <v>1326.3640137</v>
      </c>
      <c r="J2313">
        <v>1324.2966309000001</v>
      </c>
      <c r="K2313">
        <v>2750</v>
      </c>
      <c r="L2313">
        <v>0</v>
      </c>
      <c r="M2313">
        <v>0</v>
      </c>
      <c r="N2313">
        <v>2750</v>
      </c>
    </row>
    <row r="2314" spans="1:14" x14ac:dyDescent="0.25">
      <c r="A2314">
        <v>1461.350614</v>
      </c>
      <c r="B2314" s="1">
        <f>DATE(2014,5,1) + TIME(8,24,53)</f>
        <v>41760.350613425922</v>
      </c>
      <c r="C2314">
        <v>80</v>
      </c>
      <c r="D2314">
        <v>74.290214539000004</v>
      </c>
      <c r="E2314">
        <v>50</v>
      </c>
      <c r="F2314">
        <v>49.955360413000001</v>
      </c>
      <c r="G2314">
        <v>1339.9294434000001</v>
      </c>
      <c r="H2314">
        <v>1337.244751</v>
      </c>
      <c r="I2314">
        <v>1326.3640137</v>
      </c>
      <c r="J2314">
        <v>1324.2965088000001</v>
      </c>
      <c r="K2314">
        <v>2750</v>
      </c>
      <c r="L2314">
        <v>0</v>
      </c>
      <c r="M2314">
        <v>0</v>
      </c>
      <c r="N2314">
        <v>2750</v>
      </c>
    </row>
    <row r="2315" spans="1:14" x14ac:dyDescent="0.25">
      <c r="A2315">
        <v>1461.376835</v>
      </c>
      <c r="B2315" s="1">
        <f>DATE(2014,5,1) + TIME(9,2,38)</f>
        <v>41760.376828703702</v>
      </c>
      <c r="C2315">
        <v>80</v>
      </c>
      <c r="D2315">
        <v>74.631210327000005</v>
      </c>
      <c r="E2315">
        <v>50</v>
      </c>
      <c r="F2315">
        <v>49.953453064000001</v>
      </c>
      <c r="G2315">
        <v>1339.9520264</v>
      </c>
      <c r="H2315">
        <v>1337.2636719</v>
      </c>
      <c r="I2315">
        <v>1326.3638916</v>
      </c>
      <c r="J2315">
        <v>1324.2963867000001</v>
      </c>
      <c r="K2315">
        <v>2750</v>
      </c>
      <c r="L2315">
        <v>0</v>
      </c>
      <c r="M2315">
        <v>0</v>
      </c>
      <c r="N2315">
        <v>2750</v>
      </c>
    </row>
    <row r="2316" spans="1:14" x14ac:dyDescent="0.25">
      <c r="A2316">
        <v>1461.4038370000001</v>
      </c>
      <c r="B2316" s="1">
        <f>DATE(2014,5,1) + TIME(9,41,31)</f>
        <v>41760.403831018521</v>
      </c>
      <c r="C2316">
        <v>80</v>
      </c>
      <c r="D2316">
        <v>74.962524414000001</v>
      </c>
      <c r="E2316">
        <v>50</v>
      </c>
      <c r="F2316">
        <v>49.951507567999997</v>
      </c>
      <c r="G2316">
        <v>1339.9757079999999</v>
      </c>
      <c r="H2316">
        <v>1337.2832031</v>
      </c>
      <c r="I2316">
        <v>1326.3637695</v>
      </c>
      <c r="J2316">
        <v>1324.2961425999999</v>
      </c>
      <c r="K2316">
        <v>2750</v>
      </c>
      <c r="L2316">
        <v>0</v>
      </c>
      <c r="M2316">
        <v>0</v>
      </c>
      <c r="N2316">
        <v>2750</v>
      </c>
    </row>
    <row r="2317" spans="1:14" x14ac:dyDescent="0.25">
      <c r="A2317">
        <v>1461.4316670000001</v>
      </c>
      <c r="B2317" s="1">
        <f>DATE(2014,5,1) + TIME(10,21,36)</f>
        <v>41760.431666666664</v>
      </c>
      <c r="C2317">
        <v>80</v>
      </c>
      <c r="D2317">
        <v>75.283767699999999</v>
      </c>
      <c r="E2317">
        <v>50</v>
      </c>
      <c r="F2317">
        <v>49.949516295999999</v>
      </c>
      <c r="G2317">
        <v>1340.0004882999999</v>
      </c>
      <c r="H2317">
        <v>1337.3032227000001</v>
      </c>
      <c r="I2317">
        <v>1326.3637695</v>
      </c>
      <c r="J2317">
        <v>1324.2960204999999</v>
      </c>
      <c r="K2317">
        <v>2750</v>
      </c>
      <c r="L2317">
        <v>0</v>
      </c>
      <c r="M2317">
        <v>0</v>
      </c>
      <c r="N2317">
        <v>2750</v>
      </c>
    </row>
    <row r="2318" spans="1:14" x14ac:dyDescent="0.25">
      <c r="A2318">
        <v>1461.4603750000001</v>
      </c>
      <c r="B2318" s="1">
        <f>DATE(2014,5,1) + TIME(11,2,56)</f>
        <v>41760.460370370369</v>
      </c>
      <c r="C2318">
        <v>80</v>
      </c>
      <c r="D2318">
        <v>75.594940186000002</v>
      </c>
      <c r="E2318">
        <v>50</v>
      </c>
      <c r="F2318">
        <v>49.947483063</v>
      </c>
      <c r="G2318">
        <v>1340.0261230000001</v>
      </c>
      <c r="H2318">
        <v>1337.3237305</v>
      </c>
      <c r="I2318">
        <v>1326.3636475000001</v>
      </c>
      <c r="J2318">
        <v>1324.2958983999999</v>
      </c>
      <c r="K2318">
        <v>2750</v>
      </c>
      <c r="L2318">
        <v>0</v>
      </c>
      <c r="M2318">
        <v>0</v>
      </c>
      <c r="N2318">
        <v>2750</v>
      </c>
    </row>
    <row r="2319" spans="1:14" x14ac:dyDescent="0.25">
      <c r="A2319">
        <v>1461.490016</v>
      </c>
      <c r="B2319" s="1">
        <f>DATE(2014,5,1) + TIME(11,45,37)</f>
        <v>41760.490011574075</v>
      </c>
      <c r="C2319">
        <v>80</v>
      </c>
      <c r="D2319">
        <v>75.895896911999998</v>
      </c>
      <c r="E2319">
        <v>50</v>
      </c>
      <c r="F2319">
        <v>49.945404052999997</v>
      </c>
      <c r="G2319">
        <v>1340.0526123</v>
      </c>
      <c r="H2319">
        <v>1337.3446045000001</v>
      </c>
      <c r="I2319">
        <v>1326.3635254000001</v>
      </c>
      <c r="J2319">
        <v>1324.2956543</v>
      </c>
      <c r="K2319">
        <v>2750</v>
      </c>
      <c r="L2319">
        <v>0</v>
      </c>
      <c r="M2319">
        <v>0</v>
      </c>
      <c r="N2319">
        <v>2750</v>
      </c>
    </row>
    <row r="2320" spans="1:14" x14ac:dyDescent="0.25">
      <c r="A2320">
        <v>1461.520649</v>
      </c>
      <c r="B2320" s="1">
        <f>DATE(2014,5,1) + TIME(12,29,44)</f>
        <v>41760.520648148151</v>
      </c>
      <c r="C2320">
        <v>80</v>
      </c>
      <c r="D2320">
        <v>76.186454772999994</v>
      </c>
      <c r="E2320">
        <v>50</v>
      </c>
      <c r="F2320">
        <v>49.943275452000002</v>
      </c>
      <c r="G2320">
        <v>1340.0800781</v>
      </c>
      <c r="H2320">
        <v>1337.3659668</v>
      </c>
      <c r="I2320">
        <v>1326.3634033000001</v>
      </c>
      <c r="J2320">
        <v>1324.2954102000001</v>
      </c>
      <c r="K2320">
        <v>2750</v>
      </c>
      <c r="L2320">
        <v>0</v>
      </c>
      <c r="M2320">
        <v>0</v>
      </c>
      <c r="N2320">
        <v>2750</v>
      </c>
    </row>
    <row r="2321" spans="1:14" x14ac:dyDescent="0.25">
      <c r="A2321">
        <v>1461.552349</v>
      </c>
      <c r="B2321" s="1">
        <f>DATE(2014,5,1) + TIME(13,15,22)</f>
        <v>41760.552337962959</v>
      </c>
      <c r="C2321">
        <v>80</v>
      </c>
      <c r="D2321">
        <v>76.466537475999999</v>
      </c>
      <c r="E2321">
        <v>50</v>
      </c>
      <c r="F2321">
        <v>49.94108963</v>
      </c>
      <c r="G2321">
        <v>1340.1080322</v>
      </c>
      <c r="H2321">
        <v>1337.3876952999999</v>
      </c>
      <c r="I2321">
        <v>1326.3632812000001</v>
      </c>
      <c r="J2321">
        <v>1324.2952881000001</v>
      </c>
      <c r="K2321">
        <v>2750</v>
      </c>
      <c r="L2321">
        <v>0</v>
      </c>
      <c r="M2321">
        <v>0</v>
      </c>
      <c r="N2321">
        <v>2750</v>
      </c>
    </row>
    <row r="2322" spans="1:14" x14ac:dyDescent="0.25">
      <c r="A2322">
        <v>1461.585184</v>
      </c>
      <c r="B2322" s="1">
        <f>DATE(2014,5,1) + TIME(14,2,39)</f>
        <v>41760.585173611114</v>
      </c>
      <c r="C2322">
        <v>80</v>
      </c>
      <c r="D2322">
        <v>76.735916137999993</v>
      </c>
      <c r="E2322">
        <v>50</v>
      </c>
      <c r="F2322">
        <v>49.938850403000004</v>
      </c>
      <c r="G2322">
        <v>1340.1368408000001</v>
      </c>
      <c r="H2322">
        <v>1337.409668</v>
      </c>
      <c r="I2322">
        <v>1326.3631591999999</v>
      </c>
      <c r="J2322">
        <v>1324.2950439000001</v>
      </c>
      <c r="K2322">
        <v>2750</v>
      </c>
      <c r="L2322">
        <v>0</v>
      </c>
      <c r="M2322">
        <v>0</v>
      </c>
      <c r="N2322">
        <v>2750</v>
      </c>
    </row>
    <row r="2323" spans="1:14" x14ac:dyDescent="0.25">
      <c r="A2323">
        <v>1461.619228</v>
      </c>
      <c r="B2323" s="1">
        <f>DATE(2014,5,1) + TIME(14,51,41)</f>
        <v>41760.61922453704</v>
      </c>
      <c r="C2323">
        <v>80</v>
      </c>
      <c r="D2323">
        <v>76.994407654</v>
      </c>
      <c r="E2323">
        <v>50</v>
      </c>
      <c r="F2323">
        <v>49.936546325999998</v>
      </c>
      <c r="G2323">
        <v>1340.1661377</v>
      </c>
      <c r="H2323">
        <v>1337.4318848</v>
      </c>
      <c r="I2323">
        <v>1326.3630370999999</v>
      </c>
      <c r="J2323">
        <v>1324.2947998</v>
      </c>
      <c r="K2323">
        <v>2750</v>
      </c>
      <c r="L2323">
        <v>0</v>
      </c>
      <c r="M2323">
        <v>0</v>
      </c>
      <c r="N2323">
        <v>2750</v>
      </c>
    </row>
    <row r="2324" spans="1:14" x14ac:dyDescent="0.25">
      <c r="A2324">
        <v>1461.654565</v>
      </c>
      <c r="B2324" s="1">
        <f>DATE(2014,5,1) + TIME(15,42,34)</f>
        <v>41760.654560185183</v>
      </c>
      <c r="C2324">
        <v>80</v>
      </c>
      <c r="D2324">
        <v>77.241851807000003</v>
      </c>
      <c r="E2324">
        <v>50</v>
      </c>
      <c r="F2324">
        <v>49.934181213000002</v>
      </c>
      <c r="G2324">
        <v>1340.1959228999999</v>
      </c>
      <c r="H2324">
        <v>1337.4542236</v>
      </c>
      <c r="I2324">
        <v>1326.362793</v>
      </c>
      <c r="J2324">
        <v>1324.2945557</v>
      </c>
      <c r="K2324">
        <v>2750</v>
      </c>
      <c r="L2324">
        <v>0</v>
      </c>
      <c r="M2324">
        <v>0</v>
      </c>
      <c r="N2324">
        <v>2750</v>
      </c>
    </row>
    <row r="2325" spans="1:14" x14ac:dyDescent="0.25">
      <c r="A2325">
        <v>1461.691292</v>
      </c>
      <c r="B2325" s="1">
        <f>DATE(2014,5,1) + TIME(16,35,27)</f>
        <v>41760.691284722219</v>
      </c>
      <c r="C2325">
        <v>80</v>
      </c>
      <c r="D2325">
        <v>77.478126525999997</v>
      </c>
      <c r="E2325">
        <v>50</v>
      </c>
      <c r="F2325">
        <v>49.931747436999999</v>
      </c>
      <c r="G2325">
        <v>1340.2261963000001</v>
      </c>
      <c r="H2325">
        <v>1337.4768065999999</v>
      </c>
      <c r="I2325">
        <v>1326.3626709</v>
      </c>
      <c r="J2325">
        <v>1324.2943115</v>
      </c>
      <c r="K2325">
        <v>2750</v>
      </c>
      <c r="L2325">
        <v>0</v>
      </c>
      <c r="M2325">
        <v>0</v>
      </c>
      <c r="N2325">
        <v>2750</v>
      </c>
    </row>
    <row r="2326" spans="1:14" x14ac:dyDescent="0.25">
      <c r="A2326">
        <v>1461.7295140000001</v>
      </c>
      <c r="B2326" s="1">
        <f>DATE(2014,5,1) + TIME(17,30,30)</f>
        <v>41760.729513888888</v>
      </c>
      <c r="C2326">
        <v>80</v>
      </c>
      <c r="D2326">
        <v>77.703109741000006</v>
      </c>
      <c r="E2326">
        <v>50</v>
      </c>
      <c r="F2326">
        <v>49.929237366000002</v>
      </c>
      <c r="G2326">
        <v>1340.2567139</v>
      </c>
      <c r="H2326">
        <v>1337.4995117000001</v>
      </c>
      <c r="I2326">
        <v>1326.3625488</v>
      </c>
      <c r="J2326">
        <v>1324.2939452999999</v>
      </c>
      <c r="K2326">
        <v>2750</v>
      </c>
      <c r="L2326">
        <v>0</v>
      </c>
      <c r="M2326">
        <v>0</v>
      </c>
      <c r="N2326">
        <v>2750</v>
      </c>
    </row>
    <row r="2327" spans="1:14" x14ac:dyDescent="0.25">
      <c r="A2327">
        <v>1461.769348</v>
      </c>
      <c r="B2327" s="1">
        <f>DATE(2014,5,1) + TIME(18,27,51)</f>
        <v>41760.76934027778</v>
      </c>
      <c r="C2327">
        <v>80</v>
      </c>
      <c r="D2327">
        <v>77.916709900000001</v>
      </c>
      <c r="E2327">
        <v>50</v>
      </c>
      <c r="F2327">
        <v>49.926651001000003</v>
      </c>
      <c r="G2327">
        <v>1340.2875977000001</v>
      </c>
      <c r="H2327">
        <v>1337.5222168</v>
      </c>
      <c r="I2327">
        <v>1326.3623047000001</v>
      </c>
      <c r="J2327">
        <v>1324.2937012</v>
      </c>
      <c r="K2327">
        <v>2750</v>
      </c>
      <c r="L2327">
        <v>0</v>
      </c>
      <c r="M2327">
        <v>0</v>
      </c>
      <c r="N2327">
        <v>2750</v>
      </c>
    </row>
    <row r="2328" spans="1:14" x14ac:dyDescent="0.25">
      <c r="A2328">
        <v>1461.81089</v>
      </c>
      <c r="B2328" s="1">
        <f>DATE(2014,5,1) + TIME(19,27,40)</f>
        <v>41760.810879629629</v>
      </c>
      <c r="C2328">
        <v>80</v>
      </c>
      <c r="D2328">
        <v>78.118705750000004</v>
      </c>
      <c r="E2328">
        <v>50</v>
      </c>
      <c r="F2328">
        <v>49.923976897999999</v>
      </c>
      <c r="G2328">
        <v>1340.3186035000001</v>
      </c>
      <c r="H2328">
        <v>1337.5449219</v>
      </c>
      <c r="I2328">
        <v>1326.3620605000001</v>
      </c>
      <c r="J2328">
        <v>1324.293457</v>
      </c>
      <c r="K2328">
        <v>2750</v>
      </c>
      <c r="L2328">
        <v>0</v>
      </c>
      <c r="M2328">
        <v>0</v>
      </c>
      <c r="N2328">
        <v>2750</v>
      </c>
    </row>
    <row r="2329" spans="1:14" x14ac:dyDescent="0.25">
      <c r="A2329">
        <v>1461.8542030000001</v>
      </c>
      <c r="B2329" s="1">
        <f>DATE(2014,5,1) + TIME(20,30,3)</f>
        <v>41760.854201388887</v>
      </c>
      <c r="C2329">
        <v>80</v>
      </c>
      <c r="D2329">
        <v>78.308769225999995</v>
      </c>
      <c r="E2329">
        <v>50</v>
      </c>
      <c r="F2329">
        <v>49.921218871999997</v>
      </c>
      <c r="G2329">
        <v>1340.3497314000001</v>
      </c>
      <c r="H2329">
        <v>1337.5676269999999</v>
      </c>
      <c r="I2329">
        <v>1326.3619385</v>
      </c>
      <c r="J2329">
        <v>1324.2930908000001</v>
      </c>
      <c r="K2329">
        <v>2750</v>
      </c>
      <c r="L2329">
        <v>0</v>
      </c>
      <c r="M2329">
        <v>0</v>
      </c>
      <c r="N2329">
        <v>2750</v>
      </c>
    </row>
    <row r="2330" spans="1:14" x14ac:dyDescent="0.25">
      <c r="A2330">
        <v>1461.8994230000001</v>
      </c>
      <c r="B2330" s="1">
        <f>DATE(2014,5,1) + TIME(21,35,10)</f>
        <v>41760.899421296293</v>
      </c>
      <c r="C2330">
        <v>80</v>
      </c>
      <c r="D2330">
        <v>78.486900329999997</v>
      </c>
      <c r="E2330">
        <v>50</v>
      </c>
      <c r="F2330">
        <v>49.918369292999998</v>
      </c>
      <c r="G2330">
        <v>1340.3807373</v>
      </c>
      <c r="H2330">
        <v>1337.5902100000001</v>
      </c>
      <c r="I2330">
        <v>1326.3616943</v>
      </c>
      <c r="J2330">
        <v>1324.2928466999999</v>
      </c>
      <c r="K2330">
        <v>2750</v>
      </c>
      <c r="L2330">
        <v>0</v>
      </c>
      <c r="M2330">
        <v>0</v>
      </c>
      <c r="N2330">
        <v>2750</v>
      </c>
    </row>
    <row r="2331" spans="1:14" x14ac:dyDescent="0.25">
      <c r="A2331">
        <v>1461.946694</v>
      </c>
      <c r="B2331" s="1">
        <f>DATE(2014,5,1) + TIME(22,43,14)</f>
        <v>41760.946689814817</v>
      </c>
      <c r="C2331">
        <v>80</v>
      </c>
      <c r="D2331">
        <v>78.653167725000003</v>
      </c>
      <c r="E2331">
        <v>50</v>
      </c>
      <c r="F2331">
        <v>49.915420531999999</v>
      </c>
      <c r="G2331">
        <v>1340.4117432</v>
      </c>
      <c r="H2331">
        <v>1337.6125488</v>
      </c>
      <c r="I2331">
        <v>1326.3614502</v>
      </c>
      <c r="J2331">
        <v>1324.2924805</v>
      </c>
      <c r="K2331">
        <v>2750</v>
      </c>
      <c r="L2331">
        <v>0</v>
      </c>
      <c r="M2331">
        <v>0</v>
      </c>
      <c r="N2331">
        <v>2750</v>
      </c>
    </row>
    <row r="2332" spans="1:14" x14ac:dyDescent="0.25">
      <c r="A2332">
        <v>1461.9961800000001</v>
      </c>
      <c r="B2332" s="1">
        <f>DATE(2014,5,1) + TIME(23,54,29)</f>
        <v>41760.996168981481</v>
      </c>
      <c r="C2332">
        <v>80</v>
      </c>
      <c r="D2332">
        <v>78.807655334000003</v>
      </c>
      <c r="E2332">
        <v>50</v>
      </c>
      <c r="F2332">
        <v>49.912368774000001</v>
      </c>
      <c r="G2332">
        <v>1340.4423827999999</v>
      </c>
      <c r="H2332">
        <v>1337.6346435999999</v>
      </c>
      <c r="I2332">
        <v>1326.3613281</v>
      </c>
      <c r="J2332">
        <v>1324.2921143000001</v>
      </c>
      <c r="K2332">
        <v>2750</v>
      </c>
      <c r="L2332">
        <v>0</v>
      </c>
      <c r="M2332">
        <v>0</v>
      </c>
      <c r="N2332">
        <v>2750</v>
      </c>
    </row>
    <row r="2333" spans="1:14" x14ac:dyDescent="0.25">
      <c r="A2333">
        <v>1462.048061</v>
      </c>
      <c r="B2333" s="1">
        <f>DATE(2014,5,2) + TIME(1,9,12)</f>
        <v>41761.048055555555</v>
      </c>
      <c r="C2333">
        <v>80</v>
      </c>
      <c r="D2333">
        <v>78.950492858999993</v>
      </c>
      <c r="E2333">
        <v>50</v>
      </c>
      <c r="F2333">
        <v>49.909198760999999</v>
      </c>
      <c r="G2333">
        <v>1340.4727783000001</v>
      </c>
      <c r="H2333">
        <v>1337.6563721</v>
      </c>
      <c r="I2333">
        <v>1326.3610839999999</v>
      </c>
      <c r="J2333">
        <v>1324.2918701000001</v>
      </c>
      <c r="K2333">
        <v>2750</v>
      </c>
      <c r="L2333">
        <v>0</v>
      </c>
      <c r="M2333">
        <v>0</v>
      </c>
      <c r="N2333">
        <v>2750</v>
      </c>
    </row>
    <row r="2334" spans="1:14" x14ac:dyDescent="0.25">
      <c r="A2334">
        <v>1462.1025380000001</v>
      </c>
      <c r="B2334" s="1">
        <f>DATE(2014,5,2) + TIME(2,27,39)</f>
        <v>41761.102534722224</v>
      </c>
      <c r="C2334">
        <v>80</v>
      </c>
      <c r="D2334">
        <v>79.081886291999993</v>
      </c>
      <c r="E2334">
        <v>50</v>
      </c>
      <c r="F2334">
        <v>49.905910491999997</v>
      </c>
      <c r="G2334">
        <v>1340.5026855000001</v>
      </c>
      <c r="H2334">
        <v>1337.6777344</v>
      </c>
      <c r="I2334">
        <v>1326.3608397999999</v>
      </c>
      <c r="J2334">
        <v>1324.2915039</v>
      </c>
      <c r="K2334">
        <v>2750</v>
      </c>
      <c r="L2334">
        <v>0</v>
      </c>
      <c r="M2334">
        <v>0</v>
      </c>
      <c r="N2334">
        <v>2750</v>
      </c>
    </row>
    <row r="2335" spans="1:14" x14ac:dyDescent="0.25">
      <c r="A2335">
        <v>1462.159838</v>
      </c>
      <c r="B2335" s="1">
        <f>DATE(2014,5,2) + TIME(3,50,9)</f>
        <v>41761.159826388888</v>
      </c>
      <c r="C2335">
        <v>80</v>
      </c>
      <c r="D2335">
        <v>79.202056885000005</v>
      </c>
      <c r="E2335">
        <v>50</v>
      </c>
      <c r="F2335">
        <v>49.902488708</v>
      </c>
      <c r="G2335">
        <v>1340.5321045000001</v>
      </c>
      <c r="H2335">
        <v>1337.6987305</v>
      </c>
      <c r="I2335">
        <v>1326.3604736</v>
      </c>
      <c r="J2335">
        <v>1324.2910156</v>
      </c>
      <c r="K2335">
        <v>2750</v>
      </c>
      <c r="L2335">
        <v>0</v>
      </c>
      <c r="M2335">
        <v>0</v>
      </c>
      <c r="N2335">
        <v>2750</v>
      </c>
    </row>
    <row r="2336" spans="1:14" x14ac:dyDescent="0.25">
      <c r="A2336">
        <v>1462.2202130000001</v>
      </c>
      <c r="B2336" s="1">
        <f>DATE(2014,5,2) + TIME(5,17,6)</f>
        <v>41761.220208333332</v>
      </c>
      <c r="C2336">
        <v>80</v>
      </c>
      <c r="D2336">
        <v>79.311294556000007</v>
      </c>
      <c r="E2336">
        <v>50</v>
      </c>
      <c r="F2336">
        <v>49.898921967</v>
      </c>
      <c r="G2336">
        <v>1340.5609131000001</v>
      </c>
      <c r="H2336">
        <v>1337.7192382999999</v>
      </c>
      <c r="I2336">
        <v>1326.3602295000001</v>
      </c>
      <c r="J2336">
        <v>1324.2906493999999</v>
      </c>
      <c r="K2336">
        <v>2750</v>
      </c>
      <c r="L2336">
        <v>0</v>
      </c>
      <c r="M2336">
        <v>0</v>
      </c>
      <c r="N2336">
        <v>2750</v>
      </c>
    </row>
    <row r="2337" spans="1:14" x14ac:dyDescent="0.25">
      <c r="A2337">
        <v>1462.28395</v>
      </c>
      <c r="B2337" s="1">
        <f>DATE(2014,5,2) + TIME(6,48,53)</f>
        <v>41761.283946759257</v>
      </c>
      <c r="C2337">
        <v>80</v>
      </c>
      <c r="D2337">
        <v>79.409934997999997</v>
      </c>
      <c r="E2337">
        <v>50</v>
      </c>
      <c r="F2337">
        <v>49.895202636999997</v>
      </c>
      <c r="G2337">
        <v>1340.5889893000001</v>
      </c>
      <c r="H2337">
        <v>1337.7392577999999</v>
      </c>
      <c r="I2337">
        <v>1326.3599853999999</v>
      </c>
      <c r="J2337">
        <v>1324.2902832</v>
      </c>
      <c r="K2337">
        <v>2750</v>
      </c>
      <c r="L2337">
        <v>0</v>
      </c>
      <c r="M2337">
        <v>0</v>
      </c>
      <c r="N2337">
        <v>2750</v>
      </c>
    </row>
    <row r="2338" spans="1:14" x14ac:dyDescent="0.25">
      <c r="A2338">
        <v>1462.3514230000001</v>
      </c>
      <c r="B2338" s="1">
        <f>DATE(2014,5,2) + TIME(8,26,2)</f>
        <v>41761.351412037038</v>
      </c>
      <c r="C2338">
        <v>80</v>
      </c>
      <c r="D2338">
        <v>79.498428344999994</v>
      </c>
      <c r="E2338">
        <v>50</v>
      </c>
      <c r="F2338">
        <v>49.891307830999999</v>
      </c>
      <c r="G2338">
        <v>1340.6162108999999</v>
      </c>
      <c r="H2338">
        <v>1337.7586670000001</v>
      </c>
      <c r="I2338">
        <v>1326.3596190999999</v>
      </c>
      <c r="J2338">
        <v>1324.2899170000001</v>
      </c>
      <c r="K2338">
        <v>2750</v>
      </c>
      <c r="L2338">
        <v>0</v>
      </c>
      <c r="M2338">
        <v>0</v>
      </c>
      <c r="N2338">
        <v>2750</v>
      </c>
    </row>
    <row r="2339" spans="1:14" x14ac:dyDescent="0.25">
      <c r="A2339">
        <v>1462.422969</v>
      </c>
      <c r="B2339" s="1">
        <f>DATE(2014,5,2) + TIME(10,9,4)</f>
        <v>41761.422962962963</v>
      </c>
      <c r="C2339">
        <v>80</v>
      </c>
      <c r="D2339">
        <v>79.577156067000004</v>
      </c>
      <c r="E2339">
        <v>50</v>
      </c>
      <c r="F2339">
        <v>49.887226105000003</v>
      </c>
      <c r="G2339">
        <v>1340.6427002</v>
      </c>
      <c r="H2339">
        <v>1337.7773437999999</v>
      </c>
      <c r="I2339">
        <v>1326.359375</v>
      </c>
      <c r="J2339">
        <v>1324.2894286999999</v>
      </c>
      <c r="K2339">
        <v>2750</v>
      </c>
      <c r="L2339">
        <v>0</v>
      </c>
      <c r="M2339">
        <v>0</v>
      </c>
      <c r="N2339">
        <v>2750</v>
      </c>
    </row>
    <row r="2340" spans="1:14" x14ac:dyDescent="0.25">
      <c r="A2340">
        <v>1462.4990190000001</v>
      </c>
      <c r="B2340" s="1">
        <f>DATE(2014,5,2) + TIME(11,58,35)</f>
        <v>41761.499016203707</v>
      </c>
      <c r="C2340">
        <v>80</v>
      </c>
      <c r="D2340">
        <v>79.646591186999999</v>
      </c>
      <c r="E2340">
        <v>50</v>
      </c>
      <c r="F2340">
        <v>49.882938385000003</v>
      </c>
      <c r="G2340">
        <v>1340.6680908000001</v>
      </c>
      <c r="H2340">
        <v>1337.7955322</v>
      </c>
      <c r="I2340">
        <v>1326.3590088000001</v>
      </c>
      <c r="J2340">
        <v>1324.2889404</v>
      </c>
      <c r="K2340">
        <v>2750</v>
      </c>
      <c r="L2340">
        <v>0</v>
      </c>
      <c r="M2340">
        <v>0</v>
      </c>
      <c r="N2340">
        <v>2750</v>
      </c>
    </row>
    <row r="2341" spans="1:14" x14ac:dyDescent="0.25">
      <c r="A2341">
        <v>1462.5758510000001</v>
      </c>
      <c r="B2341" s="1">
        <f>DATE(2014,5,2) + TIME(13,49,13)</f>
        <v>41761.575844907406</v>
      </c>
      <c r="C2341">
        <v>80</v>
      </c>
      <c r="D2341">
        <v>79.704673767000003</v>
      </c>
      <c r="E2341">
        <v>50</v>
      </c>
      <c r="F2341">
        <v>49.878635406000001</v>
      </c>
      <c r="G2341">
        <v>1340.6929932</v>
      </c>
      <c r="H2341">
        <v>1337.8131103999999</v>
      </c>
      <c r="I2341">
        <v>1326.3586425999999</v>
      </c>
      <c r="J2341">
        <v>1324.2884521000001</v>
      </c>
      <c r="K2341">
        <v>2750</v>
      </c>
      <c r="L2341">
        <v>0</v>
      </c>
      <c r="M2341">
        <v>0</v>
      </c>
      <c r="N2341">
        <v>2750</v>
      </c>
    </row>
    <row r="2342" spans="1:14" x14ac:dyDescent="0.25">
      <c r="A2342">
        <v>1462.653415</v>
      </c>
      <c r="B2342" s="1">
        <f>DATE(2014,5,2) + TIME(15,40,55)</f>
        <v>41761.653414351851</v>
      </c>
      <c r="C2342">
        <v>80</v>
      </c>
      <c r="D2342">
        <v>79.753097534000005</v>
      </c>
      <c r="E2342">
        <v>50</v>
      </c>
      <c r="F2342">
        <v>49.874324799</v>
      </c>
      <c r="G2342">
        <v>1340.7156981999999</v>
      </c>
      <c r="H2342">
        <v>1337.8292236</v>
      </c>
      <c r="I2342">
        <v>1326.3582764</v>
      </c>
      <c r="J2342">
        <v>1324.2879639</v>
      </c>
      <c r="K2342">
        <v>2750</v>
      </c>
      <c r="L2342">
        <v>0</v>
      </c>
      <c r="M2342">
        <v>0</v>
      </c>
      <c r="N2342">
        <v>2750</v>
      </c>
    </row>
    <row r="2343" spans="1:14" x14ac:dyDescent="0.25">
      <c r="A2343">
        <v>1462.7319190000001</v>
      </c>
      <c r="B2343" s="1">
        <f>DATE(2014,5,2) + TIME(17,33,57)</f>
        <v>41761.731909722221</v>
      </c>
      <c r="C2343">
        <v>80</v>
      </c>
      <c r="D2343">
        <v>79.793472289999997</v>
      </c>
      <c r="E2343">
        <v>50</v>
      </c>
      <c r="F2343">
        <v>49.869991302000003</v>
      </c>
      <c r="G2343">
        <v>1340.7360839999999</v>
      </c>
      <c r="H2343">
        <v>1337.8438721</v>
      </c>
      <c r="I2343">
        <v>1326.3580322</v>
      </c>
      <c r="J2343">
        <v>1324.2874756000001</v>
      </c>
      <c r="K2343">
        <v>2750</v>
      </c>
      <c r="L2343">
        <v>0</v>
      </c>
      <c r="M2343">
        <v>0</v>
      </c>
      <c r="N2343">
        <v>2750</v>
      </c>
    </row>
    <row r="2344" spans="1:14" x14ac:dyDescent="0.25">
      <c r="A2344">
        <v>1462.8115720000001</v>
      </c>
      <c r="B2344" s="1">
        <f>DATE(2014,5,2) + TIME(19,28,39)</f>
        <v>41761.811562499999</v>
      </c>
      <c r="C2344">
        <v>80</v>
      </c>
      <c r="D2344">
        <v>79.827102660999998</v>
      </c>
      <c r="E2344">
        <v>50</v>
      </c>
      <c r="F2344">
        <v>49.865623474000003</v>
      </c>
      <c r="G2344">
        <v>1340.7543945</v>
      </c>
      <c r="H2344">
        <v>1337.8570557</v>
      </c>
      <c r="I2344">
        <v>1326.3576660000001</v>
      </c>
      <c r="J2344">
        <v>1324.2871094</v>
      </c>
      <c r="K2344">
        <v>2750</v>
      </c>
      <c r="L2344">
        <v>0</v>
      </c>
      <c r="M2344">
        <v>0</v>
      </c>
      <c r="N2344">
        <v>2750</v>
      </c>
    </row>
    <row r="2345" spans="1:14" x14ac:dyDescent="0.25">
      <c r="A2345">
        <v>1462.8925899999999</v>
      </c>
      <c r="B2345" s="1">
        <f>DATE(2014,5,2) + TIME(21,25,19)</f>
        <v>41761.892581018517</v>
      </c>
      <c r="C2345">
        <v>80</v>
      </c>
      <c r="D2345">
        <v>79.855094910000005</v>
      </c>
      <c r="E2345">
        <v>50</v>
      </c>
      <c r="F2345">
        <v>49.861213683999999</v>
      </c>
      <c r="G2345">
        <v>1340.7709961</v>
      </c>
      <c r="H2345">
        <v>1337.8691406</v>
      </c>
      <c r="I2345">
        <v>1326.3572998</v>
      </c>
      <c r="J2345">
        <v>1324.2866211</v>
      </c>
      <c r="K2345">
        <v>2750</v>
      </c>
      <c r="L2345">
        <v>0</v>
      </c>
      <c r="M2345">
        <v>0</v>
      </c>
      <c r="N2345">
        <v>2750</v>
      </c>
    </row>
    <row r="2346" spans="1:14" x14ac:dyDescent="0.25">
      <c r="A2346">
        <v>1462.975199</v>
      </c>
      <c r="B2346" s="1">
        <f>DATE(2014,5,2) + TIME(23,24,17)</f>
        <v>41761.97519675926</v>
      </c>
      <c r="C2346">
        <v>80</v>
      </c>
      <c r="D2346">
        <v>79.878364563000005</v>
      </c>
      <c r="E2346">
        <v>50</v>
      </c>
      <c r="F2346">
        <v>49.856746674</v>
      </c>
      <c r="G2346">
        <v>1340.7858887</v>
      </c>
      <c r="H2346">
        <v>1337.8801269999999</v>
      </c>
      <c r="I2346">
        <v>1326.3569336</v>
      </c>
      <c r="J2346">
        <v>1324.2861327999999</v>
      </c>
      <c r="K2346">
        <v>2750</v>
      </c>
      <c r="L2346">
        <v>0</v>
      </c>
      <c r="M2346">
        <v>0</v>
      </c>
      <c r="N2346">
        <v>2750</v>
      </c>
    </row>
    <row r="2347" spans="1:14" x14ac:dyDescent="0.25">
      <c r="A2347">
        <v>1463.0596989999999</v>
      </c>
      <c r="B2347" s="1">
        <f>DATE(2014,5,3) + TIME(1,25,58)</f>
        <v>41762.059699074074</v>
      </c>
      <c r="C2347">
        <v>80</v>
      </c>
      <c r="D2347">
        <v>79.897674561000002</v>
      </c>
      <c r="E2347">
        <v>50</v>
      </c>
      <c r="F2347">
        <v>49.852210999</v>
      </c>
      <c r="G2347">
        <v>1340.7993164</v>
      </c>
      <c r="H2347">
        <v>1337.8901367000001</v>
      </c>
      <c r="I2347">
        <v>1326.3565673999999</v>
      </c>
      <c r="J2347">
        <v>1324.2856445</v>
      </c>
      <c r="K2347">
        <v>2750</v>
      </c>
      <c r="L2347">
        <v>0</v>
      </c>
      <c r="M2347">
        <v>0</v>
      </c>
      <c r="N2347">
        <v>2750</v>
      </c>
    </row>
    <row r="2348" spans="1:14" x14ac:dyDescent="0.25">
      <c r="A2348">
        <v>1463.146387</v>
      </c>
      <c r="B2348" s="1">
        <f>DATE(2014,5,3) + TIME(3,30,47)</f>
        <v>41762.146377314813</v>
      </c>
      <c r="C2348">
        <v>80</v>
      </c>
      <c r="D2348">
        <v>79.913673400999997</v>
      </c>
      <c r="E2348">
        <v>50</v>
      </c>
      <c r="F2348">
        <v>49.847591399999999</v>
      </c>
      <c r="G2348">
        <v>1340.8112793</v>
      </c>
      <c r="H2348">
        <v>1337.8991699000001</v>
      </c>
      <c r="I2348">
        <v>1326.3562012</v>
      </c>
      <c r="J2348">
        <v>1324.2850341999999</v>
      </c>
      <c r="K2348">
        <v>2750</v>
      </c>
      <c r="L2348">
        <v>0</v>
      </c>
      <c r="M2348">
        <v>0</v>
      </c>
      <c r="N2348">
        <v>2750</v>
      </c>
    </row>
    <row r="2349" spans="1:14" x14ac:dyDescent="0.25">
      <c r="A2349">
        <v>1463.235557</v>
      </c>
      <c r="B2349" s="1">
        <f>DATE(2014,5,3) + TIME(5,39,12)</f>
        <v>41762.235555555555</v>
      </c>
      <c r="C2349">
        <v>80</v>
      </c>
      <c r="D2349">
        <v>79.926895142000006</v>
      </c>
      <c r="E2349">
        <v>50</v>
      </c>
      <c r="F2349">
        <v>49.842872620000001</v>
      </c>
      <c r="G2349">
        <v>1340.8218993999999</v>
      </c>
      <c r="H2349">
        <v>1337.9073486</v>
      </c>
      <c r="I2349">
        <v>1326.3557129000001</v>
      </c>
      <c r="J2349">
        <v>1324.2845459</v>
      </c>
      <c r="K2349">
        <v>2750</v>
      </c>
      <c r="L2349">
        <v>0</v>
      </c>
      <c r="M2349">
        <v>0</v>
      </c>
      <c r="N2349">
        <v>2750</v>
      </c>
    </row>
    <row r="2350" spans="1:14" x14ac:dyDescent="0.25">
      <c r="A2350">
        <v>1463.327538</v>
      </c>
      <c r="B2350" s="1">
        <f>DATE(2014,5,3) + TIME(7,51,39)</f>
        <v>41762.327534722222</v>
      </c>
      <c r="C2350">
        <v>80</v>
      </c>
      <c r="D2350">
        <v>79.937774657999995</v>
      </c>
      <c r="E2350">
        <v>50</v>
      </c>
      <c r="F2350">
        <v>49.838043212999999</v>
      </c>
      <c r="G2350">
        <v>1340.8311768000001</v>
      </c>
      <c r="H2350">
        <v>1337.9146728999999</v>
      </c>
      <c r="I2350">
        <v>1326.3553466999999</v>
      </c>
      <c r="J2350">
        <v>1324.2840576000001</v>
      </c>
      <c r="K2350">
        <v>2750</v>
      </c>
      <c r="L2350">
        <v>0</v>
      </c>
      <c r="M2350">
        <v>0</v>
      </c>
      <c r="N2350">
        <v>2750</v>
      </c>
    </row>
    <row r="2351" spans="1:14" x14ac:dyDescent="0.25">
      <c r="A2351">
        <v>1463.4210270000001</v>
      </c>
      <c r="B2351" s="1">
        <f>DATE(2014,5,3) + TIME(10,6,16)</f>
        <v>41762.421018518522</v>
      </c>
      <c r="C2351">
        <v>80</v>
      </c>
      <c r="D2351">
        <v>79.946578978999995</v>
      </c>
      <c r="E2351">
        <v>50</v>
      </c>
      <c r="F2351">
        <v>49.833160399999997</v>
      </c>
      <c r="G2351">
        <v>1340.8394774999999</v>
      </c>
      <c r="H2351">
        <v>1337.9213867000001</v>
      </c>
      <c r="I2351">
        <v>1326.3549805</v>
      </c>
      <c r="J2351">
        <v>1324.2834473</v>
      </c>
      <c r="K2351">
        <v>2750</v>
      </c>
      <c r="L2351">
        <v>0</v>
      </c>
      <c r="M2351">
        <v>0</v>
      </c>
      <c r="N2351">
        <v>2750</v>
      </c>
    </row>
    <row r="2352" spans="1:14" x14ac:dyDescent="0.25">
      <c r="A2352">
        <v>1463.516147</v>
      </c>
      <c r="B2352" s="1">
        <f>DATE(2014,5,3) + TIME(12,23,15)</f>
        <v>41762.516145833331</v>
      </c>
      <c r="C2352">
        <v>80</v>
      </c>
      <c r="D2352">
        <v>79.953681946000003</v>
      </c>
      <c r="E2352">
        <v>50</v>
      </c>
      <c r="F2352">
        <v>49.828220367</v>
      </c>
      <c r="G2352">
        <v>1340.8465576000001</v>
      </c>
      <c r="H2352">
        <v>1337.9273682</v>
      </c>
      <c r="I2352">
        <v>1326.3544922000001</v>
      </c>
      <c r="J2352">
        <v>1324.2829589999999</v>
      </c>
      <c r="K2352">
        <v>2750</v>
      </c>
      <c r="L2352">
        <v>0</v>
      </c>
      <c r="M2352">
        <v>0</v>
      </c>
      <c r="N2352">
        <v>2750</v>
      </c>
    </row>
    <row r="2353" spans="1:14" x14ac:dyDescent="0.25">
      <c r="A2353">
        <v>1463.6130559999999</v>
      </c>
      <c r="B2353" s="1">
        <f>DATE(2014,5,3) + TIME(14,42,48)</f>
        <v>41762.613055555557</v>
      </c>
      <c r="C2353">
        <v>80</v>
      </c>
      <c r="D2353">
        <v>79.959403992000006</v>
      </c>
      <c r="E2353">
        <v>50</v>
      </c>
      <c r="F2353">
        <v>49.823219299000002</v>
      </c>
      <c r="G2353">
        <v>1340.8525391000001</v>
      </c>
      <c r="H2353">
        <v>1337.9324951000001</v>
      </c>
      <c r="I2353">
        <v>1326.354126</v>
      </c>
      <c r="J2353">
        <v>1324.2823486</v>
      </c>
      <c r="K2353">
        <v>2750</v>
      </c>
      <c r="L2353">
        <v>0</v>
      </c>
      <c r="M2353">
        <v>0</v>
      </c>
      <c r="N2353">
        <v>2750</v>
      </c>
    </row>
    <row r="2354" spans="1:14" x14ac:dyDescent="0.25">
      <c r="A2354">
        <v>1463.711959</v>
      </c>
      <c r="B2354" s="1">
        <f>DATE(2014,5,3) + TIME(17,5,13)</f>
        <v>41762.711956018517</v>
      </c>
      <c r="C2354">
        <v>80</v>
      </c>
      <c r="D2354">
        <v>79.964012146000002</v>
      </c>
      <c r="E2354">
        <v>50</v>
      </c>
      <c r="F2354">
        <v>49.818141937</v>
      </c>
      <c r="G2354">
        <v>1340.8575439000001</v>
      </c>
      <c r="H2354">
        <v>1337.9371338000001</v>
      </c>
      <c r="I2354">
        <v>1326.3536377</v>
      </c>
      <c r="J2354">
        <v>1324.2818603999999</v>
      </c>
      <c r="K2354">
        <v>2750</v>
      </c>
      <c r="L2354">
        <v>0</v>
      </c>
      <c r="M2354">
        <v>0</v>
      </c>
      <c r="N2354">
        <v>2750</v>
      </c>
    </row>
    <row r="2355" spans="1:14" x14ac:dyDescent="0.25">
      <c r="A2355">
        <v>1463.8130739999999</v>
      </c>
      <c r="B2355" s="1">
        <f>DATE(2014,5,3) + TIME(19,30,49)</f>
        <v>41762.813067129631</v>
      </c>
      <c r="C2355">
        <v>80</v>
      </c>
      <c r="D2355">
        <v>79.967704772999994</v>
      </c>
      <c r="E2355">
        <v>50</v>
      </c>
      <c r="F2355">
        <v>49.812980652</v>
      </c>
      <c r="G2355">
        <v>1340.8615723</v>
      </c>
      <c r="H2355">
        <v>1337.9411620999999</v>
      </c>
      <c r="I2355">
        <v>1326.3531493999999</v>
      </c>
      <c r="J2355">
        <v>1324.28125</v>
      </c>
      <c r="K2355">
        <v>2750</v>
      </c>
      <c r="L2355">
        <v>0</v>
      </c>
      <c r="M2355">
        <v>0</v>
      </c>
      <c r="N2355">
        <v>2750</v>
      </c>
    </row>
    <row r="2356" spans="1:14" x14ac:dyDescent="0.25">
      <c r="A2356">
        <v>1463.916637</v>
      </c>
      <c r="B2356" s="1">
        <f>DATE(2014,5,3) + TIME(21,59,57)</f>
        <v>41762.916631944441</v>
      </c>
      <c r="C2356">
        <v>80</v>
      </c>
      <c r="D2356">
        <v>79.970664978000002</v>
      </c>
      <c r="E2356">
        <v>50</v>
      </c>
      <c r="F2356">
        <v>49.807731627999999</v>
      </c>
      <c r="G2356">
        <v>1340.8647461</v>
      </c>
      <c r="H2356">
        <v>1337.9445800999999</v>
      </c>
      <c r="I2356">
        <v>1326.3526611</v>
      </c>
      <c r="J2356">
        <v>1324.2806396000001</v>
      </c>
      <c r="K2356">
        <v>2750</v>
      </c>
      <c r="L2356">
        <v>0</v>
      </c>
      <c r="M2356">
        <v>0</v>
      </c>
      <c r="N2356">
        <v>2750</v>
      </c>
    </row>
    <row r="2357" spans="1:14" x14ac:dyDescent="0.25">
      <c r="A2357">
        <v>1464.022913</v>
      </c>
      <c r="B2357" s="1">
        <f>DATE(2014,5,4) + TIME(0,32,59)</f>
        <v>41763.022905092592</v>
      </c>
      <c r="C2357">
        <v>80</v>
      </c>
      <c r="D2357">
        <v>79.973022460999999</v>
      </c>
      <c r="E2357">
        <v>50</v>
      </c>
      <c r="F2357">
        <v>49.802371979</v>
      </c>
      <c r="G2357">
        <v>1340.8670654</v>
      </c>
      <c r="H2357">
        <v>1337.9476318</v>
      </c>
      <c r="I2357">
        <v>1326.3522949000001</v>
      </c>
      <c r="J2357">
        <v>1324.2800293</v>
      </c>
      <c r="K2357">
        <v>2750</v>
      </c>
      <c r="L2357">
        <v>0</v>
      </c>
      <c r="M2357">
        <v>0</v>
      </c>
      <c r="N2357">
        <v>2750</v>
      </c>
    </row>
    <row r="2358" spans="1:14" x14ac:dyDescent="0.25">
      <c r="A2358">
        <v>1464.132186</v>
      </c>
      <c r="B2358" s="1">
        <f>DATE(2014,5,4) + TIME(3,10,20)</f>
        <v>41763.132175925923</v>
      </c>
      <c r="C2358">
        <v>80</v>
      </c>
      <c r="D2358">
        <v>79.974906920999999</v>
      </c>
      <c r="E2358">
        <v>50</v>
      </c>
      <c r="F2358">
        <v>49.796897887999997</v>
      </c>
      <c r="G2358">
        <v>1340.8686522999999</v>
      </c>
      <c r="H2358">
        <v>1337.9500731999999</v>
      </c>
      <c r="I2358">
        <v>1326.3518065999999</v>
      </c>
      <c r="J2358">
        <v>1324.2794189000001</v>
      </c>
      <c r="K2358">
        <v>2750</v>
      </c>
      <c r="L2358">
        <v>0</v>
      </c>
      <c r="M2358">
        <v>0</v>
      </c>
      <c r="N2358">
        <v>2750</v>
      </c>
    </row>
    <row r="2359" spans="1:14" x14ac:dyDescent="0.25">
      <c r="A2359">
        <v>1464.244811</v>
      </c>
      <c r="B2359" s="1">
        <f>DATE(2014,5,4) + TIME(5,52,31)</f>
        <v>41763.244803240741</v>
      </c>
      <c r="C2359">
        <v>80</v>
      </c>
      <c r="D2359">
        <v>79.976394653</v>
      </c>
      <c r="E2359">
        <v>50</v>
      </c>
      <c r="F2359">
        <v>49.791294098000002</v>
      </c>
      <c r="G2359">
        <v>1340.8686522999999</v>
      </c>
      <c r="H2359">
        <v>1337.9516602000001</v>
      </c>
      <c r="I2359">
        <v>1326.3513184000001</v>
      </c>
      <c r="J2359">
        <v>1324.2788086</v>
      </c>
      <c r="K2359">
        <v>2750</v>
      </c>
      <c r="L2359">
        <v>0</v>
      </c>
      <c r="M2359">
        <v>0</v>
      </c>
      <c r="N2359">
        <v>2750</v>
      </c>
    </row>
    <row r="2360" spans="1:14" x14ac:dyDescent="0.25">
      <c r="A2360">
        <v>1464.361369</v>
      </c>
      <c r="B2360" s="1">
        <f>DATE(2014,5,4) + TIME(8,40,22)</f>
        <v>41763.36136574074</v>
      </c>
      <c r="C2360">
        <v>80</v>
      </c>
      <c r="D2360">
        <v>79.977584839000002</v>
      </c>
      <c r="E2360">
        <v>50</v>
      </c>
      <c r="F2360">
        <v>49.785533905000001</v>
      </c>
      <c r="G2360">
        <v>1340.8674315999999</v>
      </c>
      <c r="H2360">
        <v>1337.9522704999999</v>
      </c>
      <c r="I2360">
        <v>1326.3507079999999</v>
      </c>
      <c r="J2360">
        <v>1324.2781981999999</v>
      </c>
      <c r="K2360">
        <v>2750</v>
      </c>
      <c r="L2360">
        <v>0</v>
      </c>
      <c r="M2360">
        <v>0</v>
      </c>
      <c r="N2360">
        <v>2750</v>
      </c>
    </row>
    <row r="2361" spans="1:14" x14ac:dyDescent="0.25">
      <c r="A2361">
        <v>1464.4823309999999</v>
      </c>
      <c r="B2361" s="1">
        <f>DATE(2014,5,4) + TIME(11,34,33)</f>
        <v>41763.48232638889</v>
      </c>
      <c r="C2361">
        <v>80</v>
      </c>
      <c r="D2361">
        <v>79.978515625</v>
      </c>
      <c r="E2361">
        <v>50</v>
      </c>
      <c r="F2361">
        <v>49.779594420999999</v>
      </c>
      <c r="G2361">
        <v>1340.8656006000001</v>
      </c>
      <c r="H2361">
        <v>1337.9527588000001</v>
      </c>
      <c r="I2361">
        <v>1326.3502197</v>
      </c>
      <c r="J2361">
        <v>1324.2774658000001</v>
      </c>
      <c r="K2361">
        <v>2750</v>
      </c>
      <c r="L2361">
        <v>0</v>
      </c>
      <c r="M2361">
        <v>0</v>
      </c>
      <c r="N2361">
        <v>2750</v>
      </c>
    </row>
    <row r="2362" spans="1:14" x14ac:dyDescent="0.25">
      <c r="A2362">
        <v>1464.607344</v>
      </c>
      <c r="B2362" s="1">
        <f>DATE(2014,5,4) + TIME(14,34,34)</f>
        <v>41763.60733796296</v>
      </c>
      <c r="C2362">
        <v>80</v>
      </c>
      <c r="D2362">
        <v>79.979248046999999</v>
      </c>
      <c r="E2362">
        <v>50</v>
      </c>
      <c r="F2362">
        <v>49.773498535000002</v>
      </c>
      <c r="G2362">
        <v>1340.8632812000001</v>
      </c>
      <c r="H2362">
        <v>1337.9528809000001</v>
      </c>
      <c r="I2362">
        <v>1326.3496094</v>
      </c>
      <c r="J2362">
        <v>1324.2767334</v>
      </c>
      <c r="K2362">
        <v>2750</v>
      </c>
      <c r="L2362">
        <v>0</v>
      </c>
      <c r="M2362">
        <v>0</v>
      </c>
      <c r="N2362">
        <v>2750</v>
      </c>
    </row>
    <row r="2363" spans="1:14" x14ac:dyDescent="0.25">
      <c r="A2363">
        <v>1464.7358400000001</v>
      </c>
      <c r="B2363" s="1">
        <f>DATE(2014,5,4) + TIME(17,39,36)</f>
        <v>41763.735833333332</v>
      </c>
      <c r="C2363">
        <v>80</v>
      </c>
      <c r="D2363">
        <v>79.979812621999997</v>
      </c>
      <c r="E2363">
        <v>50</v>
      </c>
      <c r="F2363">
        <v>49.767269134999999</v>
      </c>
      <c r="G2363">
        <v>1340.8604736</v>
      </c>
      <c r="H2363">
        <v>1337.9527588000001</v>
      </c>
      <c r="I2363">
        <v>1326.3491211</v>
      </c>
      <c r="J2363">
        <v>1324.276001</v>
      </c>
      <c r="K2363">
        <v>2750</v>
      </c>
      <c r="L2363">
        <v>0</v>
      </c>
      <c r="M2363">
        <v>0</v>
      </c>
      <c r="N2363">
        <v>2750</v>
      </c>
    </row>
    <row r="2364" spans="1:14" x14ac:dyDescent="0.25">
      <c r="A2364">
        <v>1464.8681999999999</v>
      </c>
      <c r="B2364" s="1">
        <f>DATE(2014,5,4) + TIME(20,50,12)</f>
        <v>41763.868194444447</v>
      </c>
      <c r="C2364">
        <v>80</v>
      </c>
      <c r="D2364">
        <v>79.980255127000007</v>
      </c>
      <c r="E2364">
        <v>50</v>
      </c>
      <c r="F2364">
        <v>49.760883331000002</v>
      </c>
      <c r="G2364">
        <v>1340.8572998</v>
      </c>
      <c r="H2364">
        <v>1337.9523925999999</v>
      </c>
      <c r="I2364">
        <v>1326.3485106999999</v>
      </c>
      <c r="J2364">
        <v>1324.2752685999999</v>
      </c>
      <c r="K2364">
        <v>2750</v>
      </c>
      <c r="L2364">
        <v>0</v>
      </c>
      <c r="M2364">
        <v>0</v>
      </c>
      <c r="N2364">
        <v>2750</v>
      </c>
    </row>
    <row r="2365" spans="1:14" x14ac:dyDescent="0.25">
      <c r="A2365">
        <v>1465.0048079999999</v>
      </c>
      <c r="B2365" s="1">
        <f>DATE(2014,5,5) + TIME(0,6,55)</f>
        <v>41764.004803240743</v>
      </c>
      <c r="C2365">
        <v>80</v>
      </c>
      <c r="D2365">
        <v>79.980590820000003</v>
      </c>
      <c r="E2365">
        <v>50</v>
      </c>
      <c r="F2365">
        <v>49.754337311</v>
      </c>
      <c r="G2365">
        <v>1340.8536377</v>
      </c>
      <c r="H2365">
        <v>1337.9517822</v>
      </c>
      <c r="I2365">
        <v>1326.3479004000001</v>
      </c>
      <c r="J2365">
        <v>1324.2745361</v>
      </c>
      <c r="K2365">
        <v>2750</v>
      </c>
      <c r="L2365">
        <v>0</v>
      </c>
      <c r="M2365">
        <v>0</v>
      </c>
      <c r="N2365">
        <v>2750</v>
      </c>
    </row>
    <row r="2366" spans="1:14" x14ac:dyDescent="0.25">
      <c r="A2366">
        <v>1465.1460950000001</v>
      </c>
      <c r="B2366" s="1">
        <f>DATE(2014,5,5) + TIME(3,30,22)</f>
        <v>41764.146087962959</v>
      </c>
      <c r="C2366">
        <v>80</v>
      </c>
      <c r="D2366">
        <v>79.980857849000003</v>
      </c>
      <c r="E2366">
        <v>50</v>
      </c>
      <c r="F2366">
        <v>49.747608184999997</v>
      </c>
      <c r="G2366">
        <v>1340.8496094</v>
      </c>
      <c r="H2366">
        <v>1337.9510498</v>
      </c>
      <c r="I2366">
        <v>1326.347168</v>
      </c>
      <c r="J2366">
        <v>1324.2736815999999</v>
      </c>
      <c r="K2366">
        <v>2750</v>
      </c>
      <c r="L2366">
        <v>0</v>
      </c>
      <c r="M2366">
        <v>0</v>
      </c>
      <c r="N2366">
        <v>2750</v>
      </c>
    </row>
    <row r="2367" spans="1:14" x14ac:dyDescent="0.25">
      <c r="A2367">
        <v>1465.2925560000001</v>
      </c>
      <c r="B2367" s="1">
        <f>DATE(2014,5,5) + TIME(7,1,16)</f>
        <v>41764.292546296296</v>
      </c>
      <c r="C2367">
        <v>80</v>
      </c>
      <c r="D2367">
        <v>79.981056213000002</v>
      </c>
      <c r="E2367">
        <v>50</v>
      </c>
      <c r="F2367">
        <v>49.740676880000002</v>
      </c>
      <c r="G2367">
        <v>1340.8452147999999</v>
      </c>
      <c r="H2367">
        <v>1337.9499512</v>
      </c>
      <c r="I2367">
        <v>1326.3465576000001</v>
      </c>
      <c r="J2367">
        <v>1324.2728271000001</v>
      </c>
      <c r="K2367">
        <v>2750</v>
      </c>
      <c r="L2367">
        <v>0</v>
      </c>
      <c r="M2367">
        <v>0</v>
      </c>
      <c r="N2367">
        <v>2750</v>
      </c>
    </row>
    <row r="2368" spans="1:14" x14ac:dyDescent="0.25">
      <c r="A2368">
        <v>1465.4451839999999</v>
      </c>
      <c r="B2368" s="1">
        <f>DATE(2014,5,5) + TIME(10,41,3)</f>
        <v>41764.445173611108</v>
      </c>
      <c r="C2368">
        <v>80</v>
      </c>
      <c r="D2368">
        <v>79.981208800999994</v>
      </c>
      <c r="E2368">
        <v>50</v>
      </c>
      <c r="F2368">
        <v>49.733509064000003</v>
      </c>
      <c r="G2368">
        <v>1340.8404541</v>
      </c>
      <c r="H2368">
        <v>1337.9488524999999</v>
      </c>
      <c r="I2368">
        <v>1326.3458252</v>
      </c>
      <c r="J2368">
        <v>1324.2719727000001</v>
      </c>
      <c r="K2368">
        <v>2750</v>
      </c>
      <c r="L2368">
        <v>0</v>
      </c>
      <c r="M2368">
        <v>0</v>
      </c>
      <c r="N2368">
        <v>2750</v>
      </c>
    </row>
    <row r="2369" spans="1:14" x14ac:dyDescent="0.25">
      <c r="A2369">
        <v>1465.602171</v>
      </c>
      <c r="B2369" s="1">
        <f>DATE(2014,5,5) + TIME(14,27,7)</f>
        <v>41764.602164351854</v>
      </c>
      <c r="C2369">
        <v>80</v>
      </c>
      <c r="D2369">
        <v>79.981315613000007</v>
      </c>
      <c r="E2369">
        <v>50</v>
      </c>
      <c r="F2369">
        <v>49.726169585999997</v>
      </c>
      <c r="G2369">
        <v>1340.8352050999999</v>
      </c>
      <c r="H2369">
        <v>1337.9473877</v>
      </c>
      <c r="I2369">
        <v>1326.3450928</v>
      </c>
      <c r="J2369">
        <v>1324.2711182</v>
      </c>
      <c r="K2369">
        <v>2750</v>
      </c>
      <c r="L2369">
        <v>0</v>
      </c>
      <c r="M2369">
        <v>0</v>
      </c>
      <c r="N2369">
        <v>2750</v>
      </c>
    </row>
    <row r="2370" spans="1:14" x14ac:dyDescent="0.25">
      <c r="A2370">
        <v>1465.763297</v>
      </c>
      <c r="B2370" s="1">
        <f>DATE(2014,5,5) + TIME(18,19,8)</f>
        <v>41764.763287037036</v>
      </c>
      <c r="C2370">
        <v>80</v>
      </c>
      <c r="D2370">
        <v>79.981399535999998</v>
      </c>
      <c r="E2370">
        <v>50</v>
      </c>
      <c r="F2370">
        <v>49.718673705999997</v>
      </c>
      <c r="G2370">
        <v>1340.8295897999999</v>
      </c>
      <c r="H2370">
        <v>1337.9458007999999</v>
      </c>
      <c r="I2370">
        <v>1326.3443603999999</v>
      </c>
      <c r="J2370">
        <v>1324.2701416</v>
      </c>
      <c r="K2370">
        <v>2750</v>
      </c>
      <c r="L2370">
        <v>0</v>
      </c>
      <c r="M2370">
        <v>0</v>
      </c>
      <c r="N2370">
        <v>2750</v>
      </c>
    </row>
    <row r="2371" spans="1:14" x14ac:dyDescent="0.25">
      <c r="A2371">
        <v>1465.9267729999999</v>
      </c>
      <c r="B2371" s="1">
        <f>DATE(2014,5,5) + TIME(22,14,33)</f>
        <v>41764.926770833335</v>
      </c>
      <c r="C2371">
        <v>80</v>
      </c>
      <c r="D2371">
        <v>79.981460571</v>
      </c>
      <c r="E2371">
        <v>50</v>
      </c>
      <c r="F2371">
        <v>49.711093902999998</v>
      </c>
      <c r="G2371">
        <v>1340.8238524999999</v>
      </c>
      <c r="H2371">
        <v>1337.9440918</v>
      </c>
      <c r="I2371">
        <v>1326.3436279</v>
      </c>
      <c r="J2371">
        <v>1324.2691649999999</v>
      </c>
      <c r="K2371">
        <v>2750</v>
      </c>
      <c r="L2371">
        <v>0</v>
      </c>
      <c r="M2371">
        <v>0</v>
      </c>
      <c r="N2371">
        <v>2750</v>
      </c>
    </row>
    <row r="2372" spans="1:14" x14ac:dyDescent="0.25">
      <c r="A2372">
        <v>1466.0930940000001</v>
      </c>
      <c r="B2372" s="1">
        <f>DATE(2014,5,6) + TIME(2,14,3)</f>
        <v>41765.093090277776</v>
      </c>
      <c r="C2372">
        <v>80</v>
      </c>
      <c r="D2372">
        <v>79.981498717999997</v>
      </c>
      <c r="E2372">
        <v>50</v>
      </c>
      <c r="F2372">
        <v>49.703407288000001</v>
      </c>
      <c r="G2372">
        <v>1340.8178711</v>
      </c>
      <c r="H2372">
        <v>1337.9423827999999</v>
      </c>
      <c r="I2372">
        <v>1326.3427733999999</v>
      </c>
      <c r="J2372">
        <v>1324.2680664</v>
      </c>
      <c r="K2372">
        <v>2750</v>
      </c>
      <c r="L2372">
        <v>0</v>
      </c>
      <c r="M2372">
        <v>0</v>
      </c>
      <c r="N2372">
        <v>2750</v>
      </c>
    </row>
    <row r="2373" spans="1:14" x14ac:dyDescent="0.25">
      <c r="A2373">
        <v>1466.262745</v>
      </c>
      <c r="B2373" s="1">
        <f>DATE(2014,5,6) + TIME(6,18,21)</f>
        <v>41765.262743055559</v>
      </c>
      <c r="C2373">
        <v>80</v>
      </c>
      <c r="D2373">
        <v>79.981529236</v>
      </c>
      <c r="E2373">
        <v>50</v>
      </c>
      <c r="F2373">
        <v>49.695598601999997</v>
      </c>
      <c r="G2373">
        <v>1340.8116454999999</v>
      </c>
      <c r="H2373">
        <v>1337.9404297000001</v>
      </c>
      <c r="I2373">
        <v>1326.3419189000001</v>
      </c>
      <c r="J2373">
        <v>1324.2670897999999</v>
      </c>
      <c r="K2373">
        <v>2750</v>
      </c>
      <c r="L2373">
        <v>0</v>
      </c>
      <c r="M2373">
        <v>0</v>
      </c>
      <c r="N2373">
        <v>2750</v>
      </c>
    </row>
    <row r="2374" spans="1:14" x14ac:dyDescent="0.25">
      <c r="A2374">
        <v>1466.436238</v>
      </c>
      <c r="B2374" s="1">
        <f>DATE(2014,5,6) + TIME(10,28,11)</f>
        <v>41765.436238425929</v>
      </c>
      <c r="C2374">
        <v>80</v>
      </c>
      <c r="D2374">
        <v>79.981544494999994</v>
      </c>
      <c r="E2374">
        <v>50</v>
      </c>
      <c r="F2374">
        <v>49.687660217000001</v>
      </c>
      <c r="G2374">
        <v>1340.8054199000001</v>
      </c>
      <c r="H2374">
        <v>1337.9384766000001</v>
      </c>
      <c r="I2374">
        <v>1326.3410644999999</v>
      </c>
      <c r="J2374">
        <v>1324.2659911999999</v>
      </c>
      <c r="K2374">
        <v>2750</v>
      </c>
      <c r="L2374">
        <v>0</v>
      </c>
      <c r="M2374">
        <v>0</v>
      </c>
      <c r="N2374">
        <v>2750</v>
      </c>
    </row>
    <row r="2375" spans="1:14" x14ac:dyDescent="0.25">
      <c r="A2375">
        <v>1466.612879</v>
      </c>
      <c r="B2375" s="1">
        <f>DATE(2014,5,6) + TIME(14,42,32)</f>
        <v>41765.612870370373</v>
      </c>
      <c r="C2375">
        <v>80</v>
      </c>
      <c r="D2375">
        <v>79.981552124000004</v>
      </c>
      <c r="E2375">
        <v>50</v>
      </c>
      <c r="F2375">
        <v>49.679607390999998</v>
      </c>
      <c r="G2375">
        <v>1340.7989502</v>
      </c>
      <c r="H2375">
        <v>1337.9364014</v>
      </c>
      <c r="I2375">
        <v>1326.3402100000001</v>
      </c>
      <c r="J2375">
        <v>1324.2648925999999</v>
      </c>
      <c r="K2375">
        <v>2750</v>
      </c>
      <c r="L2375">
        <v>0</v>
      </c>
      <c r="M2375">
        <v>0</v>
      </c>
      <c r="N2375">
        <v>2750</v>
      </c>
    </row>
    <row r="2376" spans="1:14" x14ac:dyDescent="0.25">
      <c r="A2376">
        <v>1466.7914430000001</v>
      </c>
      <c r="B2376" s="1">
        <f>DATE(2014,5,6) + TIME(18,59,40)</f>
        <v>41765.791435185187</v>
      </c>
      <c r="C2376">
        <v>80</v>
      </c>
      <c r="D2376">
        <v>79.981552124000004</v>
      </c>
      <c r="E2376">
        <v>50</v>
      </c>
      <c r="F2376">
        <v>49.671497344999999</v>
      </c>
      <c r="G2376">
        <v>1340.7922363</v>
      </c>
      <c r="H2376">
        <v>1337.9343262</v>
      </c>
      <c r="I2376">
        <v>1326.3393555</v>
      </c>
      <c r="J2376">
        <v>1324.2637939000001</v>
      </c>
      <c r="K2376">
        <v>2750</v>
      </c>
      <c r="L2376">
        <v>0</v>
      </c>
      <c r="M2376">
        <v>0</v>
      </c>
      <c r="N2376">
        <v>2750</v>
      </c>
    </row>
    <row r="2377" spans="1:14" x14ac:dyDescent="0.25">
      <c r="A2377">
        <v>1466.9723819999999</v>
      </c>
      <c r="B2377" s="1">
        <f>DATE(2014,5,6) + TIME(23,20,13)</f>
        <v>41765.972372685188</v>
      </c>
      <c r="C2377">
        <v>80</v>
      </c>
      <c r="D2377">
        <v>79.981552124000004</v>
      </c>
      <c r="E2377">
        <v>50</v>
      </c>
      <c r="F2377">
        <v>49.663311004999997</v>
      </c>
      <c r="G2377">
        <v>1340.7856445</v>
      </c>
      <c r="H2377">
        <v>1337.9321289</v>
      </c>
      <c r="I2377">
        <v>1326.3383789</v>
      </c>
      <c r="J2377">
        <v>1324.2625731999999</v>
      </c>
      <c r="K2377">
        <v>2750</v>
      </c>
      <c r="L2377">
        <v>0</v>
      </c>
      <c r="M2377">
        <v>0</v>
      </c>
      <c r="N2377">
        <v>2750</v>
      </c>
    </row>
    <row r="2378" spans="1:14" x14ac:dyDescent="0.25">
      <c r="A2378">
        <v>1467.156144</v>
      </c>
      <c r="B2378" s="1">
        <f>DATE(2014,5,7) + TIME(3,44,50)</f>
        <v>41766.156134259261</v>
      </c>
      <c r="C2378">
        <v>80</v>
      </c>
      <c r="D2378">
        <v>79.981544494999994</v>
      </c>
      <c r="E2378">
        <v>50</v>
      </c>
      <c r="F2378">
        <v>49.655033111999998</v>
      </c>
      <c r="G2378">
        <v>1340.7789307</v>
      </c>
      <c r="H2378">
        <v>1337.9299315999999</v>
      </c>
      <c r="I2378">
        <v>1326.3375243999999</v>
      </c>
      <c r="J2378">
        <v>1324.2613524999999</v>
      </c>
      <c r="K2378">
        <v>2750</v>
      </c>
      <c r="L2378">
        <v>0</v>
      </c>
      <c r="M2378">
        <v>0</v>
      </c>
      <c r="N2378">
        <v>2750</v>
      </c>
    </row>
    <row r="2379" spans="1:14" x14ac:dyDescent="0.25">
      <c r="A2379">
        <v>1467.3431949999999</v>
      </c>
      <c r="B2379" s="1">
        <f>DATE(2014,5,7) + TIME(8,14,12)</f>
        <v>41766.343194444446</v>
      </c>
      <c r="C2379">
        <v>80</v>
      </c>
      <c r="D2379">
        <v>79.981529236</v>
      </c>
      <c r="E2379">
        <v>50</v>
      </c>
      <c r="F2379">
        <v>49.646656036000003</v>
      </c>
      <c r="G2379">
        <v>1340.7720947</v>
      </c>
      <c r="H2379">
        <v>1337.9277344</v>
      </c>
      <c r="I2379">
        <v>1326.3365478999999</v>
      </c>
      <c r="J2379">
        <v>1324.2601318</v>
      </c>
      <c r="K2379">
        <v>2750</v>
      </c>
      <c r="L2379">
        <v>0</v>
      </c>
      <c r="M2379">
        <v>0</v>
      </c>
      <c r="N2379">
        <v>2750</v>
      </c>
    </row>
    <row r="2380" spans="1:14" x14ac:dyDescent="0.25">
      <c r="A2380">
        <v>1467.53403</v>
      </c>
      <c r="B2380" s="1">
        <f>DATE(2014,5,7) + TIME(12,49,0)</f>
        <v>41766.53402777778</v>
      </c>
      <c r="C2380">
        <v>80</v>
      </c>
      <c r="D2380">
        <v>79.981513977000006</v>
      </c>
      <c r="E2380">
        <v>50</v>
      </c>
      <c r="F2380">
        <v>49.638156891000001</v>
      </c>
      <c r="G2380">
        <v>1340.7652588000001</v>
      </c>
      <c r="H2380">
        <v>1337.9255370999999</v>
      </c>
      <c r="I2380">
        <v>1326.3355713000001</v>
      </c>
      <c r="J2380">
        <v>1324.2589111</v>
      </c>
      <c r="K2380">
        <v>2750</v>
      </c>
      <c r="L2380">
        <v>0</v>
      </c>
      <c r="M2380">
        <v>0</v>
      </c>
      <c r="N2380">
        <v>2750</v>
      </c>
    </row>
    <row r="2381" spans="1:14" x14ac:dyDescent="0.25">
      <c r="A2381">
        <v>1467.7291749999999</v>
      </c>
      <c r="B2381" s="1">
        <f>DATE(2014,5,7) + TIME(17,30,0)</f>
        <v>41766.729166666664</v>
      </c>
      <c r="C2381">
        <v>80</v>
      </c>
      <c r="D2381">
        <v>79.981491089000002</v>
      </c>
      <c r="E2381">
        <v>50</v>
      </c>
      <c r="F2381">
        <v>49.629516602000002</v>
      </c>
      <c r="G2381">
        <v>1340.7583007999999</v>
      </c>
      <c r="H2381">
        <v>1337.9232178</v>
      </c>
      <c r="I2381">
        <v>1326.3345947</v>
      </c>
      <c r="J2381">
        <v>1324.2575684000001</v>
      </c>
      <c r="K2381">
        <v>2750</v>
      </c>
      <c r="L2381">
        <v>0</v>
      </c>
      <c r="M2381">
        <v>0</v>
      </c>
      <c r="N2381">
        <v>2750</v>
      </c>
    </row>
    <row r="2382" spans="1:14" x14ac:dyDescent="0.25">
      <c r="A2382">
        <v>1467.929314</v>
      </c>
      <c r="B2382" s="1">
        <f>DATE(2014,5,7) + TIME(22,18,12)</f>
        <v>41766.929305555554</v>
      </c>
      <c r="C2382">
        <v>80</v>
      </c>
      <c r="D2382">
        <v>79.981475829999994</v>
      </c>
      <c r="E2382">
        <v>50</v>
      </c>
      <c r="F2382">
        <v>49.620719909999998</v>
      </c>
      <c r="G2382">
        <v>1340.7513428</v>
      </c>
      <c r="H2382">
        <v>1337.9208983999999</v>
      </c>
      <c r="I2382">
        <v>1326.3334961</v>
      </c>
      <c r="J2382">
        <v>1324.2562256000001</v>
      </c>
      <c r="K2382">
        <v>2750</v>
      </c>
      <c r="L2382">
        <v>0</v>
      </c>
      <c r="M2382">
        <v>0</v>
      </c>
      <c r="N2382">
        <v>2750</v>
      </c>
    </row>
    <row r="2383" spans="1:14" x14ac:dyDescent="0.25">
      <c r="A2383">
        <v>1468.133458</v>
      </c>
      <c r="B2383" s="1">
        <f>DATE(2014,5,8) + TIME(3,12,10)</f>
        <v>41767.133449074077</v>
      </c>
      <c r="C2383">
        <v>80</v>
      </c>
      <c r="D2383">
        <v>79.981452942000004</v>
      </c>
      <c r="E2383">
        <v>50</v>
      </c>
      <c r="F2383">
        <v>49.611789702999999</v>
      </c>
      <c r="G2383">
        <v>1340.7442627</v>
      </c>
      <c r="H2383">
        <v>1337.9185791</v>
      </c>
      <c r="I2383">
        <v>1326.3323975000001</v>
      </c>
      <c r="J2383">
        <v>1324.2548827999999</v>
      </c>
      <c r="K2383">
        <v>2750</v>
      </c>
      <c r="L2383">
        <v>0</v>
      </c>
      <c r="M2383">
        <v>0</v>
      </c>
      <c r="N2383">
        <v>2750</v>
      </c>
    </row>
    <row r="2384" spans="1:14" x14ac:dyDescent="0.25">
      <c r="A2384">
        <v>1468.3409730000001</v>
      </c>
      <c r="B2384" s="1">
        <f>DATE(2014,5,8) + TIME(8,11,0)</f>
        <v>41767.34097222222</v>
      </c>
      <c r="C2384">
        <v>80</v>
      </c>
      <c r="D2384">
        <v>79.981430054</v>
      </c>
      <c r="E2384">
        <v>50</v>
      </c>
      <c r="F2384">
        <v>49.602756499999998</v>
      </c>
      <c r="G2384">
        <v>1340.7370605000001</v>
      </c>
      <c r="H2384">
        <v>1337.9162598</v>
      </c>
      <c r="I2384">
        <v>1326.3312988</v>
      </c>
      <c r="J2384">
        <v>1324.253418</v>
      </c>
      <c r="K2384">
        <v>2750</v>
      </c>
      <c r="L2384">
        <v>0</v>
      </c>
      <c r="M2384">
        <v>0</v>
      </c>
      <c r="N2384">
        <v>2750</v>
      </c>
    </row>
    <row r="2385" spans="1:14" x14ac:dyDescent="0.25">
      <c r="A2385">
        <v>1468.5523519999999</v>
      </c>
      <c r="B2385" s="1">
        <f>DATE(2014,5,8) + TIME(13,15,23)</f>
        <v>41767.552349537036</v>
      </c>
      <c r="C2385">
        <v>80</v>
      </c>
      <c r="D2385">
        <v>79.981399535999998</v>
      </c>
      <c r="E2385">
        <v>50</v>
      </c>
      <c r="F2385">
        <v>49.593605042</v>
      </c>
      <c r="G2385">
        <v>1340.7299805</v>
      </c>
      <c r="H2385">
        <v>1337.9138184000001</v>
      </c>
      <c r="I2385">
        <v>1326.3302002</v>
      </c>
      <c r="J2385">
        <v>1324.2519531</v>
      </c>
      <c r="K2385">
        <v>2750</v>
      </c>
      <c r="L2385">
        <v>0</v>
      </c>
      <c r="M2385">
        <v>0</v>
      </c>
      <c r="N2385">
        <v>2750</v>
      </c>
    </row>
    <row r="2386" spans="1:14" x14ac:dyDescent="0.25">
      <c r="A2386">
        <v>1468.7681030000001</v>
      </c>
      <c r="B2386" s="1">
        <f>DATE(2014,5,8) + TIME(18,26,4)</f>
        <v>41767.768101851849</v>
      </c>
      <c r="C2386">
        <v>80</v>
      </c>
      <c r="D2386">
        <v>79.981376647999994</v>
      </c>
      <c r="E2386">
        <v>50</v>
      </c>
      <c r="F2386">
        <v>49.584316254000001</v>
      </c>
      <c r="G2386">
        <v>1340.7227783000001</v>
      </c>
      <c r="H2386">
        <v>1337.911499</v>
      </c>
      <c r="I2386">
        <v>1326.3289795000001</v>
      </c>
      <c r="J2386">
        <v>1324.2504882999999</v>
      </c>
      <c r="K2386">
        <v>2750</v>
      </c>
      <c r="L2386">
        <v>0</v>
      </c>
      <c r="M2386">
        <v>0</v>
      </c>
      <c r="N2386">
        <v>2750</v>
      </c>
    </row>
    <row r="2387" spans="1:14" x14ac:dyDescent="0.25">
      <c r="A2387">
        <v>1468.9887699999999</v>
      </c>
      <c r="B2387" s="1">
        <f>DATE(2014,5,8) + TIME(23,43,49)</f>
        <v>41767.988761574074</v>
      </c>
      <c r="C2387">
        <v>80</v>
      </c>
      <c r="D2387">
        <v>79.981346130000006</v>
      </c>
      <c r="E2387">
        <v>50</v>
      </c>
      <c r="F2387">
        <v>49.574878693000002</v>
      </c>
      <c r="G2387">
        <v>1340.7154541</v>
      </c>
      <c r="H2387">
        <v>1337.9091797000001</v>
      </c>
      <c r="I2387">
        <v>1326.3277588000001</v>
      </c>
      <c r="J2387">
        <v>1324.2489014</v>
      </c>
      <c r="K2387">
        <v>2750</v>
      </c>
      <c r="L2387">
        <v>0</v>
      </c>
      <c r="M2387">
        <v>0</v>
      </c>
      <c r="N2387">
        <v>2750</v>
      </c>
    </row>
    <row r="2388" spans="1:14" x14ac:dyDescent="0.25">
      <c r="A2388">
        <v>1469.214939</v>
      </c>
      <c r="B2388" s="1">
        <f>DATE(2014,5,9) + TIME(5,9,30)</f>
        <v>41768.214930555558</v>
      </c>
      <c r="C2388">
        <v>80</v>
      </c>
      <c r="D2388">
        <v>79.981323242000002</v>
      </c>
      <c r="E2388">
        <v>50</v>
      </c>
      <c r="F2388">
        <v>49.565265656000001</v>
      </c>
      <c r="G2388">
        <v>1340.7082519999999</v>
      </c>
      <c r="H2388">
        <v>1337.9067382999999</v>
      </c>
      <c r="I2388">
        <v>1326.3265381000001</v>
      </c>
      <c r="J2388">
        <v>1324.2471923999999</v>
      </c>
      <c r="K2388">
        <v>2750</v>
      </c>
      <c r="L2388">
        <v>0</v>
      </c>
      <c r="M2388">
        <v>0</v>
      </c>
      <c r="N2388">
        <v>2750</v>
      </c>
    </row>
    <row r="2389" spans="1:14" x14ac:dyDescent="0.25">
      <c r="A2389">
        <v>1469.4472619999999</v>
      </c>
      <c r="B2389" s="1">
        <f>DATE(2014,5,9) + TIME(10,44,3)</f>
        <v>41768.447256944448</v>
      </c>
      <c r="C2389">
        <v>80</v>
      </c>
      <c r="D2389">
        <v>79.981292725000003</v>
      </c>
      <c r="E2389">
        <v>50</v>
      </c>
      <c r="F2389">
        <v>49.555461884000003</v>
      </c>
      <c r="G2389">
        <v>1340.7009277</v>
      </c>
      <c r="H2389">
        <v>1337.9044189000001</v>
      </c>
      <c r="I2389">
        <v>1326.3251952999999</v>
      </c>
      <c r="J2389">
        <v>1324.2454834</v>
      </c>
      <c r="K2389">
        <v>2750</v>
      </c>
      <c r="L2389">
        <v>0</v>
      </c>
      <c r="M2389">
        <v>0</v>
      </c>
      <c r="N2389">
        <v>2750</v>
      </c>
    </row>
    <row r="2390" spans="1:14" x14ac:dyDescent="0.25">
      <c r="A2390">
        <v>1469.6869380000001</v>
      </c>
      <c r="B2390" s="1">
        <f>DATE(2014,5,9) + TIME(16,29,11)</f>
        <v>41768.686932870369</v>
      </c>
      <c r="C2390">
        <v>80</v>
      </c>
      <c r="D2390">
        <v>79.981262207</v>
      </c>
      <c r="E2390">
        <v>50</v>
      </c>
      <c r="F2390">
        <v>49.545429230000003</v>
      </c>
      <c r="G2390">
        <v>1340.6934814000001</v>
      </c>
      <c r="H2390">
        <v>1337.9019774999999</v>
      </c>
      <c r="I2390">
        <v>1326.3238524999999</v>
      </c>
      <c r="J2390">
        <v>1324.2437743999999</v>
      </c>
      <c r="K2390">
        <v>2750</v>
      </c>
      <c r="L2390">
        <v>0</v>
      </c>
      <c r="M2390">
        <v>0</v>
      </c>
      <c r="N2390">
        <v>2750</v>
      </c>
    </row>
    <row r="2391" spans="1:14" x14ac:dyDescent="0.25">
      <c r="A2391">
        <v>1469.935896</v>
      </c>
      <c r="B2391" s="1">
        <f>DATE(2014,5,9) + TIME(22,27,41)</f>
        <v>41768.935891203706</v>
      </c>
      <c r="C2391">
        <v>80</v>
      </c>
      <c r="D2391">
        <v>79.981231688999998</v>
      </c>
      <c r="E2391">
        <v>50</v>
      </c>
      <c r="F2391">
        <v>49.535099029999998</v>
      </c>
      <c r="G2391">
        <v>1340.6859131000001</v>
      </c>
      <c r="H2391">
        <v>1337.8995361</v>
      </c>
      <c r="I2391">
        <v>1326.3223877</v>
      </c>
      <c r="J2391">
        <v>1324.2419434000001</v>
      </c>
      <c r="K2391">
        <v>2750</v>
      </c>
      <c r="L2391">
        <v>0</v>
      </c>
      <c r="M2391">
        <v>0</v>
      </c>
      <c r="N2391">
        <v>2750</v>
      </c>
    </row>
    <row r="2392" spans="1:14" x14ac:dyDescent="0.25">
      <c r="A2392">
        <v>1470.188825</v>
      </c>
      <c r="B2392" s="1">
        <f>DATE(2014,5,10) + TIME(4,31,54)</f>
        <v>41769.188819444447</v>
      </c>
      <c r="C2392">
        <v>80</v>
      </c>
      <c r="D2392">
        <v>79.981201171999999</v>
      </c>
      <c r="E2392">
        <v>50</v>
      </c>
      <c r="F2392">
        <v>49.524635314999998</v>
      </c>
      <c r="G2392">
        <v>1340.6782227000001</v>
      </c>
      <c r="H2392">
        <v>1337.8970947</v>
      </c>
      <c r="I2392">
        <v>1326.3209228999999</v>
      </c>
      <c r="J2392">
        <v>1324.2399902</v>
      </c>
      <c r="K2392">
        <v>2750</v>
      </c>
      <c r="L2392">
        <v>0</v>
      </c>
      <c r="M2392">
        <v>0</v>
      </c>
      <c r="N2392">
        <v>2750</v>
      </c>
    </row>
    <row r="2393" spans="1:14" x14ac:dyDescent="0.25">
      <c r="A2393">
        <v>1470.4463909999999</v>
      </c>
      <c r="B2393" s="1">
        <f>DATE(2014,5,10) + TIME(10,42,48)</f>
        <v>41769.446388888886</v>
      </c>
      <c r="C2393">
        <v>80</v>
      </c>
      <c r="D2393">
        <v>79.981163025000001</v>
      </c>
      <c r="E2393">
        <v>50</v>
      </c>
      <c r="F2393">
        <v>49.514030456999997</v>
      </c>
      <c r="G2393">
        <v>1340.6706543</v>
      </c>
      <c r="H2393">
        <v>1337.8946533000001</v>
      </c>
      <c r="I2393">
        <v>1326.3194579999999</v>
      </c>
      <c r="J2393">
        <v>1324.2379149999999</v>
      </c>
      <c r="K2393">
        <v>2750</v>
      </c>
      <c r="L2393">
        <v>0</v>
      </c>
      <c r="M2393">
        <v>0</v>
      </c>
      <c r="N2393">
        <v>2750</v>
      </c>
    </row>
    <row r="2394" spans="1:14" x14ac:dyDescent="0.25">
      <c r="A2394">
        <v>1470.7092050000001</v>
      </c>
      <c r="B2394" s="1">
        <f>DATE(2014,5,10) + TIME(17,1,15)</f>
        <v>41769.709201388891</v>
      </c>
      <c r="C2394">
        <v>80</v>
      </c>
      <c r="D2394">
        <v>79.981132506999998</v>
      </c>
      <c r="E2394">
        <v>50</v>
      </c>
      <c r="F2394">
        <v>49.503261565999999</v>
      </c>
      <c r="G2394">
        <v>1340.6629639</v>
      </c>
      <c r="H2394">
        <v>1337.8923339999999</v>
      </c>
      <c r="I2394">
        <v>1326.3178711</v>
      </c>
      <c r="J2394">
        <v>1324.2358397999999</v>
      </c>
      <c r="K2394">
        <v>2750</v>
      </c>
      <c r="L2394">
        <v>0</v>
      </c>
      <c r="M2394">
        <v>0</v>
      </c>
      <c r="N2394">
        <v>2750</v>
      </c>
    </row>
    <row r="2395" spans="1:14" x14ac:dyDescent="0.25">
      <c r="A2395">
        <v>1470.977938</v>
      </c>
      <c r="B2395" s="1">
        <f>DATE(2014,5,10) + TIME(23,28,13)</f>
        <v>41769.97792824074</v>
      </c>
      <c r="C2395">
        <v>80</v>
      </c>
      <c r="D2395">
        <v>79.981101989999999</v>
      </c>
      <c r="E2395">
        <v>50</v>
      </c>
      <c r="F2395">
        <v>49.492321013999998</v>
      </c>
      <c r="G2395">
        <v>1340.6553954999999</v>
      </c>
      <c r="H2395">
        <v>1337.8898925999999</v>
      </c>
      <c r="I2395">
        <v>1326.3161620999999</v>
      </c>
      <c r="J2395">
        <v>1324.2336425999999</v>
      </c>
      <c r="K2395">
        <v>2750</v>
      </c>
      <c r="L2395">
        <v>0</v>
      </c>
      <c r="M2395">
        <v>0</v>
      </c>
      <c r="N2395">
        <v>2750</v>
      </c>
    </row>
    <row r="2396" spans="1:14" x14ac:dyDescent="0.25">
      <c r="A2396">
        <v>1471.2533289999999</v>
      </c>
      <c r="B2396" s="1">
        <f>DATE(2014,5,11) + TIME(6,4,47)</f>
        <v>41770.253321759257</v>
      </c>
      <c r="C2396">
        <v>80</v>
      </c>
      <c r="D2396">
        <v>79.981063843000001</v>
      </c>
      <c r="E2396">
        <v>50</v>
      </c>
      <c r="F2396">
        <v>49.481182097999998</v>
      </c>
      <c r="G2396">
        <v>1340.6478271000001</v>
      </c>
      <c r="H2396">
        <v>1337.8874512</v>
      </c>
      <c r="I2396">
        <v>1326.3144531</v>
      </c>
      <c r="J2396">
        <v>1324.2314452999999</v>
      </c>
      <c r="K2396">
        <v>2750</v>
      </c>
      <c r="L2396">
        <v>0</v>
      </c>
      <c r="M2396">
        <v>0</v>
      </c>
      <c r="N2396">
        <v>2750</v>
      </c>
    </row>
    <row r="2397" spans="1:14" x14ac:dyDescent="0.25">
      <c r="A2397">
        <v>1471.5362009999999</v>
      </c>
      <c r="B2397" s="1">
        <f>DATE(2014,5,11) + TIME(12,52,7)</f>
        <v>41770.536192129628</v>
      </c>
      <c r="C2397">
        <v>80</v>
      </c>
      <c r="D2397">
        <v>79.981033324999999</v>
      </c>
      <c r="E2397">
        <v>50</v>
      </c>
      <c r="F2397">
        <v>49.469821930000002</v>
      </c>
      <c r="G2397">
        <v>1340.6401367000001</v>
      </c>
      <c r="H2397">
        <v>1337.8851318</v>
      </c>
      <c r="I2397">
        <v>1326.3127440999999</v>
      </c>
      <c r="J2397">
        <v>1324.229126</v>
      </c>
      <c r="K2397">
        <v>2750</v>
      </c>
      <c r="L2397">
        <v>0</v>
      </c>
      <c r="M2397">
        <v>0</v>
      </c>
      <c r="N2397">
        <v>2750</v>
      </c>
    </row>
    <row r="2398" spans="1:14" x14ac:dyDescent="0.25">
      <c r="A2398">
        <v>1471.8242270000001</v>
      </c>
      <c r="B2398" s="1">
        <f>DATE(2014,5,11) + TIME(19,46,53)</f>
        <v>41770.824224537035</v>
      </c>
      <c r="C2398">
        <v>80</v>
      </c>
      <c r="D2398">
        <v>79.980995178000001</v>
      </c>
      <c r="E2398">
        <v>50</v>
      </c>
      <c r="F2398">
        <v>49.458309174</v>
      </c>
      <c r="G2398">
        <v>1340.6324463000001</v>
      </c>
      <c r="H2398">
        <v>1337.8828125</v>
      </c>
      <c r="I2398">
        <v>1326.3109131000001</v>
      </c>
      <c r="J2398">
        <v>1324.2266846</v>
      </c>
      <c r="K2398">
        <v>2750</v>
      </c>
      <c r="L2398">
        <v>0</v>
      </c>
      <c r="M2398">
        <v>0</v>
      </c>
      <c r="N2398">
        <v>2750</v>
      </c>
    </row>
    <row r="2399" spans="1:14" x14ac:dyDescent="0.25">
      <c r="A2399">
        <v>1472.1169769999999</v>
      </c>
      <c r="B2399" s="1">
        <f>DATE(2014,5,12) + TIME(2,48,26)</f>
        <v>41771.116967592592</v>
      </c>
      <c r="C2399">
        <v>80</v>
      </c>
      <c r="D2399">
        <v>79.980964661000002</v>
      </c>
      <c r="E2399">
        <v>50</v>
      </c>
      <c r="F2399">
        <v>49.446662903000004</v>
      </c>
      <c r="G2399">
        <v>1340.6247559000001</v>
      </c>
      <c r="H2399">
        <v>1337.8803711</v>
      </c>
      <c r="I2399">
        <v>1326.3089600000001</v>
      </c>
      <c r="J2399">
        <v>1324.2241211</v>
      </c>
      <c r="K2399">
        <v>2750</v>
      </c>
      <c r="L2399">
        <v>0</v>
      </c>
      <c r="M2399">
        <v>0</v>
      </c>
      <c r="N2399">
        <v>2750</v>
      </c>
    </row>
    <row r="2400" spans="1:14" x14ac:dyDescent="0.25">
      <c r="A2400">
        <v>1472.4145470000001</v>
      </c>
      <c r="B2400" s="1">
        <f>DATE(2014,5,12) + TIME(9,56,56)</f>
        <v>41771.414537037039</v>
      </c>
      <c r="C2400">
        <v>80</v>
      </c>
      <c r="D2400">
        <v>79.980926514000004</v>
      </c>
      <c r="E2400">
        <v>50</v>
      </c>
      <c r="F2400">
        <v>49.434886931999998</v>
      </c>
      <c r="G2400">
        <v>1340.6171875</v>
      </c>
      <c r="H2400">
        <v>1337.8780518000001</v>
      </c>
      <c r="I2400">
        <v>1326.3070068</v>
      </c>
      <c r="J2400">
        <v>1324.2214355000001</v>
      </c>
      <c r="K2400">
        <v>2750</v>
      </c>
      <c r="L2400">
        <v>0</v>
      </c>
      <c r="M2400">
        <v>0</v>
      </c>
      <c r="N2400">
        <v>2750</v>
      </c>
    </row>
    <row r="2401" spans="1:14" x14ac:dyDescent="0.25">
      <c r="A2401">
        <v>1472.7176919999999</v>
      </c>
      <c r="B2401" s="1">
        <f>DATE(2014,5,12) + TIME(17,13,28)</f>
        <v>41771.717685185184</v>
      </c>
      <c r="C2401">
        <v>80</v>
      </c>
      <c r="D2401">
        <v>79.980895996000001</v>
      </c>
      <c r="E2401">
        <v>50</v>
      </c>
      <c r="F2401">
        <v>49.422962189000003</v>
      </c>
      <c r="G2401">
        <v>1340.6096190999999</v>
      </c>
      <c r="H2401">
        <v>1337.8758545000001</v>
      </c>
      <c r="I2401">
        <v>1326.3050536999999</v>
      </c>
      <c r="J2401">
        <v>1324.21875</v>
      </c>
      <c r="K2401">
        <v>2750</v>
      </c>
      <c r="L2401">
        <v>0</v>
      </c>
      <c r="M2401">
        <v>0</v>
      </c>
      <c r="N2401">
        <v>2750</v>
      </c>
    </row>
    <row r="2402" spans="1:14" x14ac:dyDescent="0.25">
      <c r="A2402">
        <v>1473.0292340000001</v>
      </c>
      <c r="B2402" s="1">
        <f>DATE(2014,5,13) + TIME(0,42,5)</f>
        <v>41772.029224537036</v>
      </c>
      <c r="C2402">
        <v>80</v>
      </c>
      <c r="D2402">
        <v>79.980857849000003</v>
      </c>
      <c r="E2402">
        <v>50</v>
      </c>
      <c r="F2402">
        <v>49.410816193000002</v>
      </c>
      <c r="G2402">
        <v>1340.6020507999999</v>
      </c>
      <c r="H2402">
        <v>1337.8735352000001</v>
      </c>
      <c r="I2402">
        <v>1326.3029785000001</v>
      </c>
      <c r="J2402">
        <v>1324.2159423999999</v>
      </c>
      <c r="K2402">
        <v>2750</v>
      </c>
      <c r="L2402">
        <v>0</v>
      </c>
      <c r="M2402">
        <v>0</v>
      </c>
      <c r="N2402">
        <v>2750</v>
      </c>
    </row>
    <row r="2403" spans="1:14" x14ac:dyDescent="0.25">
      <c r="A2403">
        <v>1473.35049</v>
      </c>
      <c r="B2403" s="1">
        <f>DATE(2014,5,13) + TIME(8,24,42)</f>
        <v>41772.350486111114</v>
      </c>
      <c r="C2403">
        <v>80</v>
      </c>
      <c r="D2403">
        <v>79.980827332000004</v>
      </c>
      <c r="E2403">
        <v>50</v>
      </c>
      <c r="F2403">
        <v>49.398406981999997</v>
      </c>
      <c r="G2403">
        <v>1340.5946045000001</v>
      </c>
      <c r="H2403">
        <v>1337.8713379000001</v>
      </c>
      <c r="I2403">
        <v>1326.3007812000001</v>
      </c>
      <c r="J2403">
        <v>1324.2130127</v>
      </c>
      <c r="K2403">
        <v>2750</v>
      </c>
      <c r="L2403">
        <v>0</v>
      </c>
      <c r="M2403">
        <v>0</v>
      </c>
      <c r="N2403">
        <v>2750</v>
      </c>
    </row>
    <row r="2404" spans="1:14" x14ac:dyDescent="0.25">
      <c r="A2404">
        <v>1473.6787429999999</v>
      </c>
      <c r="B2404" s="1">
        <f>DATE(2014,5,13) + TIME(16,17,23)</f>
        <v>41772.678738425922</v>
      </c>
      <c r="C2404">
        <v>80</v>
      </c>
      <c r="D2404">
        <v>79.980789185000006</v>
      </c>
      <c r="E2404">
        <v>50</v>
      </c>
      <c r="F2404">
        <v>49.385799407999997</v>
      </c>
      <c r="G2404">
        <v>1340.5869141000001</v>
      </c>
      <c r="H2404">
        <v>1337.8690185999999</v>
      </c>
      <c r="I2404">
        <v>1326.2985839999999</v>
      </c>
      <c r="J2404">
        <v>1324.2099608999999</v>
      </c>
      <c r="K2404">
        <v>2750</v>
      </c>
      <c r="L2404">
        <v>0</v>
      </c>
      <c r="M2404">
        <v>0</v>
      </c>
      <c r="N2404">
        <v>2750</v>
      </c>
    </row>
    <row r="2405" spans="1:14" x14ac:dyDescent="0.25">
      <c r="A2405">
        <v>1474.0097579999999</v>
      </c>
      <c r="B2405" s="1">
        <f>DATE(2014,5,14) + TIME(0,14,3)</f>
        <v>41773.009756944448</v>
      </c>
      <c r="C2405">
        <v>80</v>
      </c>
      <c r="D2405">
        <v>79.980758667000003</v>
      </c>
      <c r="E2405">
        <v>50</v>
      </c>
      <c r="F2405">
        <v>49.373115540000001</v>
      </c>
      <c r="G2405">
        <v>1340.5793457</v>
      </c>
      <c r="H2405">
        <v>1337.8668213000001</v>
      </c>
      <c r="I2405">
        <v>1326.2961425999999</v>
      </c>
      <c r="J2405">
        <v>1324.2067870999999</v>
      </c>
      <c r="K2405">
        <v>2750</v>
      </c>
      <c r="L2405">
        <v>0</v>
      </c>
      <c r="M2405">
        <v>0</v>
      </c>
      <c r="N2405">
        <v>2750</v>
      </c>
    </row>
    <row r="2406" spans="1:14" x14ac:dyDescent="0.25">
      <c r="A2406">
        <v>1474.3444320000001</v>
      </c>
      <c r="B2406" s="1">
        <f>DATE(2014,5,14) + TIME(8,15,58)</f>
        <v>41773.344421296293</v>
      </c>
      <c r="C2406">
        <v>80</v>
      </c>
      <c r="D2406">
        <v>79.980720520000006</v>
      </c>
      <c r="E2406">
        <v>50</v>
      </c>
      <c r="F2406">
        <v>49.360347748000002</v>
      </c>
      <c r="G2406">
        <v>1340.5717772999999</v>
      </c>
      <c r="H2406">
        <v>1337.864624</v>
      </c>
      <c r="I2406">
        <v>1326.2938231999999</v>
      </c>
      <c r="J2406">
        <v>1324.2036132999999</v>
      </c>
      <c r="K2406">
        <v>2750</v>
      </c>
      <c r="L2406">
        <v>0</v>
      </c>
      <c r="M2406">
        <v>0</v>
      </c>
      <c r="N2406">
        <v>2750</v>
      </c>
    </row>
    <row r="2407" spans="1:14" x14ac:dyDescent="0.25">
      <c r="A2407">
        <v>1474.683487</v>
      </c>
      <c r="B2407" s="1">
        <f>DATE(2014,5,14) + TIME(16,24,13)</f>
        <v>41773.683483796296</v>
      </c>
      <c r="C2407">
        <v>80</v>
      </c>
      <c r="D2407">
        <v>79.980682372999993</v>
      </c>
      <c r="E2407">
        <v>50</v>
      </c>
      <c r="F2407">
        <v>49.347484588999997</v>
      </c>
      <c r="G2407">
        <v>1340.5644531</v>
      </c>
      <c r="H2407">
        <v>1337.8625488</v>
      </c>
      <c r="I2407">
        <v>1326.2912598</v>
      </c>
      <c r="J2407">
        <v>1324.2001952999999</v>
      </c>
      <c r="K2407">
        <v>2750</v>
      </c>
      <c r="L2407">
        <v>0</v>
      </c>
      <c r="M2407">
        <v>0</v>
      </c>
      <c r="N2407">
        <v>2750</v>
      </c>
    </row>
    <row r="2408" spans="1:14" x14ac:dyDescent="0.25">
      <c r="A2408">
        <v>1475.0277779999999</v>
      </c>
      <c r="B2408" s="1">
        <f>DATE(2014,5,15) + TIME(0,40,0)</f>
        <v>41774.027777777781</v>
      </c>
      <c r="C2408">
        <v>80</v>
      </c>
      <c r="D2408">
        <v>79.980651855000005</v>
      </c>
      <c r="E2408">
        <v>50</v>
      </c>
      <c r="F2408">
        <v>49.334510803000001</v>
      </c>
      <c r="G2408">
        <v>1340.5571289</v>
      </c>
      <c r="H2408">
        <v>1337.8604736</v>
      </c>
      <c r="I2408">
        <v>1326.2888184000001</v>
      </c>
      <c r="J2408">
        <v>1324.1967772999999</v>
      </c>
      <c r="K2408">
        <v>2750</v>
      </c>
      <c r="L2408">
        <v>0</v>
      </c>
      <c r="M2408">
        <v>0</v>
      </c>
      <c r="N2408">
        <v>2750</v>
      </c>
    </row>
    <row r="2409" spans="1:14" x14ac:dyDescent="0.25">
      <c r="A2409">
        <v>1475.3782000000001</v>
      </c>
      <c r="B2409" s="1">
        <f>DATE(2014,5,15) + TIME(9,4,36)</f>
        <v>41774.378194444442</v>
      </c>
      <c r="C2409">
        <v>80</v>
      </c>
      <c r="D2409">
        <v>79.980613708000007</v>
      </c>
      <c r="E2409">
        <v>50</v>
      </c>
      <c r="F2409">
        <v>49.321403502999999</v>
      </c>
      <c r="G2409">
        <v>1340.5498047000001</v>
      </c>
      <c r="H2409">
        <v>1337.8583983999999</v>
      </c>
      <c r="I2409">
        <v>1326.2861327999999</v>
      </c>
      <c r="J2409">
        <v>1324.1932373</v>
      </c>
      <c r="K2409">
        <v>2750</v>
      </c>
      <c r="L2409">
        <v>0</v>
      </c>
      <c r="M2409">
        <v>0</v>
      </c>
      <c r="N2409">
        <v>2750</v>
      </c>
    </row>
    <row r="2410" spans="1:14" x14ac:dyDescent="0.25">
      <c r="A2410">
        <v>1475.7357019999999</v>
      </c>
      <c r="B2410" s="1">
        <f>DATE(2014,5,15) + TIME(17,39,24)</f>
        <v>41774.735694444447</v>
      </c>
      <c r="C2410">
        <v>80</v>
      </c>
      <c r="D2410">
        <v>79.980583190999994</v>
      </c>
      <c r="E2410">
        <v>50</v>
      </c>
      <c r="F2410">
        <v>49.308143616000002</v>
      </c>
      <c r="G2410">
        <v>1340.5426024999999</v>
      </c>
      <c r="H2410">
        <v>1337.8563231999999</v>
      </c>
      <c r="I2410">
        <v>1326.2834473</v>
      </c>
      <c r="J2410">
        <v>1324.1894531</v>
      </c>
      <c r="K2410">
        <v>2750</v>
      </c>
      <c r="L2410">
        <v>0</v>
      </c>
      <c r="M2410">
        <v>0</v>
      </c>
      <c r="N2410">
        <v>2750</v>
      </c>
    </row>
    <row r="2411" spans="1:14" x14ac:dyDescent="0.25">
      <c r="A2411">
        <v>1476.101328</v>
      </c>
      <c r="B2411" s="1">
        <f>DATE(2014,5,16) + TIME(2,25,54)</f>
        <v>41775.101319444446</v>
      </c>
      <c r="C2411">
        <v>80</v>
      </c>
      <c r="D2411">
        <v>79.980545043999996</v>
      </c>
      <c r="E2411">
        <v>50</v>
      </c>
      <c r="F2411">
        <v>49.294692992999998</v>
      </c>
      <c r="G2411">
        <v>1340.5354004000001</v>
      </c>
      <c r="H2411">
        <v>1337.8543701000001</v>
      </c>
      <c r="I2411">
        <v>1326.2807617000001</v>
      </c>
      <c r="J2411">
        <v>1324.1856689000001</v>
      </c>
      <c r="K2411">
        <v>2750</v>
      </c>
      <c r="L2411">
        <v>0</v>
      </c>
      <c r="M2411">
        <v>0</v>
      </c>
      <c r="N2411">
        <v>2750</v>
      </c>
    </row>
    <row r="2412" spans="1:14" x14ac:dyDescent="0.25">
      <c r="A2412">
        <v>1476.47667</v>
      </c>
      <c r="B2412" s="1">
        <f>DATE(2014,5,16) + TIME(11,26,24)</f>
        <v>41775.476666666669</v>
      </c>
      <c r="C2412">
        <v>80</v>
      </c>
      <c r="D2412">
        <v>79.980514525999993</v>
      </c>
      <c r="E2412">
        <v>50</v>
      </c>
      <c r="F2412">
        <v>49.281017302999999</v>
      </c>
      <c r="G2412">
        <v>1340.5281981999999</v>
      </c>
      <c r="H2412">
        <v>1337.8522949000001</v>
      </c>
      <c r="I2412">
        <v>1326.277832</v>
      </c>
      <c r="J2412">
        <v>1324.1816406</v>
      </c>
      <c r="K2412">
        <v>2750</v>
      </c>
      <c r="L2412">
        <v>0</v>
      </c>
      <c r="M2412">
        <v>0</v>
      </c>
      <c r="N2412">
        <v>2750</v>
      </c>
    </row>
    <row r="2413" spans="1:14" x14ac:dyDescent="0.25">
      <c r="A2413">
        <v>1476.8661070000001</v>
      </c>
      <c r="B2413" s="1">
        <f>DATE(2014,5,16) + TIME(20,47,11)</f>
        <v>41775.866099537037</v>
      </c>
      <c r="C2413">
        <v>80</v>
      </c>
      <c r="D2413">
        <v>79.980476378999995</v>
      </c>
      <c r="E2413">
        <v>50</v>
      </c>
      <c r="F2413">
        <v>49.267002106</v>
      </c>
      <c r="G2413">
        <v>1340.520874</v>
      </c>
      <c r="H2413">
        <v>1337.8503418</v>
      </c>
      <c r="I2413">
        <v>1326.2747803</v>
      </c>
      <c r="J2413">
        <v>1324.1774902</v>
      </c>
      <c r="K2413">
        <v>2750</v>
      </c>
      <c r="L2413">
        <v>0</v>
      </c>
      <c r="M2413">
        <v>0</v>
      </c>
      <c r="N2413">
        <v>2750</v>
      </c>
    </row>
    <row r="2414" spans="1:14" x14ac:dyDescent="0.25">
      <c r="A2414">
        <v>1477.262146</v>
      </c>
      <c r="B2414" s="1">
        <f>DATE(2014,5,17) + TIME(6,17,29)</f>
        <v>41776.262141203704</v>
      </c>
      <c r="C2414">
        <v>80</v>
      </c>
      <c r="D2414">
        <v>79.980445861999996</v>
      </c>
      <c r="E2414">
        <v>50</v>
      </c>
      <c r="F2414">
        <v>49.252807617000002</v>
      </c>
      <c r="G2414">
        <v>1340.5135498</v>
      </c>
      <c r="H2414">
        <v>1337.8482666</v>
      </c>
      <c r="I2414">
        <v>1326.2717285000001</v>
      </c>
      <c r="J2414">
        <v>1324.1732178</v>
      </c>
      <c r="K2414">
        <v>2750</v>
      </c>
      <c r="L2414">
        <v>0</v>
      </c>
      <c r="M2414">
        <v>0</v>
      </c>
      <c r="N2414">
        <v>2750</v>
      </c>
    </row>
    <row r="2415" spans="1:14" x14ac:dyDescent="0.25">
      <c r="A2415">
        <v>1477.664442</v>
      </c>
      <c r="B2415" s="1">
        <f>DATE(2014,5,17) + TIME(15,56,47)</f>
        <v>41776.66443287037</v>
      </c>
      <c r="C2415">
        <v>80</v>
      </c>
      <c r="D2415">
        <v>79.980407714999998</v>
      </c>
      <c r="E2415">
        <v>50</v>
      </c>
      <c r="F2415">
        <v>49.238456726000003</v>
      </c>
      <c r="G2415">
        <v>1340.5063477000001</v>
      </c>
      <c r="H2415">
        <v>1337.8463135</v>
      </c>
      <c r="I2415">
        <v>1326.2684326000001</v>
      </c>
      <c r="J2415">
        <v>1324.1687012</v>
      </c>
      <c r="K2415">
        <v>2750</v>
      </c>
      <c r="L2415">
        <v>0</v>
      </c>
      <c r="M2415">
        <v>0</v>
      </c>
      <c r="N2415">
        <v>2750</v>
      </c>
    </row>
    <row r="2416" spans="1:14" x14ac:dyDescent="0.25">
      <c r="A2416">
        <v>1478.0724499999999</v>
      </c>
      <c r="B2416" s="1">
        <f>DATE(2014,5,18) + TIME(1,44,19)</f>
        <v>41777.072442129633</v>
      </c>
      <c r="C2416">
        <v>80</v>
      </c>
      <c r="D2416">
        <v>79.980369568</v>
      </c>
      <c r="E2416">
        <v>50</v>
      </c>
      <c r="F2416">
        <v>49.223976135000001</v>
      </c>
      <c r="G2416">
        <v>1340.4990233999999</v>
      </c>
      <c r="H2416">
        <v>1337.8443603999999</v>
      </c>
      <c r="I2416">
        <v>1326.2651367000001</v>
      </c>
      <c r="J2416">
        <v>1324.1640625</v>
      </c>
      <c r="K2416">
        <v>2750</v>
      </c>
      <c r="L2416">
        <v>0</v>
      </c>
      <c r="M2416">
        <v>0</v>
      </c>
      <c r="N2416">
        <v>2750</v>
      </c>
    </row>
    <row r="2417" spans="1:14" x14ac:dyDescent="0.25">
      <c r="A2417">
        <v>1478.4885589999999</v>
      </c>
      <c r="B2417" s="1">
        <f>DATE(2014,5,18) + TIME(11,43,31)</f>
        <v>41777.488553240742</v>
      </c>
      <c r="C2417">
        <v>80</v>
      </c>
      <c r="D2417">
        <v>79.980339049999998</v>
      </c>
      <c r="E2417">
        <v>50</v>
      </c>
      <c r="F2417">
        <v>49.209323883000003</v>
      </c>
      <c r="G2417">
        <v>1340.4918213000001</v>
      </c>
      <c r="H2417">
        <v>1337.8424072</v>
      </c>
      <c r="I2417">
        <v>1326.2617187999999</v>
      </c>
      <c r="J2417">
        <v>1324.1593018000001</v>
      </c>
      <c r="K2417">
        <v>2750</v>
      </c>
      <c r="L2417">
        <v>0</v>
      </c>
      <c r="M2417">
        <v>0</v>
      </c>
      <c r="N2417">
        <v>2750</v>
      </c>
    </row>
    <row r="2418" spans="1:14" x14ac:dyDescent="0.25">
      <c r="A2418">
        <v>1478.9169710000001</v>
      </c>
      <c r="B2418" s="1">
        <f>DATE(2014,5,18) + TIME(22,0,26)</f>
        <v>41777.916967592595</v>
      </c>
      <c r="C2418">
        <v>80</v>
      </c>
      <c r="D2418">
        <v>79.980300903</v>
      </c>
      <c r="E2418">
        <v>50</v>
      </c>
      <c r="F2418">
        <v>49.194408416999998</v>
      </c>
      <c r="G2418">
        <v>1340.4847411999999</v>
      </c>
      <c r="H2418">
        <v>1337.8404541</v>
      </c>
      <c r="I2418">
        <v>1326.2580565999999</v>
      </c>
      <c r="J2418">
        <v>1324.1542969</v>
      </c>
      <c r="K2418">
        <v>2750</v>
      </c>
      <c r="L2418">
        <v>0</v>
      </c>
      <c r="M2418">
        <v>0</v>
      </c>
      <c r="N2418">
        <v>2750</v>
      </c>
    </row>
    <row r="2419" spans="1:14" x14ac:dyDescent="0.25">
      <c r="A2419">
        <v>1479.3598569999999</v>
      </c>
      <c r="B2419" s="1">
        <f>DATE(2014,5,19) + TIME(8,38,11)</f>
        <v>41778.359849537039</v>
      </c>
      <c r="C2419">
        <v>80</v>
      </c>
      <c r="D2419">
        <v>79.980270386000001</v>
      </c>
      <c r="E2419">
        <v>50</v>
      </c>
      <c r="F2419">
        <v>49.179164886000002</v>
      </c>
      <c r="G2419">
        <v>1340.4775391000001</v>
      </c>
      <c r="H2419">
        <v>1337.838501</v>
      </c>
      <c r="I2419">
        <v>1326.2543945</v>
      </c>
      <c r="J2419">
        <v>1324.1491699000001</v>
      </c>
      <c r="K2419">
        <v>2750</v>
      </c>
      <c r="L2419">
        <v>0</v>
      </c>
      <c r="M2419">
        <v>0</v>
      </c>
      <c r="N2419">
        <v>2750</v>
      </c>
    </row>
    <row r="2420" spans="1:14" x14ac:dyDescent="0.25">
      <c r="A2420">
        <v>1479.819632</v>
      </c>
      <c r="B2420" s="1">
        <f>DATE(2014,5,19) + TIME(19,40,16)</f>
        <v>41778.81962962963</v>
      </c>
      <c r="C2420">
        <v>80</v>
      </c>
      <c r="D2420">
        <v>79.980232239000003</v>
      </c>
      <c r="E2420">
        <v>50</v>
      </c>
      <c r="F2420">
        <v>49.163532257</v>
      </c>
      <c r="G2420">
        <v>1340.4703368999999</v>
      </c>
      <c r="H2420">
        <v>1337.8365478999999</v>
      </c>
      <c r="I2420">
        <v>1326.2504882999999</v>
      </c>
      <c r="J2420">
        <v>1324.1436768000001</v>
      </c>
      <c r="K2420">
        <v>2750</v>
      </c>
      <c r="L2420">
        <v>0</v>
      </c>
      <c r="M2420">
        <v>0</v>
      </c>
      <c r="N2420">
        <v>2750</v>
      </c>
    </row>
    <row r="2421" spans="1:14" x14ac:dyDescent="0.25">
      <c r="A2421">
        <v>1480.2991589999999</v>
      </c>
      <c r="B2421" s="1">
        <f>DATE(2014,5,20) + TIME(7,10,47)</f>
        <v>41779.299155092594</v>
      </c>
      <c r="C2421">
        <v>80</v>
      </c>
      <c r="D2421">
        <v>79.980194092000005</v>
      </c>
      <c r="E2421">
        <v>50</v>
      </c>
      <c r="F2421">
        <v>49.147430419999999</v>
      </c>
      <c r="G2421">
        <v>1340.4628906</v>
      </c>
      <c r="H2421">
        <v>1337.8345947</v>
      </c>
      <c r="I2421">
        <v>1326.2464600000001</v>
      </c>
      <c r="J2421">
        <v>1324.1380615</v>
      </c>
      <c r="K2421">
        <v>2750</v>
      </c>
      <c r="L2421">
        <v>0</v>
      </c>
      <c r="M2421">
        <v>0</v>
      </c>
      <c r="N2421">
        <v>2750</v>
      </c>
    </row>
    <row r="2422" spans="1:14" x14ac:dyDescent="0.25">
      <c r="A2422">
        <v>1480.7802819999999</v>
      </c>
      <c r="B2422" s="1">
        <f>DATE(2014,5,20) + TIME(18,43,36)</f>
        <v>41779.780277777776</v>
      </c>
      <c r="C2422">
        <v>80</v>
      </c>
      <c r="D2422">
        <v>79.980163574000002</v>
      </c>
      <c r="E2422">
        <v>50</v>
      </c>
      <c r="F2422">
        <v>49.131210326999998</v>
      </c>
      <c r="G2422">
        <v>1340.4554443</v>
      </c>
      <c r="H2422">
        <v>1337.8326416</v>
      </c>
      <c r="I2422">
        <v>1326.2421875</v>
      </c>
      <c r="J2422">
        <v>1324.1319579999999</v>
      </c>
      <c r="K2422">
        <v>2750</v>
      </c>
      <c r="L2422">
        <v>0</v>
      </c>
      <c r="M2422">
        <v>0</v>
      </c>
      <c r="N2422">
        <v>2750</v>
      </c>
    </row>
    <row r="2423" spans="1:14" x14ac:dyDescent="0.25">
      <c r="A2423">
        <v>1481.262309</v>
      </c>
      <c r="B2423" s="1">
        <f>DATE(2014,5,21) + TIME(6,17,43)</f>
        <v>41780.262303240743</v>
      </c>
      <c r="C2423">
        <v>80</v>
      </c>
      <c r="D2423">
        <v>79.980125427000004</v>
      </c>
      <c r="E2423">
        <v>50</v>
      </c>
      <c r="F2423">
        <v>49.114963531000001</v>
      </c>
      <c r="G2423">
        <v>1340.4481201000001</v>
      </c>
      <c r="H2423">
        <v>1337.8306885</v>
      </c>
      <c r="I2423">
        <v>1326.237793</v>
      </c>
      <c r="J2423">
        <v>1324.1258545000001</v>
      </c>
      <c r="K2423">
        <v>2750</v>
      </c>
      <c r="L2423">
        <v>0</v>
      </c>
      <c r="M2423">
        <v>0</v>
      </c>
      <c r="N2423">
        <v>2750</v>
      </c>
    </row>
    <row r="2424" spans="1:14" x14ac:dyDescent="0.25">
      <c r="A2424">
        <v>1481.7467119999999</v>
      </c>
      <c r="B2424" s="1">
        <f>DATE(2014,5,21) + TIME(17,55,15)</f>
        <v>41780.746701388889</v>
      </c>
      <c r="C2424">
        <v>80</v>
      </c>
      <c r="D2424">
        <v>79.980087280000006</v>
      </c>
      <c r="E2424">
        <v>50</v>
      </c>
      <c r="F2424">
        <v>49.098709106000001</v>
      </c>
      <c r="G2424">
        <v>1340.440918</v>
      </c>
      <c r="H2424">
        <v>1337.8288574000001</v>
      </c>
      <c r="I2424">
        <v>1326.2333983999999</v>
      </c>
      <c r="J2424">
        <v>1324.1196289</v>
      </c>
      <c r="K2424">
        <v>2750</v>
      </c>
      <c r="L2424">
        <v>0</v>
      </c>
      <c r="M2424">
        <v>0</v>
      </c>
      <c r="N2424">
        <v>2750</v>
      </c>
    </row>
    <row r="2425" spans="1:14" x14ac:dyDescent="0.25">
      <c r="A2425">
        <v>1482.2350590000001</v>
      </c>
      <c r="B2425" s="1">
        <f>DATE(2014,5,22) + TIME(5,38,29)</f>
        <v>41781.23505787037</v>
      </c>
      <c r="C2425">
        <v>80</v>
      </c>
      <c r="D2425">
        <v>79.980056762999993</v>
      </c>
      <c r="E2425">
        <v>50</v>
      </c>
      <c r="F2425">
        <v>49.082443237</v>
      </c>
      <c r="G2425">
        <v>1340.4338379000001</v>
      </c>
      <c r="H2425">
        <v>1337.8270264</v>
      </c>
      <c r="I2425">
        <v>1326.2288818</v>
      </c>
      <c r="J2425">
        <v>1324.1132812000001</v>
      </c>
      <c r="K2425">
        <v>2750</v>
      </c>
      <c r="L2425">
        <v>0</v>
      </c>
      <c r="M2425">
        <v>0</v>
      </c>
      <c r="N2425">
        <v>2750</v>
      </c>
    </row>
    <row r="2426" spans="1:14" x14ac:dyDescent="0.25">
      <c r="A2426">
        <v>1482.7288169999999</v>
      </c>
      <c r="B2426" s="1">
        <f>DATE(2014,5,22) + TIME(17,29,29)</f>
        <v>41781.728807870371</v>
      </c>
      <c r="C2426">
        <v>80</v>
      </c>
      <c r="D2426">
        <v>79.980018615999995</v>
      </c>
      <c r="E2426">
        <v>50</v>
      </c>
      <c r="F2426">
        <v>49.066139221</v>
      </c>
      <c r="G2426">
        <v>1340.4268798999999</v>
      </c>
      <c r="H2426">
        <v>1337.8251952999999</v>
      </c>
      <c r="I2426">
        <v>1326.2242432</v>
      </c>
      <c r="J2426">
        <v>1324.1066894999999</v>
      </c>
      <c r="K2426">
        <v>2750</v>
      </c>
      <c r="L2426">
        <v>0</v>
      </c>
      <c r="M2426">
        <v>0</v>
      </c>
      <c r="N2426">
        <v>2750</v>
      </c>
    </row>
    <row r="2427" spans="1:14" x14ac:dyDescent="0.25">
      <c r="A2427">
        <v>1483.229394</v>
      </c>
      <c r="B2427" s="1">
        <f>DATE(2014,5,23) + TIME(5,30,19)</f>
        <v>41782.229386574072</v>
      </c>
      <c r="C2427">
        <v>80</v>
      </c>
      <c r="D2427">
        <v>79.979988098000007</v>
      </c>
      <c r="E2427">
        <v>50</v>
      </c>
      <c r="F2427">
        <v>49.049766540999997</v>
      </c>
      <c r="G2427">
        <v>1340.4199219</v>
      </c>
      <c r="H2427">
        <v>1337.8233643000001</v>
      </c>
      <c r="I2427">
        <v>1326.2196045000001</v>
      </c>
      <c r="J2427">
        <v>1324.1000977000001</v>
      </c>
      <c r="K2427">
        <v>2750</v>
      </c>
      <c r="L2427">
        <v>0</v>
      </c>
      <c r="M2427">
        <v>0</v>
      </c>
      <c r="N2427">
        <v>2750</v>
      </c>
    </row>
    <row r="2428" spans="1:14" x14ac:dyDescent="0.25">
      <c r="A2428">
        <v>1483.738347</v>
      </c>
      <c r="B2428" s="1">
        <f>DATE(2014,5,23) + TIME(17,43,13)</f>
        <v>41782.738344907404</v>
      </c>
      <c r="C2428">
        <v>80</v>
      </c>
      <c r="D2428">
        <v>79.979949950999995</v>
      </c>
      <c r="E2428">
        <v>50</v>
      </c>
      <c r="F2428">
        <v>49.033294677999997</v>
      </c>
      <c r="G2428">
        <v>1340.4130858999999</v>
      </c>
      <c r="H2428">
        <v>1337.8215332</v>
      </c>
      <c r="I2428">
        <v>1326.2147216999999</v>
      </c>
      <c r="J2428">
        <v>1324.0932617000001</v>
      </c>
      <c r="K2428">
        <v>2750</v>
      </c>
      <c r="L2428">
        <v>0</v>
      </c>
      <c r="M2428">
        <v>0</v>
      </c>
      <c r="N2428">
        <v>2750</v>
      </c>
    </row>
    <row r="2429" spans="1:14" x14ac:dyDescent="0.25">
      <c r="A2429">
        <v>1484.2576260000001</v>
      </c>
      <c r="B2429" s="1">
        <f>DATE(2014,5,24) + TIME(6,10,58)</f>
        <v>41783.257615740738</v>
      </c>
      <c r="C2429">
        <v>80</v>
      </c>
      <c r="D2429">
        <v>79.979919433999996</v>
      </c>
      <c r="E2429">
        <v>50</v>
      </c>
      <c r="F2429">
        <v>49.016674041999998</v>
      </c>
      <c r="G2429">
        <v>1340.4063721</v>
      </c>
      <c r="H2429">
        <v>1337.8198242000001</v>
      </c>
      <c r="I2429">
        <v>1326.2098389</v>
      </c>
      <c r="J2429">
        <v>1324.0861815999999</v>
      </c>
      <c r="K2429">
        <v>2750</v>
      </c>
      <c r="L2429">
        <v>0</v>
      </c>
      <c r="M2429">
        <v>0</v>
      </c>
      <c r="N2429">
        <v>2750</v>
      </c>
    </row>
    <row r="2430" spans="1:14" x14ac:dyDescent="0.25">
      <c r="A2430">
        <v>1484.789113</v>
      </c>
      <c r="B2430" s="1">
        <f>DATE(2014,5,24) + TIME(18,56,19)</f>
        <v>41783.7891087963</v>
      </c>
      <c r="C2430">
        <v>80</v>
      </c>
      <c r="D2430">
        <v>79.979881286999998</v>
      </c>
      <c r="E2430">
        <v>50</v>
      </c>
      <c r="F2430">
        <v>48.999855042</v>
      </c>
      <c r="G2430">
        <v>1340.3995361</v>
      </c>
      <c r="H2430">
        <v>1337.8179932</v>
      </c>
      <c r="I2430">
        <v>1326.2047118999999</v>
      </c>
      <c r="J2430">
        <v>1324.0788574000001</v>
      </c>
      <c r="K2430">
        <v>2750</v>
      </c>
      <c r="L2430">
        <v>0</v>
      </c>
      <c r="M2430">
        <v>0</v>
      </c>
      <c r="N2430">
        <v>2750</v>
      </c>
    </row>
    <row r="2431" spans="1:14" x14ac:dyDescent="0.25">
      <c r="A2431">
        <v>1485.3347369999999</v>
      </c>
      <c r="B2431" s="1">
        <f>DATE(2014,5,25) + TIME(8,2,1)</f>
        <v>41784.334733796299</v>
      </c>
      <c r="C2431">
        <v>80</v>
      </c>
      <c r="D2431">
        <v>79.979850768999995</v>
      </c>
      <c r="E2431">
        <v>50</v>
      </c>
      <c r="F2431">
        <v>48.982784271</v>
      </c>
      <c r="G2431">
        <v>1340.3927002</v>
      </c>
      <c r="H2431">
        <v>1337.8162841999999</v>
      </c>
      <c r="I2431">
        <v>1326.1994629000001</v>
      </c>
      <c r="J2431">
        <v>1324.0714111</v>
      </c>
      <c r="K2431">
        <v>2750</v>
      </c>
      <c r="L2431">
        <v>0</v>
      </c>
      <c r="M2431">
        <v>0</v>
      </c>
      <c r="N2431">
        <v>2750</v>
      </c>
    </row>
    <row r="2432" spans="1:14" x14ac:dyDescent="0.25">
      <c r="A2432">
        <v>1485.9028840000001</v>
      </c>
      <c r="B2432" s="1">
        <f>DATE(2014,5,25) + TIME(21,40,9)</f>
        <v>41784.902881944443</v>
      </c>
      <c r="C2432">
        <v>80</v>
      </c>
      <c r="D2432">
        <v>79.979820251000007</v>
      </c>
      <c r="E2432">
        <v>50</v>
      </c>
      <c r="F2432">
        <v>48.965305327999999</v>
      </c>
      <c r="G2432">
        <v>1340.3858643000001</v>
      </c>
      <c r="H2432">
        <v>1337.8144531</v>
      </c>
      <c r="I2432">
        <v>1326.1939697</v>
      </c>
      <c r="J2432">
        <v>1324.0635986</v>
      </c>
      <c r="K2432">
        <v>2750</v>
      </c>
      <c r="L2432">
        <v>0</v>
      </c>
      <c r="M2432">
        <v>0</v>
      </c>
      <c r="N2432">
        <v>2750</v>
      </c>
    </row>
    <row r="2433" spans="1:14" x14ac:dyDescent="0.25">
      <c r="A2433">
        <v>1486.4827889999999</v>
      </c>
      <c r="B2433" s="1">
        <f>DATE(2014,5,26) + TIME(11,35,12)</f>
        <v>41785.482777777775</v>
      </c>
      <c r="C2433">
        <v>80</v>
      </c>
      <c r="D2433">
        <v>79.979782103999995</v>
      </c>
      <c r="E2433">
        <v>50</v>
      </c>
      <c r="F2433">
        <v>48.947555542000003</v>
      </c>
      <c r="G2433">
        <v>1340.3789062000001</v>
      </c>
      <c r="H2433">
        <v>1337.8126221</v>
      </c>
      <c r="I2433">
        <v>1326.1882324000001</v>
      </c>
      <c r="J2433">
        <v>1324.0552978999999</v>
      </c>
      <c r="K2433">
        <v>2750</v>
      </c>
      <c r="L2433">
        <v>0</v>
      </c>
      <c r="M2433">
        <v>0</v>
      </c>
      <c r="N2433">
        <v>2750</v>
      </c>
    </row>
    <row r="2434" spans="1:14" x14ac:dyDescent="0.25">
      <c r="A2434">
        <v>1487.07302</v>
      </c>
      <c r="B2434" s="1">
        <f>DATE(2014,5,27) + TIME(1,45,8)</f>
        <v>41786.073009259257</v>
      </c>
      <c r="C2434">
        <v>80</v>
      </c>
      <c r="D2434">
        <v>79.979751586999996</v>
      </c>
      <c r="E2434">
        <v>50</v>
      </c>
      <c r="F2434">
        <v>48.929588318</v>
      </c>
      <c r="G2434">
        <v>1340.3719481999999</v>
      </c>
      <c r="H2434">
        <v>1337.8107910000001</v>
      </c>
      <c r="I2434">
        <v>1326.1823730000001</v>
      </c>
      <c r="J2434">
        <v>1324.046875</v>
      </c>
      <c r="K2434">
        <v>2750</v>
      </c>
      <c r="L2434">
        <v>0</v>
      </c>
      <c r="M2434">
        <v>0</v>
      </c>
      <c r="N2434">
        <v>2750</v>
      </c>
    </row>
    <row r="2435" spans="1:14" x14ac:dyDescent="0.25">
      <c r="A2435">
        <v>1487.6786259999999</v>
      </c>
      <c r="B2435" s="1">
        <f>DATE(2014,5,27) + TIME(16,17,13)</f>
        <v>41786.678622685184</v>
      </c>
      <c r="C2435">
        <v>80</v>
      </c>
      <c r="D2435">
        <v>79.979713439999998</v>
      </c>
      <c r="E2435">
        <v>50</v>
      </c>
      <c r="F2435">
        <v>48.911350249999998</v>
      </c>
      <c r="G2435">
        <v>1340.3649902</v>
      </c>
      <c r="H2435">
        <v>1337.8089600000001</v>
      </c>
      <c r="I2435">
        <v>1326.1762695</v>
      </c>
      <c r="J2435">
        <v>1324.0382079999999</v>
      </c>
      <c r="K2435">
        <v>2750</v>
      </c>
      <c r="L2435">
        <v>0</v>
      </c>
      <c r="M2435">
        <v>0</v>
      </c>
      <c r="N2435">
        <v>2750</v>
      </c>
    </row>
    <row r="2436" spans="1:14" x14ac:dyDescent="0.25">
      <c r="A2436">
        <v>1488.3059940000001</v>
      </c>
      <c r="B2436" s="1">
        <f>DATE(2014,5,28) + TIME(7,20,37)</f>
        <v>41787.305983796294</v>
      </c>
      <c r="C2436">
        <v>80</v>
      </c>
      <c r="D2436">
        <v>79.979682921999995</v>
      </c>
      <c r="E2436">
        <v>50</v>
      </c>
      <c r="F2436">
        <v>48.892730712999999</v>
      </c>
      <c r="G2436">
        <v>1340.3580322</v>
      </c>
      <c r="H2436">
        <v>1337.8071289</v>
      </c>
      <c r="I2436">
        <v>1326.1700439000001</v>
      </c>
      <c r="J2436">
        <v>1324.0291748</v>
      </c>
      <c r="K2436">
        <v>2750</v>
      </c>
      <c r="L2436">
        <v>0</v>
      </c>
      <c r="M2436">
        <v>0</v>
      </c>
      <c r="N2436">
        <v>2750</v>
      </c>
    </row>
    <row r="2437" spans="1:14" x14ac:dyDescent="0.25">
      <c r="A2437">
        <v>1488.9588960000001</v>
      </c>
      <c r="B2437" s="1">
        <f>DATE(2014,5,28) + TIME(23,0,48)</f>
        <v>41787.95888888889</v>
      </c>
      <c r="C2437">
        <v>80</v>
      </c>
      <c r="D2437">
        <v>79.979644774999997</v>
      </c>
      <c r="E2437">
        <v>50</v>
      </c>
      <c r="F2437">
        <v>48.873634338000002</v>
      </c>
      <c r="G2437">
        <v>1340.3510742000001</v>
      </c>
      <c r="H2437">
        <v>1337.8052978999999</v>
      </c>
      <c r="I2437">
        <v>1326.1634521000001</v>
      </c>
      <c r="J2437">
        <v>1324.0196533000001</v>
      </c>
      <c r="K2437">
        <v>2750</v>
      </c>
      <c r="L2437">
        <v>0</v>
      </c>
      <c r="M2437">
        <v>0</v>
      </c>
      <c r="N2437">
        <v>2750</v>
      </c>
    </row>
    <row r="2438" spans="1:14" x14ac:dyDescent="0.25">
      <c r="A2438">
        <v>1489.6418860000001</v>
      </c>
      <c r="B2438" s="1">
        <f>DATE(2014,5,29) + TIME(15,24,18)</f>
        <v>41788.641875000001</v>
      </c>
      <c r="C2438">
        <v>80</v>
      </c>
      <c r="D2438">
        <v>79.979614257999998</v>
      </c>
      <c r="E2438">
        <v>50</v>
      </c>
      <c r="F2438">
        <v>48.853961945000002</v>
      </c>
      <c r="G2438">
        <v>1340.3438721</v>
      </c>
      <c r="H2438">
        <v>1337.8033447</v>
      </c>
      <c r="I2438">
        <v>1326.1564940999999</v>
      </c>
      <c r="J2438">
        <v>1324.0097656</v>
      </c>
      <c r="K2438">
        <v>2750</v>
      </c>
      <c r="L2438">
        <v>0</v>
      </c>
      <c r="M2438">
        <v>0</v>
      </c>
      <c r="N2438">
        <v>2750</v>
      </c>
    </row>
    <row r="2439" spans="1:14" x14ac:dyDescent="0.25">
      <c r="A2439">
        <v>1490.3399280000001</v>
      </c>
      <c r="B2439" s="1">
        <f>DATE(2014,5,30) + TIME(8,9,29)</f>
        <v>41789.339918981481</v>
      </c>
      <c r="C2439">
        <v>80</v>
      </c>
      <c r="D2439">
        <v>79.979576111</v>
      </c>
      <c r="E2439">
        <v>50</v>
      </c>
      <c r="F2439">
        <v>48.833896637000002</v>
      </c>
      <c r="G2439">
        <v>1340.3364257999999</v>
      </c>
      <c r="H2439">
        <v>1337.8013916</v>
      </c>
      <c r="I2439">
        <v>1326.1492920000001</v>
      </c>
      <c r="J2439">
        <v>1323.9992675999999</v>
      </c>
      <c r="K2439">
        <v>2750</v>
      </c>
      <c r="L2439">
        <v>0</v>
      </c>
      <c r="M2439">
        <v>0</v>
      </c>
      <c r="N2439">
        <v>2750</v>
      </c>
    </row>
    <row r="2440" spans="1:14" x14ac:dyDescent="0.25">
      <c r="A2440">
        <v>1491.0451680000001</v>
      </c>
      <c r="B2440" s="1">
        <f>DATE(2014,5,31) + TIME(1,5,2)</f>
        <v>41790.045162037037</v>
      </c>
      <c r="C2440">
        <v>80</v>
      </c>
      <c r="D2440">
        <v>79.979545592999997</v>
      </c>
      <c r="E2440">
        <v>50</v>
      </c>
      <c r="F2440">
        <v>48.813629149999997</v>
      </c>
      <c r="G2440">
        <v>1340.3291016000001</v>
      </c>
      <c r="H2440">
        <v>1337.7994385</v>
      </c>
      <c r="I2440">
        <v>1326.1418457</v>
      </c>
      <c r="J2440">
        <v>1323.9885254000001</v>
      </c>
      <c r="K2440">
        <v>2750</v>
      </c>
      <c r="L2440">
        <v>0</v>
      </c>
      <c r="M2440">
        <v>0</v>
      </c>
      <c r="N2440">
        <v>2750</v>
      </c>
    </row>
    <row r="2441" spans="1:14" x14ac:dyDescent="0.25">
      <c r="A2441">
        <v>1491.7611429999999</v>
      </c>
      <c r="B2441" s="1">
        <f>DATE(2014,5,31) + TIME(18,16,2)</f>
        <v>41790.761134259257</v>
      </c>
      <c r="C2441">
        <v>80</v>
      </c>
      <c r="D2441">
        <v>79.979507446</v>
      </c>
      <c r="E2441">
        <v>50</v>
      </c>
      <c r="F2441">
        <v>48.793212891000003</v>
      </c>
      <c r="G2441">
        <v>1340.3218993999999</v>
      </c>
      <c r="H2441">
        <v>1337.7974853999999</v>
      </c>
      <c r="I2441">
        <v>1326.1341553</v>
      </c>
      <c r="J2441">
        <v>1323.9774170000001</v>
      </c>
      <c r="K2441">
        <v>2750</v>
      </c>
      <c r="L2441">
        <v>0</v>
      </c>
      <c r="M2441">
        <v>0</v>
      </c>
      <c r="N2441">
        <v>2750</v>
      </c>
    </row>
    <row r="2442" spans="1:14" x14ac:dyDescent="0.25">
      <c r="A2442">
        <v>1492</v>
      </c>
      <c r="B2442" s="1">
        <f>DATE(2014,6,1) + TIME(0,0,0)</f>
        <v>41791</v>
      </c>
      <c r="C2442">
        <v>80</v>
      </c>
      <c r="D2442">
        <v>79.979484557999996</v>
      </c>
      <c r="E2442">
        <v>50</v>
      </c>
      <c r="F2442">
        <v>48.783161163000003</v>
      </c>
      <c r="G2442">
        <v>1340.3146973</v>
      </c>
      <c r="H2442">
        <v>1337.7954102000001</v>
      </c>
      <c r="I2442">
        <v>1326.1271973</v>
      </c>
      <c r="J2442">
        <v>1323.9676514</v>
      </c>
      <c r="K2442">
        <v>2750</v>
      </c>
      <c r="L2442">
        <v>0</v>
      </c>
      <c r="M2442">
        <v>0</v>
      </c>
      <c r="N2442">
        <v>2750</v>
      </c>
    </row>
    <row r="2443" spans="1:14" x14ac:dyDescent="0.25">
      <c r="A2443">
        <v>1492.7191909999999</v>
      </c>
      <c r="B2443" s="1">
        <f>DATE(2014,6,1) + TIME(17,15,38)</f>
        <v>41791.719189814816</v>
      </c>
      <c r="C2443">
        <v>80</v>
      </c>
      <c r="D2443">
        <v>79.979461670000006</v>
      </c>
      <c r="E2443">
        <v>50</v>
      </c>
      <c r="F2443">
        <v>48.764358520999998</v>
      </c>
      <c r="G2443">
        <v>1340.3122559000001</v>
      </c>
      <c r="H2443">
        <v>1337.7947998</v>
      </c>
      <c r="I2443">
        <v>1326.1234131000001</v>
      </c>
      <c r="J2443">
        <v>1323.9615478999999</v>
      </c>
      <c r="K2443">
        <v>2750</v>
      </c>
      <c r="L2443">
        <v>0</v>
      </c>
      <c r="M2443">
        <v>0</v>
      </c>
      <c r="N2443">
        <v>2750</v>
      </c>
    </row>
    <row r="2444" spans="1:14" x14ac:dyDescent="0.25">
      <c r="A2444">
        <v>1493.441797</v>
      </c>
      <c r="B2444" s="1">
        <f>DATE(2014,6,2) + TIME(10,36,11)</f>
        <v>41792.441793981481</v>
      </c>
      <c r="C2444">
        <v>80</v>
      </c>
      <c r="D2444">
        <v>79.979431152000004</v>
      </c>
      <c r="E2444">
        <v>50</v>
      </c>
      <c r="F2444">
        <v>48.744850159000002</v>
      </c>
      <c r="G2444">
        <v>1340.3052978999999</v>
      </c>
      <c r="H2444">
        <v>1337.7928466999999</v>
      </c>
      <c r="I2444">
        <v>1326.1156006000001</v>
      </c>
      <c r="J2444">
        <v>1323.9504394999999</v>
      </c>
      <c r="K2444">
        <v>2750</v>
      </c>
      <c r="L2444">
        <v>0</v>
      </c>
      <c r="M2444">
        <v>0</v>
      </c>
      <c r="N2444">
        <v>2750</v>
      </c>
    </row>
    <row r="2445" spans="1:14" x14ac:dyDescent="0.25">
      <c r="A2445">
        <v>1494.170161</v>
      </c>
      <c r="B2445" s="1">
        <f>DATE(2014,6,3) + TIME(4,5,1)</f>
        <v>41793.17015046296</v>
      </c>
      <c r="C2445">
        <v>80</v>
      </c>
      <c r="D2445">
        <v>79.979400635000005</v>
      </c>
      <c r="E2445">
        <v>50</v>
      </c>
      <c r="F2445">
        <v>48.725009917999998</v>
      </c>
      <c r="G2445">
        <v>1340.2983397999999</v>
      </c>
      <c r="H2445">
        <v>1337.7908935999999</v>
      </c>
      <c r="I2445">
        <v>1326.1076660000001</v>
      </c>
      <c r="J2445">
        <v>1323.9388428</v>
      </c>
      <c r="K2445">
        <v>2750</v>
      </c>
      <c r="L2445">
        <v>0</v>
      </c>
      <c r="M2445">
        <v>0</v>
      </c>
      <c r="N2445">
        <v>2750</v>
      </c>
    </row>
    <row r="2446" spans="1:14" x14ac:dyDescent="0.25">
      <c r="A2446">
        <v>1494.9072659999999</v>
      </c>
      <c r="B2446" s="1">
        <f>DATE(2014,6,3) + TIME(21,46,27)</f>
        <v>41793.907256944447</v>
      </c>
      <c r="C2446">
        <v>80</v>
      </c>
      <c r="D2446">
        <v>79.979362488000007</v>
      </c>
      <c r="E2446">
        <v>50</v>
      </c>
      <c r="F2446">
        <v>48.704978943</v>
      </c>
      <c r="G2446">
        <v>1340.2915039</v>
      </c>
      <c r="H2446">
        <v>1337.7890625</v>
      </c>
      <c r="I2446">
        <v>1326.0996094</v>
      </c>
      <c r="J2446">
        <v>1323.9270019999999</v>
      </c>
      <c r="K2446">
        <v>2750</v>
      </c>
      <c r="L2446">
        <v>0</v>
      </c>
      <c r="M2446">
        <v>0</v>
      </c>
      <c r="N2446">
        <v>2750</v>
      </c>
    </row>
    <row r="2447" spans="1:14" x14ac:dyDescent="0.25">
      <c r="A2447">
        <v>1495.656082</v>
      </c>
      <c r="B2447" s="1">
        <f>DATE(2014,6,4) + TIME(15,44,45)</f>
        <v>41794.656076388892</v>
      </c>
      <c r="C2447">
        <v>80</v>
      </c>
      <c r="D2447">
        <v>79.979331970000004</v>
      </c>
      <c r="E2447">
        <v>50</v>
      </c>
      <c r="F2447">
        <v>48.684803008999999</v>
      </c>
      <c r="G2447">
        <v>1340.284668</v>
      </c>
      <c r="H2447">
        <v>1337.7871094</v>
      </c>
      <c r="I2447">
        <v>1326.0913086</v>
      </c>
      <c r="J2447">
        <v>1323.9150391000001</v>
      </c>
      <c r="K2447">
        <v>2750</v>
      </c>
      <c r="L2447">
        <v>0</v>
      </c>
      <c r="M2447">
        <v>0</v>
      </c>
      <c r="N2447">
        <v>2750</v>
      </c>
    </row>
    <row r="2448" spans="1:14" x14ac:dyDescent="0.25">
      <c r="A2448">
        <v>1496.4193230000001</v>
      </c>
      <c r="B2448" s="1">
        <f>DATE(2014,6,5) + TIME(10,3,49)</f>
        <v>41795.419317129628</v>
      </c>
      <c r="C2448">
        <v>80</v>
      </c>
      <c r="D2448">
        <v>79.979301453000005</v>
      </c>
      <c r="E2448">
        <v>50</v>
      </c>
      <c r="F2448">
        <v>48.664470672999997</v>
      </c>
      <c r="G2448">
        <v>1340.2779541</v>
      </c>
      <c r="H2448">
        <v>1337.7851562000001</v>
      </c>
      <c r="I2448">
        <v>1326.0827637</v>
      </c>
      <c r="J2448">
        <v>1323.9025879000001</v>
      </c>
      <c r="K2448">
        <v>2750</v>
      </c>
      <c r="L2448">
        <v>0</v>
      </c>
      <c r="M2448">
        <v>0</v>
      </c>
      <c r="N2448">
        <v>2750</v>
      </c>
    </row>
    <row r="2449" spans="1:14" x14ac:dyDescent="0.25">
      <c r="A2449">
        <v>1497.1999960000001</v>
      </c>
      <c r="B2449" s="1">
        <f>DATE(2014,6,6) + TIME(4,47,59)</f>
        <v>41796.199988425928</v>
      </c>
      <c r="C2449">
        <v>80</v>
      </c>
      <c r="D2449">
        <v>79.979270935000002</v>
      </c>
      <c r="E2449">
        <v>50</v>
      </c>
      <c r="F2449">
        <v>48.643939971999998</v>
      </c>
      <c r="G2449">
        <v>1340.2712402</v>
      </c>
      <c r="H2449">
        <v>1337.7832031</v>
      </c>
      <c r="I2449">
        <v>1326.0740966999999</v>
      </c>
      <c r="J2449">
        <v>1323.8898925999999</v>
      </c>
      <c r="K2449">
        <v>2750</v>
      </c>
      <c r="L2449">
        <v>0</v>
      </c>
      <c r="M2449">
        <v>0</v>
      </c>
      <c r="N2449">
        <v>2750</v>
      </c>
    </row>
    <row r="2450" spans="1:14" x14ac:dyDescent="0.25">
      <c r="A2450">
        <v>1498.0013739999999</v>
      </c>
      <c r="B2450" s="1">
        <f>DATE(2014,6,7) + TIME(0,1,58)</f>
        <v>41797.00136574074</v>
      </c>
      <c r="C2450">
        <v>80</v>
      </c>
      <c r="D2450">
        <v>79.979240417</v>
      </c>
      <c r="E2450">
        <v>50</v>
      </c>
      <c r="F2450">
        <v>48.623157501000001</v>
      </c>
      <c r="G2450">
        <v>1340.2645264</v>
      </c>
      <c r="H2450">
        <v>1337.78125</v>
      </c>
      <c r="I2450">
        <v>1326.0651855000001</v>
      </c>
      <c r="J2450">
        <v>1323.8768310999999</v>
      </c>
      <c r="K2450">
        <v>2750</v>
      </c>
      <c r="L2450">
        <v>0</v>
      </c>
      <c r="M2450">
        <v>0</v>
      </c>
      <c r="N2450">
        <v>2750</v>
      </c>
    </row>
    <row r="2451" spans="1:14" x14ac:dyDescent="0.25">
      <c r="A2451">
        <v>1498.8305330000001</v>
      </c>
      <c r="B2451" s="1">
        <f>DATE(2014,6,7) + TIME(19,55,58)</f>
        <v>41797.83053240741</v>
      </c>
      <c r="C2451">
        <v>80</v>
      </c>
      <c r="D2451">
        <v>79.979209900000001</v>
      </c>
      <c r="E2451">
        <v>50</v>
      </c>
      <c r="F2451">
        <v>48.602008820000002</v>
      </c>
      <c r="G2451">
        <v>1340.2576904</v>
      </c>
      <c r="H2451">
        <v>1337.7792969</v>
      </c>
      <c r="I2451">
        <v>1326.0560303</v>
      </c>
      <c r="J2451">
        <v>1323.8634033000001</v>
      </c>
      <c r="K2451">
        <v>2750</v>
      </c>
      <c r="L2451">
        <v>0</v>
      </c>
      <c r="M2451">
        <v>0</v>
      </c>
      <c r="N2451">
        <v>2750</v>
      </c>
    </row>
    <row r="2452" spans="1:14" x14ac:dyDescent="0.25">
      <c r="A2452">
        <v>1499.7013609999999</v>
      </c>
      <c r="B2452" s="1">
        <f>DATE(2014,6,8) + TIME(16,49,57)</f>
        <v>41798.701354166667</v>
      </c>
      <c r="C2452">
        <v>80</v>
      </c>
      <c r="D2452">
        <v>79.979179381999998</v>
      </c>
      <c r="E2452">
        <v>50</v>
      </c>
      <c r="F2452">
        <v>48.580291748</v>
      </c>
      <c r="G2452">
        <v>1340.2507324000001</v>
      </c>
      <c r="H2452">
        <v>1337.7772216999999</v>
      </c>
      <c r="I2452">
        <v>1326.0465088000001</v>
      </c>
      <c r="J2452">
        <v>1323.8493652</v>
      </c>
      <c r="K2452">
        <v>2750</v>
      </c>
      <c r="L2452">
        <v>0</v>
      </c>
      <c r="M2452">
        <v>0</v>
      </c>
      <c r="N2452">
        <v>2750</v>
      </c>
    </row>
    <row r="2453" spans="1:14" x14ac:dyDescent="0.25">
      <c r="A2453">
        <v>1500.596458</v>
      </c>
      <c r="B2453" s="1">
        <f>DATE(2014,6,9) + TIME(14,18,53)</f>
        <v>41799.596446759257</v>
      </c>
      <c r="C2453">
        <v>80</v>
      </c>
      <c r="D2453">
        <v>79.979148864999999</v>
      </c>
      <c r="E2453">
        <v>50</v>
      </c>
      <c r="F2453">
        <v>48.558090210000003</v>
      </c>
      <c r="G2453">
        <v>1340.2436522999999</v>
      </c>
      <c r="H2453">
        <v>1337.7751464999999</v>
      </c>
      <c r="I2453">
        <v>1326.036499</v>
      </c>
      <c r="J2453">
        <v>1323.8345947</v>
      </c>
      <c r="K2453">
        <v>2750</v>
      </c>
      <c r="L2453">
        <v>0</v>
      </c>
      <c r="M2453">
        <v>0</v>
      </c>
      <c r="N2453">
        <v>2750</v>
      </c>
    </row>
    <row r="2454" spans="1:14" x14ac:dyDescent="0.25">
      <c r="A2454">
        <v>1501.50272</v>
      </c>
      <c r="B2454" s="1">
        <f>DATE(2014,6,10) + TIME(12,3,55)</f>
        <v>41800.50271990741</v>
      </c>
      <c r="C2454">
        <v>80</v>
      </c>
      <c r="D2454">
        <v>79.979118346999996</v>
      </c>
      <c r="E2454">
        <v>50</v>
      </c>
      <c r="F2454">
        <v>48.535633087000001</v>
      </c>
      <c r="G2454">
        <v>1340.2365723</v>
      </c>
      <c r="H2454">
        <v>1337.7729492000001</v>
      </c>
      <c r="I2454">
        <v>1326.0261230000001</v>
      </c>
      <c r="J2454">
        <v>1323.8193358999999</v>
      </c>
      <c r="K2454">
        <v>2750</v>
      </c>
      <c r="L2454">
        <v>0</v>
      </c>
      <c r="M2454">
        <v>0</v>
      </c>
      <c r="N2454">
        <v>2750</v>
      </c>
    </row>
    <row r="2455" spans="1:14" x14ac:dyDescent="0.25">
      <c r="A2455">
        <v>1502.4231990000001</v>
      </c>
      <c r="B2455" s="1">
        <f>DATE(2014,6,11) + TIME(10,9,24)</f>
        <v>41801.423194444447</v>
      </c>
      <c r="C2455">
        <v>80</v>
      </c>
      <c r="D2455">
        <v>79.979087829999997</v>
      </c>
      <c r="E2455">
        <v>50</v>
      </c>
      <c r="F2455">
        <v>48.513031005999999</v>
      </c>
      <c r="G2455">
        <v>1340.2294922000001</v>
      </c>
      <c r="H2455">
        <v>1337.7707519999999</v>
      </c>
      <c r="I2455">
        <v>1326.0155029</v>
      </c>
      <c r="J2455">
        <v>1323.8038329999999</v>
      </c>
      <c r="K2455">
        <v>2750</v>
      </c>
      <c r="L2455">
        <v>0</v>
      </c>
      <c r="M2455">
        <v>0</v>
      </c>
      <c r="N2455">
        <v>2750</v>
      </c>
    </row>
    <row r="2456" spans="1:14" x14ac:dyDescent="0.25">
      <c r="A2456">
        <v>1503.3610409999999</v>
      </c>
      <c r="B2456" s="1">
        <f>DATE(2014,6,12) + TIME(8,39,53)</f>
        <v>41802.361030092594</v>
      </c>
      <c r="C2456">
        <v>80</v>
      </c>
      <c r="D2456">
        <v>79.979057311999995</v>
      </c>
      <c r="E2456">
        <v>50</v>
      </c>
      <c r="F2456">
        <v>48.490299225000001</v>
      </c>
      <c r="G2456">
        <v>1340.2224120999999</v>
      </c>
      <c r="H2456">
        <v>1337.7685547000001</v>
      </c>
      <c r="I2456">
        <v>1326.0047606999999</v>
      </c>
      <c r="J2456">
        <v>1323.7878418</v>
      </c>
      <c r="K2456">
        <v>2750</v>
      </c>
      <c r="L2456">
        <v>0</v>
      </c>
      <c r="M2456">
        <v>0</v>
      </c>
      <c r="N2456">
        <v>2750</v>
      </c>
    </row>
    <row r="2457" spans="1:14" x14ac:dyDescent="0.25">
      <c r="A2457">
        <v>1504.32087</v>
      </c>
      <c r="B2457" s="1">
        <f>DATE(2014,6,13) + TIME(7,42,3)</f>
        <v>41803.320868055554</v>
      </c>
      <c r="C2457">
        <v>80</v>
      </c>
      <c r="D2457">
        <v>79.979026794000006</v>
      </c>
      <c r="E2457">
        <v>50</v>
      </c>
      <c r="F2457">
        <v>48.467399596999996</v>
      </c>
      <c r="G2457">
        <v>1340.215332</v>
      </c>
      <c r="H2457">
        <v>1337.7663574000001</v>
      </c>
      <c r="I2457">
        <v>1325.9937743999999</v>
      </c>
      <c r="J2457">
        <v>1323.7716064000001</v>
      </c>
      <c r="K2457">
        <v>2750</v>
      </c>
      <c r="L2457">
        <v>0</v>
      </c>
      <c r="M2457">
        <v>0</v>
      </c>
      <c r="N2457">
        <v>2750</v>
      </c>
    </row>
    <row r="2458" spans="1:14" x14ac:dyDescent="0.25">
      <c r="A2458">
        <v>1505.303527</v>
      </c>
      <c r="B2458" s="1">
        <f>DATE(2014,6,14) + TIME(7,17,4)</f>
        <v>41804.303518518522</v>
      </c>
      <c r="C2458">
        <v>80</v>
      </c>
      <c r="D2458">
        <v>79.978996276999993</v>
      </c>
      <c r="E2458">
        <v>50</v>
      </c>
      <c r="F2458">
        <v>48.444301605</v>
      </c>
      <c r="G2458">
        <v>1340.2082519999999</v>
      </c>
      <c r="H2458">
        <v>1337.7640381000001</v>
      </c>
      <c r="I2458">
        <v>1325.9825439000001</v>
      </c>
      <c r="J2458">
        <v>1323.7548827999999</v>
      </c>
      <c r="K2458">
        <v>2750</v>
      </c>
      <c r="L2458">
        <v>0</v>
      </c>
      <c r="M2458">
        <v>0</v>
      </c>
      <c r="N2458">
        <v>2750</v>
      </c>
    </row>
    <row r="2459" spans="1:14" x14ac:dyDescent="0.25">
      <c r="A2459">
        <v>1506.3169230000001</v>
      </c>
      <c r="B2459" s="1">
        <f>DATE(2014,6,15) + TIME(7,36,22)</f>
        <v>41805.316921296297</v>
      </c>
      <c r="C2459">
        <v>80</v>
      </c>
      <c r="D2459">
        <v>79.978965759000005</v>
      </c>
      <c r="E2459">
        <v>50</v>
      </c>
      <c r="F2459">
        <v>48.420917510999999</v>
      </c>
      <c r="G2459">
        <v>1340.2011719</v>
      </c>
      <c r="H2459">
        <v>1337.7618408000001</v>
      </c>
      <c r="I2459">
        <v>1325.9709473</v>
      </c>
      <c r="J2459">
        <v>1323.7376709</v>
      </c>
      <c r="K2459">
        <v>2750</v>
      </c>
      <c r="L2459">
        <v>0</v>
      </c>
      <c r="M2459">
        <v>0</v>
      </c>
      <c r="N2459">
        <v>2750</v>
      </c>
    </row>
    <row r="2460" spans="1:14" x14ac:dyDescent="0.25">
      <c r="A2460">
        <v>1507.344642</v>
      </c>
      <c r="B2460" s="1">
        <f>DATE(2014,6,16) + TIME(8,16,17)</f>
        <v>41806.344641203701</v>
      </c>
      <c r="C2460">
        <v>80</v>
      </c>
      <c r="D2460">
        <v>79.978942871000001</v>
      </c>
      <c r="E2460">
        <v>50</v>
      </c>
      <c r="F2460">
        <v>48.397361754999999</v>
      </c>
      <c r="G2460">
        <v>1340.1939697</v>
      </c>
      <c r="H2460">
        <v>1337.7595214999999</v>
      </c>
      <c r="I2460">
        <v>1325.9589844</v>
      </c>
      <c r="J2460">
        <v>1323.7199707</v>
      </c>
      <c r="K2460">
        <v>2750</v>
      </c>
      <c r="L2460">
        <v>0</v>
      </c>
      <c r="M2460">
        <v>0</v>
      </c>
      <c r="N2460">
        <v>2750</v>
      </c>
    </row>
    <row r="2461" spans="1:14" x14ac:dyDescent="0.25">
      <c r="A2461">
        <v>1508.3777459999999</v>
      </c>
      <c r="B2461" s="1">
        <f>DATE(2014,6,17) + TIME(9,3,57)</f>
        <v>41807.377743055556</v>
      </c>
      <c r="C2461">
        <v>80</v>
      </c>
      <c r="D2461">
        <v>79.978912354000002</v>
      </c>
      <c r="E2461">
        <v>50</v>
      </c>
      <c r="F2461">
        <v>48.373832702999998</v>
      </c>
      <c r="G2461">
        <v>1340.1868896000001</v>
      </c>
      <c r="H2461">
        <v>1337.7570800999999</v>
      </c>
      <c r="I2461">
        <v>1325.9468993999999</v>
      </c>
      <c r="J2461">
        <v>1323.7020264</v>
      </c>
      <c r="K2461">
        <v>2750</v>
      </c>
      <c r="L2461">
        <v>0</v>
      </c>
      <c r="M2461">
        <v>0</v>
      </c>
      <c r="N2461">
        <v>2750</v>
      </c>
    </row>
    <row r="2462" spans="1:14" x14ac:dyDescent="0.25">
      <c r="A2462">
        <v>1509.420793</v>
      </c>
      <c r="B2462" s="1">
        <f>DATE(2014,6,18) + TIME(10,5,56)</f>
        <v>41808.420787037037</v>
      </c>
      <c r="C2462">
        <v>80</v>
      </c>
      <c r="D2462">
        <v>79.978881835999999</v>
      </c>
      <c r="E2462">
        <v>50</v>
      </c>
      <c r="F2462">
        <v>48.350414276000002</v>
      </c>
      <c r="G2462">
        <v>1340.1798096</v>
      </c>
      <c r="H2462">
        <v>1337.7547606999999</v>
      </c>
      <c r="I2462">
        <v>1325.9346923999999</v>
      </c>
      <c r="J2462">
        <v>1323.6837158000001</v>
      </c>
      <c r="K2462">
        <v>2750</v>
      </c>
      <c r="L2462">
        <v>0</v>
      </c>
      <c r="M2462">
        <v>0</v>
      </c>
      <c r="N2462">
        <v>2750</v>
      </c>
    </row>
    <row r="2463" spans="1:14" x14ac:dyDescent="0.25">
      <c r="A2463">
        <v>1510.4783829999999</v>
      </c>
      <c r="B2463" s="1">
        <f>DATE(2014,6,19) + TIME(11,28,52)</f>
        <v>41809.478379629632</v>
      </c>
      <c r="C2463">
        <v>80</v>
      </c>
      <c r="D2463">
        <v>79.978858947999996</v>
      </c>
      <c r="E2463">
        <v>50</v>
      </c>
      <c r="F2463">
        <v>48.327087401999997</v>
      </c>
      <c r="G2463">
        <v>1340.1729736</v>
      </c>
      <c r="H2463">
        <v>1337.7524414</v>
      </c>
      <c r="I2463">
        <v>1325.9223632999999</v>
      </c>
      <c r="J2463">
        <v>1323.6652832</v>
      </c>
      <c r="K2463">
        <v>2750</v>
      </c>
      <c r="L2463">
        <v>0</v>
      </c>
      <c r="M2463">
        <v>0</v>
      </c>
      <c r="N2463">
        <v>2750</v>
      </c>
    </row>
    <row r="2464" spans="1:14" x14ac:dyDescent="0.25">
      <c r="A2464">
        <v>1511.555599</v>
      </c>
      <c r="B2464" s="1">
        <f>DATE(2014,6,20) + TIME(13,20,3)</f>
        <v>41810.555590277778</v>
      </c>
      <c r="C2464">
        <v>80</v>
      </c>
      <c r="D2464">
        <v>79.978828429999993</v>
      </c>
      <c r="E2464">
        <v>50</v>
      </c>
      <c r="F2464">
        <v>48.303791046000001</v>
      </c>
      <c r="G2464">
        <v>1340.1660156</v>
      </c>
      <c r="H2464">
        <v>1337.7501221</v>
      </c>
      <c r="I2464">
        <v>1325.9097899999999</v>
      </c>
      <c r="J2464">
        <v>1323.6466064000001</v>
      </c>
      <c r="K2464">
        <v>2750</v>
      </c>
      <c r="L2464">
        <v>0</v>
      </c>
      <c r="M2464">
        <v>0</v>
      </c>
      <c r="N2464">
        <v>2750</v>
      </c>
    </row>
    <row r="2465" spans="1:14" x14ac:dyDescent="0.25">
      <c r="A2465">
        <v>1512.657003</v>
      </c>
      <c r="B2465" s="1">
        <f>DATE(2014,6,21) + TIME(15,46,5)</f>
        <v>41811.657002314816</v>
      </c>
      <c r="C2465">
        <v>80</v>
      </c>
      <c r="D2465">
        <v>79.978805542000003</v>
      </c>
      <c r="E2465">
        <v>50</v>
      </c>
      <c r="F2465">
        <v>48.280467987000002</v>
      </c>
      <c r="G2465">
        <v>1340.1591797000001</v>
      </c>
      <c r="H2465">
        <v>1337.7476807</v>
      </c>
      <c r="I2465">
        <v>1325.8970947</v>
      </c>
      <c r="J2465">
        <v>1323.6275635</v>
      </c>
      <c r="K2465">
        <v>2750</v>
      </c>
      <c r="L2465">
        <v>0</v>
      </c>
      <c r="M2465">
        <v>0</v>
      </c>
      <c r="N2465">
        <v>2750</v>
      </c>
    </row>
    <row r="2466" spans="1:14" x14ac:dyDescent="0.25">
      <c r="A2466">
        <v>1513.7878720000001</v>
      </c>
      <c r="B2466" s="1">
        <f>DATE(2014,6,22) + TIME(18,54,32)</f>
        <v>41812.787870370368</v>
      </c>
      <c r="C2466">
        <v>80</v>
      </c>
      <c r="D2466">
        <v>79.978775024000001</v>
      </c>
      <c r="E2466">
        <v>50</v>
      </c>
      <c r="F2466">
        <v>48.257038115999997</v>
      </c>
      <c r="G2466">
        <v>1340.1523437999999</v>
      </c>
      <c r="H2466">
        <v>1337.7453613</v>
      </c>
      <c r="I2466">
        <v>1325.8840332</v>
      </c>
      <c r="J2466">
        <v>1323.6080322</v>
      </c>
      <c r="K2466">
        <v>2750</v>
      </c>
      <c r="L2466">
        <v>0</v>
      </c>
      <c r="M2466">
        <v>0</v>
      </c>
      <c r="N2466">
        <v>2750</v>
      </c>
    </row>
    <row r="2467" spans="1:14" x14ac:dyDescent="0.25">
      <c r="A2467">
        <v>1514.9602560000001</v>
      </c>
      <c r="B2467" s="1">
        <f>DATE(2014,6,23) + TIME(23,2,46)</f>
        <v>41813.96025462963</v>
      </c>
      <c r="C2467">
        <v>80</v>
      </c>
      <c r="D2467">
        <v>79.978752135999997</v>
      </c>
      <c r="E2467">
        <v>50</v>
      </c>
      <c r="F2467">
        <v>48.233386993000003</v>
      </c>
      <c r="G2467">
        <v>1340.1453856999999</v>
      </c>
      <c r="H2467">
        <v>1337.7429199000001</v>
      </c>
      <c r="I2467">
        <v>1325.8708495999999</v>
      </c>
      <c r="J2467">
        <v>1323.5880127</v>
      </c>
      <c r="K2467">
        <v>2750</v>
      </c>
      <c r="L2467">
        <v>0</v>
      </c>
      <c r="M2467">
        <v>0</v>
      </c>
      <c r="N2467">
        <v>2750</v>
      </c>
    </row>
    <row r="2468" spans="1:14" x14ac:dyDescent="0.25">
      <c r="A2468">
        <v>1516.171278</v>
      </c>
      <c r="B2468" s="1">
        <f>DATE(2014,6,25) + TIME(4,6,38)</f>
        <v>41815.171273148146</v>
      </c>
      <c r="C2468">
        <v>80</v>
      </c>
      <c r="D2468">
        <v>79.978729247999993</v>
      </c>
      <c r="E2468">
        <v>50</v>
      </c>
      <c r="F2468">
        <v>48.209476471000002</v>
      </c>
      <c r="G2468">
        <v>1340.1383057</v>
      </c>
      <c r="H2468">
        <v>1337.7403564000001</v>
      </c>
      <c r="I2468">
        <v>1325.8570557</v>
      </c>
      <c r="J2468">
        <v>1323.5673827999999</v>
      </c>
      <c r="K2468">
        <v>2750</v>
      </c>
      <c r="L2468">
        <v>0</v>
      </c>
      <c r="M2468">
        <v>0</v>
      </c>
      <c r="N2468">
        <v>2750</v>
      </c>
    </row>
    <row r="2469" spans="1:14" x14ac:dyDescent="0.25">
      <c r="A2469">
        <v>1517.4157479999999</v>
      </c>
      <c r="B2469" s="1">
        <f>DATE(2014,6,26) + TIME(9,58,40)</f>
        <v>41816.41574074074</v>
      </c>
      <c r="C2469">
        <v>80</v>
      </c>
      <c r="D2469">
        <v>79.978706360000004</v>
      </c>
      <c r="E2469">
        <v>50</v>
      </c>
      <c r="F2469">
        <v>48.185375213999997</v>
      </c>
      <c r="G2469">
        <v>1340.1312256000001</v>
      </c>
      <c r="H2469">
        <v>1337.737793</v>
      </c>
      <c r="I2469">
        <v>1325.8430175999999</v>
      </c>
      <c r="J2469">
        <v>1323.5460204999999</v>
      </c>
      <c r="K2469">
        <v>2750</v>
      </c>
      <c r="L2469">
        <v>0</v>
      </c>
      <c r="M2469">
        <v>0</v>
      </c>
      <c r="N2469">
        <v>2750</v>
      </c>
    </row>
    <row r="2470" spans="1:14" x14ac:dyDescent="0.25">
      <c r="A2470">
        <v>1518.709501</v>
      </c>
      <c r="B2470" s="1">
        <f>DATE(2014,6,27) + TIME(17,1,40)</f>
        <v>41817.709490740737</v>
      </c>
      <c r="C2470">
        <v>80</v>
      </c>
      <c r="D2470">
        <v>79.978675842000001</v>
      </c>
      <c r="E2470">
        <v>50</v>
      </c>
      <c r="F2470">
        <v>48.161083220999998</v>
      </c>
      <c r="G2470">
        <v>1340.1241454999999</v>
      </c>
      <c r="H2470">
        <v>1337.7351074000001</v>
      </c>
      <c r="I2470">
        <v>1325.8284911999999</v>
      </c>
      <c r="J2470">
        <v>1323.5241699000001</v>
      </c>
      <c r="K2470">
        <v>2750</v>
      </c>
      <c r="L2470">
        <v>0</v>
      </c>
      <c r="M2470">
        <v>0</v>
      </c>
      <c r="N2470">
        <v>2750</v>
      </c>
    </row>
    <row r="2471" spans="1:14" x14ac:dyDescent="0.25">
      <c r="A2471">
        <v>1520.0273930000001</v>
      </c>
      <c r="B2471" s="1">
        <f>DATE(2014,6,29) + TIME(0,39,26)</f>
        <v>41819.027384259258</v>
      </c>
      <c r="C2471">
        <v>80</v>
      </c>
      <c r="D2471">
        <v>79.978652953999998</v>
      </c>
      <c r="E2471">
        <v>50</v>
      </c>
      <c r="F2471">
        <v>48.136741637999997</v>
      </c>
      <c r="G2471">
        <v>1340.1168213000001</v>
      </c>
      <c r="H2471">
        <v>1337.7324219</v>
      </c>
      <c r="I2471">
        <v>1325.8135986</v>
      </c>
      <c r="J2471">
        <v>1323.5014647999999</v>
      </c>
      <c r="K2471">
        <v>2750</v>
      </c>
      <c r="L2471">
        <v>0</v>
      </c>
      <c r="M2471">
        <v>0</v>
      </c>
      <c r="N2471">
        <v>2750</v>
      </c>
    </row>
    <row r="2472" spans="1:14" x14ac:dyDescent="0.25">
      <c r="A2472">
        <v>1521.382689</v>
      </c>
      <c r="B2472" s="1">
        <f>DATE(2014,6,30) + TIME(9,11,4)</f>
        <v>41820.382685185185</v>
      </c>
      <c r="C2472">
        <v>80</v>
      </c>
      <c r="D2472">
        <v>79.978630065999994</v>
      </c>
      <c r="E2472">
        <v>50</v>
      </c>
      <c r="F2472">
        <v>48.112506865999997</v>
      </c>
      <c r="G2472">
        <v>1340.1096190999999</v>
      </c>
      <c r="H2472">
        <v>1337.7297363</v>
      </c>
      <c r="I2472">
        <v>1325.7983397999999</v>
      </c>
      <c r="J2472">
        <v>1323.4783935999999</v>
      </c>
      <c r="K2472">
        <v>2750</v>
      </c>
      <c r="L2472">
        <v>0</v>
      </c>
      <c r="M2472">
        <v>0</v>
      </c>
      <c r="N2472">
        <v>2750</v>
      </c>
    </row>
    <row r="2473" spans="1:14" x14ac:dyDescent="0.25">
      <c r="A2473">
        <v>1522</v>
      </c>
      <c r="B2473" s="1">
        <f>DATE(2014,7,1) + TIME(0,0,0)</f>
        <v>41821</v>
      </c>
      <c r="C2473">
        <v>80</v>
      </c>
      <c r="D2473">
        <v>79.978607178000004</v>
      </c>
      <c r="E2473">
        <v>50</v>
      </c>
      <c r="F2473">
        <v>48.095630645999996</v>
      </c>
      <c r="G2473">
        <v>1340.1022949000001</v>
      </c>
      <c r="H2473">
        <v>1337.7269286999999</v>
      </c>
      <c r="I2473">
        <v>1325.7840576000001</v>
      </c>
      <c r="J2473">
        <v>1323.4567870999999</v>
      </c>
      <c r="K2473">
        <v>2750</v>
      </c>
      <c r="L2473">
        <v>0</v>
      </c>
      <c r="M2473">
        <v>0</v>
      </c>
      <c r="N2473">
        <v>2750</v>
      </c>
    </row>
    <row r="2474" spans="1:14" x14ac:dyDescent="0.25">
      <c r="A2474">
        <v>1523.4251389999999</v>
      </c>
      <c r="B2474" s="1">
        <f>DATE(2014,7,2) + TIME(10,12,12)</f>
        <v>41822.425138888888</v>
      </c>
      <c r="C2474">
        <v>80</v>
      </c>
      <c r="D2474">
        <v>79.978591918999996</v>
      </c>
      <c r="E2474">
        <v>50</v>
      </c>
      <c r="F2474">
        <v>48.075733184999997</v>
      </c>
      <c r="G2474">
        <v>1340.0991211</v>
      </c>
      <c r="H2474">
        <v>1337.7257079999999</v>
      </c>
      <c r="I2474">
        <v>1325.7744141000001</v>
      </c>
      <c r="J2474">
        <v>1323.4416504000001</v>
      </c>
      <c r="K2474">
        <v>2750</v>
      </c>
      <c r="L2474">
        <v>0</v>
      </c>
      <c r="M2474">
        <v>0</v>
      </c>
      <c r="N2474">
        <v>2750</v>
      </c>
    </row>
    <row r="2475" spans="1:14" x14ac:dyDescent="0.25">
      <c r="A2475">
        <v>1524.9422500000001</v>
      </c>
      <c r="B2475" s="1">
        <f>DATE(2014,7,3) + TIME(22,36,50)</f>
        <v>41823.942245370374</v>
      </c>
      <c r="C2475">
        <v>80</v>
      </c>
      <c r="D2475">
        <v>79.978569031000006</v>
      </c>
      <c r="E2475">
        <v>50</v>
      </c>
      <c r="F2475">
        <v>48.053058624000002</v>
      </c>
      <c r="G2475">
        <v>1340.0914307</v>
      </c>
      <c r="H2475">
        <v>1337.7227783000001</v>
      </c>
      <c r="I2475">
        <v>1325.7592772999999</v>
      </c>
      <c r="J2475">
        <v>1323.4183350000001</v>
      </c>
      <c r="K2475">
        <v>2750</v>
      </c>
      <c r="L2475">
        <v>0</v>
      </c>
      <c r="M2475">
        <v>0</v>
      </c>
      <c r="N2475">
        <v>2750</v>
      </c>
    </row>
    <row r="2476" spans="1:14" x14ac:dyDescent="0.25">
      <c r="A2476">
        <v>1526.4824229999999</v>
      </c>
      <c r="B2476" s="1">
        <f>DATE(2014,7,5) + TIME(11,34,41)</f>
        <v>41825.482418981483</v>
      </c>
      <c r="C2476">
        <v>80</v>
      </c>
      <c r="D2476">
        <v>79.978546143000003</v>
      </c>
      <c r="E2476">
        <v>50</v>
      </c>
      <c r="F2476">
        <v>48.029617309999999</v>
      </c>
      <c r="G2476">
        <v>1340.0834961</v>
      </c>
      <c r="H2476">
        <v>1337.7196045000001</v>
      </c>
      <c r="I2476">
        <v>1325.7426757999999</v>
      </c>
      <c r="J2476">
        <v>1323.3929443</v>
      </c>
      <c r="K2476">
        <v>2750</v>
      </c>
      <c r="L2476">
        <v>0</v>
      </c>
      <c r="M2476">
        <v>0</v>
      </c>
      <c r="N2476">
        <v>2750</v>
      </c>
    </row>
    <row r="2477" spans="1:14" x14ac:dyDescent="0.25">
      <c r="A2477">
        <v>1528.0239200000001</v>
      </c>
      <c r="B2477" s="1">
        <f>DATE(2014,7,7) + TIME(0,34,26)</f>
        <v>41827.023912037039</v>
      </c>
      <c r="C2477">
        <v>80</v>
      </c>
      <c r="D2477">
        <v>79.978523253999995</v>
      </c>
      <c r="E2477">
        <v>50</v>
      </c>
      <c r="F2477">
        <v>48.006782532000003</v>
      </c>
      <c r="G2477">
        <v>1340.0755615</v>
      </c>
      <c r="H2477">
        <v>1337.7163086</v>
      </c>
      <c r="I2477">
        <v>1325.7257079999999</v>
      </c>
      <c r="J2477">
        <v>1323.3668213000001</v>
      </c>
      <c r="K2477">
        <v>2750</v>
      </c>
      <c r="L2477">
        <v>0</v>
      </c>
      <c r="M2477">
        <v>0</v>
      </c>
      <c r="N2477">
        <v>2750</v>
      </c>
    </row>
    <row r="2478" spans="1:14" x14ac:dyDescent="0.25">
      <c r="A2478">
        <v>1529.56719</v>
      </c>
      <c r="B2478" s="1">
        <f>DATE(2014,7,8) + TIME(13,36,45)</f>
        <v>41828.567187499997</v>
      </c>
      <c r="C2478">
        <v>80</v>
      </c>
      <c r="D2478">
        <v>79.978500366000006</v>
      </c>
      <c r="E2478">
        <v>50</v>
      </c>
      <c r="F2478">
        <v>47.985225677000003</v>
      </c>
      <c r="G2478">
        <v>1340.067749</v>
      </c>
      <c r="H2478">
        <v>1337.7131348</v>
      </c>
      <c r="I2478">
        <v>1325.7087402</v>
      </c>
      <c r="J2478">
        <v>1323.3404541</v>
      </c>
      <c r="K2478">
        <v>2750</v>
      </c>
      <c r="L2478">
        <v>0</v>
      </c>
      <c r="M2478">
        <v>0</v>
      </c>
      <c r="N2478">
        <v>2750</v>
      </c>
    </row>
    <row r="2479" spans="1:14" x14ac:dyDescent="0.25">
      <c r="A2479">
        <v>1531.1208039999999</v>
      </c>
      <c r="B2479" s="1">
        <f>DATE(2014,7,10) + TIME(2,53,57)</f>
        <v>41830.120798611111</v>
      </c>
      <c r="C2479">
        <v>80</v>
      </c>
      <c r="D2479">
        <v>79.978485106999997</v>
      </c>
      <c r="E2479">
        <v>50</v>
      </c>
      <c r="F2479">
        <v>47.965240479000002</v>
      </c>
      <c r="G2479">
        <v>1340.0601807</v>
      </c>
      <c r="H2479">
        <v>1337.7099608999999</v>
      </c>
      <c r="I2479">
        <v>1325.6917725000001</v>
      </c>
      <c r="J2479">
        <v>1323.3142089999999</v>
      </c>
      <c r="K2479">
        <v>2750</v>
      </c>
      <c r="L2479">
        <v>0</v>
      </c>
      <c r="M2479">
        <v>0</v>
      </c>
      <c r="N2479">
        <v>2750</v>
      </c>
    </row>
    <row r="2480" spans="1:14" x14ac:dyDescent="0.25">
      <c r="A2480">
        <v>1532.692853</v>
      </c>
      <c r="B2480" s="1">
        <f>DATE(2014,7,11) + TIME(16,37,42)</f>
        <v>41831.692847222221</v>
      </c>
      <c r="C2480">
        <v>80</v>
      </c>
      <c r="D2480">
        <v>79.978462218999994</v>
      </c>
      <c r="E2480">
        <v>50</v>
      </c>
      <c r="F2480">
        <v>47.946994781000001</v>
      </c>
      <c r="G2480">
        <v>1340.0527344</v>
      </c>
      <c r="H2480">
        <v>1337.7069091999999</v>
      </c>
      <c r="I2480">
        <v>1325.6750488</v>
      </c>
      <c r="J2480">
        <v>1323.2878418</v>
      </c>
      <c r="K2480">
        <v>2750</v>
      </c>
      <c r="L2480">
        <v>0</v>
      </c>
      <c r="M2480">
        <v>0</v>
      </c>
      <c r="N2480">
        <v>2750</v>
      </c>
    </row>
    <row r="2481" spans="1:14" x14ac:dyDescent="0.25">
      <c r="A2481">
        <v>1534.2914969999999</v>
      </c>
      <c r="B2481" s="1">
        <f>DATE(2014,7,13) + TIME(6,59,45)</f>
        <v>41833.291493055556</v>
      </c>
      <c r="C2481">
        <v>80</v>
      </c>
      <c r="D2481">
        <v>79.978439331000004</v>
      </c>
      <c r="E2481">
        <v>50</v>
      </c>
      <c r="F2481">
        <v>47.930694580000001</v>
      </c>
      <c r="G2481">
        <v>1340.0454102000001</v>
      </c>
      <c r="H2481">
        <v>1337.7037353999999</v>
      </c>
      <c r="I2481">
        <v>1325.6583252</v>
      </c>
      <c r="J2481">
        <v>1323.2615966999999</v>
      </c>
      <c r="K2481">
        <v>2750</v>
      </c>
      <c r="L2481">
        <v>0</v>
      </c>
      <c r="M2481">
        <v>0</v>
      </c>
      <c r="N2481">
        <v>2750</v>
      </c>
    </row>
    <row r="2482" spans="1:14" x14ac:dyDescent="0.25">
      <c r="A2482">
        <v>1535.9253189999999</v>
      </c>
      <c r="B2482" s="1">
        <f>DATE(2014,7,14) + TIME(22,12,27)</f>
        <v>41834.925312500003</v>
      </c>
      <c r="C2482">
        <v>80</v>
      </c>
      <c r="D2482">
        <v>79.978424071999996</v>
      </c>
      <c r="E2482">
        <v>50</v>
      </c>
      <c r="F2482">
        <v>47.916591644</v>
      </c>
      <c r="G2482">
        <v>1340.0380858999999</v>
      </c>
      <c r="H2482">
        <v>1337.7006836</v>
      </c>
      <c r="I2482">
        <v>1325.6416016000001</v>
      </c>
      <c r="J2482">
        <v>1323.2352295000001</v>
      </c>
      <c r="K2482">
        <v>2750</v>
      </c>
      <c r="L2482">
        <v>0</v>
      </c>
      <c r="M2482">
        <v>0</v>
      </c>
      <c r="N2482">
        <v>2750</v>
      </c>
    </row>
    <row r="2483" spans="1:14" x14ac:dyDescent="0.25">
      <c r="A2483">
        <v>1537.6045360000001</v>
      </c>
      <c r="B2483" s="1">
        <f>DATE(2014,7,16) + TIME(14,30,31)</f>
        <v>41836.604525462964</v>
      </c>
      <c r="C2483">
        <v>80</v>
      </c>
      <c r="D2483">
        <v>79.978408813000001</v>
      </c>
      <c r="E2483">
        <v>50</v>
      </c>
      <c r="F2483">
        <v>47.905029296999999</v>
      </c>
      <c r="G2483">
        <v>1340.0308838000001</v>
      </c>
      <c r="H2483">
        <v>1337.6975098</v>
      </c>
      <c r="I2483">
        <v>1325.6247559000001</v>
      </c>
      <c r="J2483">
        <v>1323.2084961</v>
      </c>
      <c r="K2483">
        <v>2750</v>
      </c>
      <c r="L2483">
        <v>0</v>
      </c>
      <c r="M2483">
        <v>0</v>
      </c>
      <c r="N2483">
        <v>2750</v>
      </c>
    </row>
    <row r="2484" spans="1:14" x14ac:dyDescent="0.25">
      <c r="A2484">
        <v>1538.488261</v>
      </c>
      <c r="B2484" s="1">
        <f>DATE(2014,7,17) + TIME(11,43,5)</f>
        <v>41837.488252314812</v>
      </c>
      <c r="C2484">
        <v>80</v>
      </c>
      <c r="D2484">
        <v>79.978385924999998</v>
      </c>
      <c r="E2484">
        <v>50</v>
      </c>
      <c r="F2484">
        <v>47.898323058999999</v>
      </c>
      <c r="G2484">
        <v>1340.0235596</v>
      </c>
      <c r="H2484">
        <v>1337.6943358999999</v>
      </c>
      <c r="I2484">
        <v>1325.6090088000001</v>
      </c>
      <c r="J2484">
        <v>1323.1833495999999</v>
      </c>
      <c r="K2484">
        <v>2750</v>
      </c>
      <c r="L2484">
        <v>0</v>
      </c>
      <c r="M2484">
        <v>0</v>
      </c>
      <c r="N2484">
        <v>2750</v>
      </c>
    </row>
    <row r="2485" spans="1:14" x14ac:dyDescent="0.25">
      <c r="A2485">
        <v>1539.371985</v>
      </c>
      <c r="B2485" s="1">
        <f>DATE(2014,7,18) + TIME(8,55,39)</f>
        <v>41838.371979166666</v>
      </c>
      <c r="C2485">
        <v>80</v>
      </c>
      <c r="D2485">
        <v>79.978370666999993</v>
      </c>
      <c r="E2485">
        <v>50</v>
      </c>
      <c r="F2485">
        <v>47.894424438000001</v>
      </c>
      <c r="G2485">
        <v>1340.0197754000001</v>
      </c>
      <c r="H2485">
        <v>1337.6926269999999</v>
      </c>
      <c r="I2485">
        <v>1325.5983887</v>
      </c>
      <c r="J2485">
        <v>1323.1661377</v>
      </c>
      <c r="K2485">
        <v>2750</v>
      </c>
      <c r="L2485">
        <v>0</v>
      </c>
      <c r="M2485">
        <v>0</v>
      </c>
      <c r="N2485">
        <v>2750</v>
      </c>
    </row>
    <row r="2486" spans="1:14" x14ac:dyDescent="0.25">
      <c r="A2486">
        <v>1540.2557099999999</v>
      </c>
      <c r="B2486" s="1">
        <f>DATE(2014,7,19) + TIME(6,8,13)</f>
        <v>41839.255706018521</v>
      </c>
      <c r="C2486">
        <v>80</v>
      </c>
      <c r="D2486">
        <v>79.978363036999994</v>
      </c>
      <c r="E2486">
        <v>50</v>
      </c>
      <c r="F2486">
        <v>47.892471313000001</v>
      </c>
      <c r="G2486">
        <v>1340.0161132999999</v>
      </c>
      <c r="H2486">
        <v>1337.6910399999999</v>
      </c>
      <c r="I2486">
        <v>1325.5888672000001</v>
      </c>
      <c r="J2486">
        <v>1323.1507568</v>
      </c>
      <c r="K2486">
        <v>2750</v>
      </c>
      <c r="L2486">
        <v>0</v>
      </c>
      <c r="M2486">
        <v>0</v>
      </c>
      <c r="N2486">
        <v>2750</v>
      </c>
    </row>
    <row r="2487" spans="1:14" x14ac:dyDescent="0.25">
      <c r="A2487">
        <v>1541.1394339999999</v>
      </c>
      <c r="B2487" s="1">
        <f>DATE(2014,7,20) + TIME(3,20,47)</f>
        <v>41840.139432870368</v>
      </c>
      <c r="C2487">
        <v>80</v>
      </c>
      <c r="D2487">
        <v>79.978355407999999</v>
      </c>
      <c r="E2487">
        <v>50</v>
      </c>
      <c r="F2487">
        <v>47.892120361000003</v>
      </c>
      <c r="G2487">
        <v>1340.0124512</v>
      </c>
      <c r="H2487">
        <v>1337.6894531</v>
      </c>
      <c r="I2487">
        <v>1325.5799560999999</v>
      </c>
      <c r="J2487">
        <v>1323.1362305</v>
      </c>
      <c r="K2487">
        <v>2750</v>
      </c>
      <c r="L2487">
        <v>0</v>
      </c>
      <c r="M2487">
        <v>0</v>
      </c>
      <c r="N2487">
        <v>2750</v>
      </c>
    </row>
    <row r="2488" spans="1:14" x14ac:dyDescent="0.25">
      <c r="A2488">
        <v>1542.0231590000001</v>
      </c>
      <c r="B2488" s="1">
        <f>DATE(2014,7,21) + TIME(0,33,20)</f>
        <v>41841.023148148146</v>
      </c>
      <c r="C2488">
        <v>80</v>
      </c>
      <c r="D2488">
        <v>79.978347778</v>
      </c>
      <c r="E2488">
        <v>50</v>
      </c>
      <c r="F2488">
        <v>47.893280029000003</v>
      </c>
      <c r="G2488">
        <v>1340.0089111</v>
      </c>
      <c r="H2488">
        <v>1337.6877440999999</v>
      </c>
      <c r="I2488">
        <v>1325.5714111</v>
      </c>
      <c r="J2488">
        <v>1323.1221923999999</v>
      </c>
      <c r="K2488">
        <v>2750</v>
      </c>
      <c r="L2488">
        <v>0</v>
      </c>
      <c r="M2488">
        <v>0</v>
      </c>
      <c r="N2488">
        <v>2750</v>
      </c>
    </row>
    <row r="2489" spans="1:14" x14ac:dyDescent="0.25">
      <c r="A2489">
        <v>1542.906884</v>
      </c>
      <c r="B2489" s="1">
        <f>DATE(2014,7,21) + TIME(21,45,54)</f>
        <v>41841.906875000001</v>
      </c>
      <c r="C2489">
        <v>80</v>
      </c>
      <c r="D2489">
        <v>79.978340149000005</v>
      </c>
      <c r="E2489">
        <v>50</v>
      </c>
      <c r="F2489">
        <v>47.895950317</v>
      </c>
      <c r="G2489">
        <v>1340.005249</v>
      </c>
      <c r="H2489">
        <v>1337.6861572</v>
      </c>
      <c r="I2489">
        <v>1325.5629882999999</v>
      </c>
      <c r="J2489">
        <v>1323.1085204999999</v>
      </c>
      <c r="K2489">
        <v>2750</v>
      </c>
      <c r="L2489">
        <v>0</v>
      </c>
      <c r="M2489">
        <v>0</v>
      </c>
      <c r="N2489">
        <v>2750</v>
      </c>
    </row>
    <row r="2490" spans="1:14" x14ac:dyDescent="0.25">
      <c r="A2490">
        <v>1543.790608</v>
      </c>
      <c r="B2490" s="1">
        <f>DATE(2014,7,22) + TIME(18,58,28)</f>
        <v>41842.790601851855</v>
      </c>
      <c r="C2490">
        <v>80</v>
      </c>
      <c r="D2490">
        <v>79.978332519999995</v>
      </c>
      <c r="E2490">
        <v>50</v>
      </c>
      <c r="F2490">
        <v>47.900192261000001</v>
      </c>
      <c r="G2490">
        <v>1340.0017089999999</v>
      </c>
      <c r="H2490">
        <v>1337.6845702999999</v>
      </c>
      <c r="I2490">
        <v>1325.5546875</v>
      </c>
      <c r="J2490">
        <v>1323.0948486</v>
      </c>
      <c r="K2490">
        <v>2750</v>
      </c>
      <c r="L2490">
        <v>0</v>
      </c>
      <c r="M2490">
        <v>0</v>
      </c>
      <c r="N2490">
        <v>2750</v>
      </c>
    </row>
    <row r="2491" spans="1:14" x14ac:dyDescent="0.25">
      <c r="A2491">
        <v>1545.5580580000001</v>
      </c>
      <c r="B2491" s="1">
        <f>DATE(2014,7,24) + TIME(13,23,36)</f>
        <v>41844.558055555557</v>
      </c>
      <c r="C2491">
        <v>80</v>
      </c>
      <c r="D2491">
        <v>79.978332519999995</v>
      </c>
      <c r="E2491">
        <v>50</v>
      </c>
      <c r="F2491">
        <v>47.907752991000002</v>
      </c>
      <c r="G2491">
        <v>1339.9982910000001</v>
      </c>
      <c r="H2491">
        <v>1337.6829834</v>
      </c>
      <c r="I2491">
        <v>1325.5458983999999</v>
      </c>
      <c r="J2491">
        <v>1323.0803223</v>
      </c>
      <c r="K2491">
        <v>2750</v>
      </c>
      <c r="L2491">
        <v>0</v>
      </c>
      <c r="M2491">
        <v>0</v>
      </c>
      <c r="N2491">
        <v>2750</v>
      </c>
    </row>
    <row r="2492" spans="1:14" x14ac:dyDescent="0.25">
      <c r="A2492">
        <v>1547.3321100000001</v>
      </c>
      <c r="B2492" s="1">
        <f>DATE(2014,7,26) + TIME(7,58,14)</f>
        <v>41846.332106481481</v>
      </c>
      <c r="C2492">
        <v>80</v>
      </c>
      <c r="D2492">
        <v>79.978317261000001</v>
      </c>
      <c r="E2492">
        <v>50</v>
      </c>
      <c r="F2492">
        <v>47.922985077</v>
      </c>
      <c r="G2492">
        <v>1339.9912108999999</v>
      </c>
      <c r="H2492">
        <v>1337.6796875</v>
      </c>
      <c r="I2492">
        <v>1325.5322266000001</v>
      </c>
      <c r="J2492">
        <v>1323.0576172000001</v>
      </c>
      <c r="K2492">
        <v>2750</v>
      </c>
      <c r="L2492">
        <v>0</v>
      </c>
      <c r="M2492">
        <v>0</v>
      </c>
      <c r="N2492">
        <v>2750</v>
      </c>
    </row>
    <row r="2493" spans="1:14" x14ac:dyDescent="0.25">
      <c r="A2493">
        <v>1549.1305990000001</v>
      </c>
      <c r="B2493" s="1">
        <f>DATE(2014,7,28) + TIME(3,8,3)</f>
        <v>41848.130590277775</v>
      </c>
      <c r="C2493">
        <v>80</v>
      </c>
      <c r="D2493">
        <v>79.978309631000002</v>
      </c>
      <c r="E2493">
        <v>50</v>
      </c>
      <c r="F2493">
        <v>47.946269989000001</v>
      </c>
      <c r="G2493">
        <v>1339.984375</v>
      </c>
      <c r="H2493">
        <v>1337.6765137</v>
      </c>
      <c r="I2493">
        <v>1325.5174560999999</v>
      </c>
      <c r="J2493">
        <v>1323.0328368999999</v>
      </c>
      <c r="K2493">
        <v>2750</v>
      </c>
      <c r="L2493">
        <v>0</v>
      </c>
      <c r="M2493">
        <v>0</v>
      </c>
      <c r="N2493">
        <v>2750</v>
      </c>
    </row>
    <row r="2494" spans="1:14" x14ac:dyDescent="0.25">
      <c r="A2494">
        <v>1550.96199</v>
      </c>
      <c r="B2494" s="1">
        <f>DATE(2014,7,29) + TIME(23,5,15)</f>
        <v>41849.96197916667</v>
      </c>
      <c r="C2494">
        <v>80</v>
      </c>
      <c r="D2494">
        <v>79.978294372999997</v>
      </c>
      <c r="E2494">
        <v>50</v>
      </c>
      <c r="F2494">
        <v>47.978855133000003</v>
      </c>
      <c r="G2494">
        <v>1339.9776611</v>
      </c>
      <c r="H2494">
        <v>1337.6733397999999</v>
      </c>
      <c r="I2494">
        <v>1325.5025635</v>
      </c>
      <c r="J2494">
        <v>1323.0075684000001</v>
      </c>
      <c r="K2494">
        <v>2750</v>
      </c>
      <c r="L2494">
        <v>0</v>
      </c>
      <c r="M2494">
        <v>0</v>
      </c>
      <c r="N2494">
        <v>2750</v>
      </c>
    </row>
    <row r="2495" spans="1:14" x14ac:dyDescent="0.25">
      <c r="A2495">
        <v>1552.835251</v>
      </c>
      <c r="B2495" s="1">
        <f>DATE(2014,7,31) + TIME(20,2,45)</f>
        <v>41851.835243055553</v>
      </c>
      <c r="C2495">
        <v>80</v>
      </c>
      <c r="D2495">
        <v>79.978286742999998</v>
      </c>
      <c r="E2495">
        <v>50</v>
      </c>
      <c r="F2495">
        <v>48.022518157999997</v>
      </c>
      <c r="G2495">
        <v>1339.9708252</v>
      </c>
      <c r="H2495">
        <v>1337.6701660000001</v>
      </c>
      <c r="I2495">
        <v>1325.4879149999999</v>
      </c>
      <c r="J2495">
        <v>1322.9824219</v>
      </c>
      <c r="K2495">
        <v>2750</v>
      </c>
      <c r="L2495">
        <v>0</v>
      </c>
      <c r="M2495">
        <v>0</v>
      </c>
      <c r="N2495">
        <v>2750</v>
      </c>
    </row>
    <row r="2496" spans="1:14" x14ac:dyDescent="0.25">
      <c r="A2496">
        <v>1553</v>
      </c>
      <c r="B2496" s="1">
        <f>DATE(2014,8,1) + TIME(0,0,0)</f>
        <v>41852</v>
      </c>
      <c r="C2496">
        <v>80</v>
      </c>
      <c r="D2496">
        <v>79.978279114000003</v>
      </c>
      <c r="E2496">
        <v>50</v>
      </c>
      <c r="F2496">
        <v>48.037857056</v>
      </c>
      <c r="G2496">
        <v>1339.9641113</v>
      </c>
      <c r="H2496">
        <v>1337.6668701000001</v>
      </c>
      <c r="I2496">
        <v>1325.4779053</v>
      </c>
      <c r="J2496">
        <v>1322.9631348</v>
      </c>
      <c r="K2496">
        <v>2750</v>
      </c>
      <c r="L2496">
        <v>0</v>
      </c>
      <c r="M2496">
        <v>0</v>
      </c>
      <c r="N2496">
        <v>2750</v>
      </c>
    </row>
    <row r="2497" spans="1:14" x14ac:dyDescent="0.25">
      <c r="A2497">
        <v>1554.9246680000001</v>
      </c>
      <c r="B2497" s="1">
        <f>DATE(2014,8,2) + TIME(22,11,31)</f>
        <v>41853.924664351849</v>
      </c>
      <c r="C2497">
        <v>80</v>
      </c>
      <c r="D2497">
        <v>79.978271484000004</v>
      </c>
      <c r="E2497">
        <v>50</v>
      </c>
      <c r="F2497">
        <v>48.088516235</v>
      </c>
      <c r="G2497">
        <v>1339.963501</v>
      </c>
      <c r="H2497">
        <v>1337.666626</v>
      </c>
      <c r="I2497">
        <v>1325.4713135</v>
      </c>
      <c r="J2497">
        <v>1322.9537353999999</v>
      </c>
      <c r="K2497">
        <v>2750</v>
      </c>
      <c r="L2497">
        <v>0</v>
      </c>
      <c r="M2497">
        <v>0</v>
      </c>
      <c r="N2497">
        <v>2750</v>
      </c>
    </row>
    <row r="2498" spans="1:14" x14ac:dyDescent="0.25">
      <c r="A2498">
        <v>1556.9089590000001</v>
      </c>
      <c r="B2498" s="1">
        <f>DATE(2014,8,4) + TIME(21,48,54)</f>
        <v>41855.908958333333</v>
      </c>
      <c r="C2498">
        <v>80</v>
      </c>
      <c r="D2498">
        <v>79.978263854999994</v>
      </c>
      <c r="E2498">
        <v>50</v>
      </c>
      <c r="F2498">
        <v>48.161510468000003</v>
      </c>
      <c r="G2498">
        <v>1339.9566649999999</v>
      </c>
      <c r="H2498">
        <v>1337.6632079999999</v>
      </c>
      <c r="I2498">
        <v>1325.4581298999999</v>
      </c>
      <c r="J2498">
        <v>1322.9301757999999</v>
      </c>
      <c r="K2498">
        <v>2750</v>
      </c>
      <c r="L2498">
        <v>0</v>
      </c>
      <c r="M2498">
        <v>0</v>
      </c>
      <c r="N2498">
        <v>2750</v>
      </c>
    </row>
    <row r="2499" spans="1:14" x14ac:dyDescent="0.25">
      <c r="A2499">
        <v>1557.9176970000001</v>
      </c>
      <c r="B2499" s="1">
        <f>DATE(2014,8,5) + TIME(22,1,29)</f>
        <v>41856.917696759258</v>
      </c>
      <c r="C2499">
        <v>80</v>
      </c>
      <c r="D2499">
        <v>79.978248596</v>
      </c>
      <c r="E2499">
        <v>50</v>
      </c>
      <c r="F2499">
        <v>48.237499237000002</v>
      </c>
      <c r="G2499">
        <v>1339.949707</v>
      </c>
      <c r="H2499">
        <v>1337.6597899999999</v>
      </c>
      <c r="I2499">
        <v>1325.4461670000001</v>
      </c>
      <c r="J2499">
        <v>1322.9079589999999</v>
      </c>
      <c r="K2499">
        <v>2750</v>
      </c>
      <c r="L2499">
        <v>0</v>
      </c>
      <c r="M2499">
        <v>0</v>
      </c>
      <c r="N2499">
        <v>2750</v>
      </c>
    </row>
    <row r="2500" spans="1:14" x14ac:dyDescent="0.25">
      <c r="A2500">
        <v>1559.7669860000001</v>
      </c>
      <c r="B2500" s="1">
        <f>DATE(2014,8,7) + TIME(18,24,27)</f>
        <v>41858.766979166663</v>
      </c>
      <c r="C2500">
        <v>80</v>
      </c>
      <c r="D2500">
        <v>79.978248596</v>
      </c>
      <c r="E2500">
        <v>50</v>
      </c>
      <c r="F2500">
        <v>48.320037841999998</v>
      </c>
      <c r="G2500">
        <v>1339.9462891000001</v>
      </c>
      <c r="H2500">
        <v>1337.6582031</v>
      </c>
      <c r="I2500">
        <v>1325.4366454999999</v>
      </c>
      <c r="J2500">
        <v>1322.8919678</v>
      </c>
      <c r="K2500">
        <v>2750</v>
      </c>
      <c r="L2500">
        <v>0</v>
      </c>
      <c r="M2500">
        <v>0</v>
      </c>
      <c r="N2500">
        <v>2750</v>
      </c>
    </row>
    <row r="2501" spans="1:14" x14ac:dyDescent="0.25">
      <c r="A2501">
        <v>1561.705295</v>
      </c>
      <c r="B2501" s="1">
        <f>DATE(2014,8,9) + TIME(16,55,37)</f>
        <v>41860.705289351848</v>
      </c>
      <c r="C2501">
        <v>80</v>
      </c>
      <c r="D2501">
        <v>79.978240967000005</v>
      </c>
      <c r="E2501">
        <v>50</v>
      </c>
      <c r="F2501">
        <v>48.436325072999999</v>
      </c>
      <c r="G2501">
        <v>1339.9400635</v>
      </c>
      <c r="H2501">
        <v>1337.6550293</v>
      </c>
      <c r="I2501">
        <v>1325.4261475000001</v>
      </c>
      <c r="J2501">
        <v>1322.8721923999999</v>
      </c>
      <c r="K2501">
        <v>2750</v>
      </c>
      <c r="L2501">
        <v>0</v>
      </c>
      <c r="M2501">
        <v>0</v>
      </c>
      <c r="N2501">
        <v>2750</v>
      </c>
    </row>
    <row r="2502" spans="1:14" x14ac:dyDescent="0.25">
      <c r="A2502">
        <v>1563.6798249999999</v>
      </c>
      <c r="B2502" s="1">
        <f>DATE(2014,8,11) + TIME(16,18,56)</f>
        <v>41862.679814814815</v>
      </c>
      <c r="C2502">
        <v>80</v>
      </c>
      <c r="D2502">
        <v>79.978233337000006</v>
      </c>
      <c r="E2502">
        <v>50</v>
      </c>
      <c r="F2502">
        <v>48.583133697999997</v>
      </c>
      <c r="G2502">
        <v>1339.9335937999999</v>
      </c>
      <c r="H2502">
        <v>1337.6517334</v>
      </c>
      <c r="I2502">
        <v>1325.4154053</v>
      </c>
      <c r="J2502">
        <v>1322.8519286999999</v>
      </c>
      <c r="K2502">
        <v>2750</v>
      </c>
      <c r="L2502">
        <v>0</v>
      </c>
      <c r="M2502">
        <v>0</v>
      </c>
      <c r="N2502">
        <v>2750</v>
      </c>
    </row>
    <row r="2503" spans="1:14" x14ac:dyDescent="0.25">
      <c r="A2503">
        <v>1564.696387</v>
      </c>
      <c r="B2503" s="1">
        <f>DATE(2014,8,12) + TIME(16,42,47)</f>
        <v>41863.696377314816</v>
      </c>
      <c r="C2503">
        <v>80</v>
      </c>
      <c r="D2503">
        <v>79.978225707999997</v>
      </c>
      <c r="E2503">
        <v>50</v>
      </c>
      <c r="F2503">
        <v>48.727127074999999</v>
      </c>
      <c r="G2503">
        <v>1339.927124</v>
      </c>
      <c r="H2503">
        <v>1337.6484375</v>
      </c>
      <c r="I2503">
        <v>1325.4066161999999</v>
      </c>
      <c r="J2503">
        <v>1322.8336182</v>
      </c>
      <c r="K2503">
        <v>2750</v>
      </c>
      <c r="L2503">
        <v>0</v>
      </c>
      <c r="M2503">
        <v>0</v>
      </c>
      <c r="N2503">
        <v>2750</v>
      </c>
    </row>
    <row r="2504" spans="1:14" x14ac:dyDescent="0.25">
      <c r="A2504">
        <v>1566.493551</v>
      </c>
      <c r="B2504" s="1">
        <f>DATE(2014,8,14) + TIME(11,50,42)</f>
        <v>41865.493541666663</v>
      </c>
      <c r="C2504">
        <v>80</v>
      </c>
      <c r="D2504">
        <v>79.978225707999997</v>
      </c>
      <c r="E2504">
        <v>50</v>
      </c>
      <c r="F2504">
        <v>48.877002716</v>
      </c>
      <c r="G2504">
        <v>1339.9238281</v>
      </c>
      <c r="H2504">
        <v>1337.6468506000001</v>
      </c>
      <c r="I2504">
        <v>1325.3988036999999</v>
      </c>
      <c r="J2504">
        <v>1322.8209228999999</v>
      </c>
      <c r="K2504">
        <v>2750</v>
      </c>
      <c r="L2504">
        <v>0</v>
      </c>
      <c r="M2504">
        <v>0</v>
      </c>
      <c r="N2504">
        <v>2750</v>
      </c>
    </row>
    <row r="2505" spans="1:14" x14ac:dyDescent="0.25">
      <c r="A2505">
        <v>1568.4404910000001</v>
      </c>
      <c r="B2505" s="1">
        <f>DATE(2014,8,16) + TIME(10,34,18)</f>
        <v>41867.440486111111</v>
      </c>
      <c r="C2505">
        <v>80</v>
      </c>
      <c r="D2505">
        <v>79.978218079000001</v>
      </c>
      <c r="E2505">
        <v>50</v>
      </c>
      <c r="F2505">
        <v>49.078556061</v>
      </c>
      <c r="G2505">
        <v>1339.9180908000001</v>
      </c>
      <c r="H2505">
        <v>1337.6437988</v>
      </c>
      <c r="I2505">
        <v>1325.3912353999999</v>
      </c>
      <c r="J2505">
        <v>1322.8056641000001</v>
      </c>
      <c r="K2505">
        <v>2750</v>
      </c>
      <c r="L2505">
        <v>0</v>
      </c>
      <c r="M2505">
        <v>0</v>
      </c>
      <c r="N2505">
        <v>2750</v>
      </c>
    </row>
    <row r="2506" spans="1:14" x14ac:dyDescent="0.25">
      <c r="A2506">
        <v>1570.4424650000001</v>
      </c>
      <c r="B2506" s="1">
        <f>DATE(2014,8,18) + TIME(10,37,8)</f>
        <v>41869.442453703705</v>
      </c>
      <c r="C2506">
        <v>80</v>
      </c>
      <c r="D2506">
        <v>79.978218079000001</v>
      </c>
      <c r="E2506">
        <v>50</v>
      </c>
      <c r="F2506">
        <v>49.327117919999999</v>
      </c>
      <c r="G2506">
        <v>1339.9119873</v>
      </c>
      <c r="H2506">
        <v>1337.640625</v>
      </c>
      <c r="I2506">
        <v>1325.3835449000001</v>
      </c>
      <c r="J2506">
        <v>1322.7901611</v>
      </c>
      <c r="K2506">
        <v>2750</v>
      </c>
      <c r="L2506">
        <v>0</v>
      </c>
      <c r="M2506">
        <v>0</v>
      </c>
      <c r="N2506">
        <v>2750</v>
      </c>
    </row>
    <row r="2507" spans="1:14" x14ac:dyDescent="0.25">
      <c r="A2507">
        <v>1571.4634140000001</v>
      </c>
      <c r="B2507" s="1">
        <f>DATE(2014,8,19) + TIME(11,7,19)</f>
        <v>41870.463414351849</v>
      </c>
      <c r="C2507">
        <v>80</v>
      </c>
      <c r="D2507">
        <v>79.978202820000007</v>
      </c>
      <c r="E2507">
        <v>50</v>
      </c>
      <c r="F2507">
        <v>49.566158295000001</v>
      </c>
      <c r="G2507">
        <v>1339.9057617000001</v>
      </c>
      <c r="H2507">
        <v>1337.6373291</v>
      </c>
      <c r="I2507">
        <v>1325.378418</v>
      </c>
      <c r="J2507">
        <v>1322.7768555</v>
      </c>
      <c r="K2507">
        <v>2750</v>
      </c>
      <c r="L2507">
        <v>0</v>
      </c>
      <c r="M2507">
        <v>0</v>
      </c>
      <c r="N2507">
        <v>2750</v>
      </c>
    </row>
    <row r="2508" spans="1:14" x14ac:dyDescent="0.25">
      <c r="A2508">
        <v>1573.2094549999999</v>
      </c>
      <c r="B2508" s="1">
        <f>DATE(2014,8,21) + TIME(5,1,36)</f>
        <v>41872.209444444445</v>
      </c>
      <c r="C2508">
        <v>80</v>
      </c>
      <c r="D2508">
        <v>79.978202820000007</v>
      </c>
      <c r="E2508">
        <v>50</v>
      </c>
      <c r="F2508">
        <v>49.799633026000002</v>
      </c>
      <c r="G2508">
        <v>1339.9027100000001</v>
      </c>
      <c r="H2508">
        <v>1337.6357422000001</v>
      </c>
      <c r="I2508">
        <v>1325.3721923999999</v>
      </c>
      <c r="J2508">
        <v>1322.7680664</v>
      </c>
      <c r="K2508">
        <v>2750</v>
      </c>
      <c r="L2508">
        <v>0</v>
      </c>
      <c r="M2508">
        <v>0</v>
      </c>
      <c r="N2508">
        <v>2750</v>
      </c>
    </row>
    <row r="2509" spans="1:14" x14ac:dyDescent="0.25">
      <c r="A2509">
        <v>1575.172378</v>
      </c>
      <c r="B2509" s="1">
        <f>DATE(2014,8,23) + TIME(4,8,13)</f>
        <v>41874.172372685185</v>
      </c>
      <c r="C2509">
        <v>80</v>
      </c>
      <c r="D2509">
        <v>79.978202820000007</v>
      </c>
      <c r="E2509">
        <v>50</v>
      </c>
      <c r="F2509">
        <v>50.095790862999998</v>
      </c>
      <c r="G2509">
        <v>1339.8974608999999</v>
      </c>
      <c r="H2509">
        <v>1337.6329346</v>
      </c>
      <c r="I2509">
        <v>1325.3673096</v>
      </c>
      <c r="J2509">
        <v>1322.7575684000001</v>
      </c>
      <c r="K2509">
        <v>2750</v>
      </c>
      <c r="L2509">
        <v>0</v>
      </c>
      <c r="M2509">
        <v>0</v>
      </c>
      <c r="N2509">
        <v>2750</v>
      </c>
    </row>
    <row r="2510" spans="1:14" x14ac:dyDescent="0.25">
      <c r="A2510">
        <v>1577.228703</v>
      </c>
      <c r="B2510" s="1">
        <f>DATE(2014,8,25) + TIME(5,29,19)</f>
        <v>41876.228692129633</v>
      </c>
      <c r="C2510">
        <v>80</v>
      </c>
      <c r="D2510">
        <v>79.978202820000007</v>
      </c>
      <c r="E2510">
        <v>50</v>
      </c>
      <c r="F2510">
        <v>50.464477539000001</v>
      </c>
      <c r="G2510">
        <v>1339.8916016000001</v>
      </c>
      <c r="H2510">
        <v>1337.6297606999999</v>
      </c>
      <c r="I2510">
        <v>1325.3625488</v>
      </c>
      <c r="J2510">
        <v>1322.7473144999999</v>
      </c>
      <c r="K2510">
        <v>2750</v>
      </c>
      <c r="L2510">
        <v>0</v>
      </c>
      <c r="M2510">
        <v>0</v>
      </c>
      <c r="N2510">
        <v>2750</v>
      </c>
    </row>
    <row r="2511" spans="1:14" x14ac:dyDescent="0.25">
      <c r="A2511">
        <v>1579.315288</v>
      </c>
      <c r="B2511" s="1">
        <f>DATE(2014,8,27) + TIME(7,34,0)</f>
        <v>41878.31527777778</v>
      </c>
      <c r="C2511">
        <v>80</v>
      </c>
      <c r="D2511">
        <v>79.978202820000007</v>
      </c>
      <c r="E2511">
        <v>50</v>
      </c>
      <c r="F2511">
        <v>50.863201140999998</v>
      </c>
      <c r="G2511">
        <v>1339.8856201000001</v>
      </c>
      <c r="H2511">
        <v>1337.6265868999999</v>
      </c>
      <c r="I2511">
        <v>1325.3582764</v>
      </c>
      <c r="J2511">
        <v>1322.7380370999999</v>
      </c>
      <c r="K2511">
        <v>2750</v>
      </c>
      <c r="L2511">
        <v>0</v>
      </c>
      <c r="M2511">
        <v>0</v>
      </c>
      <c r="N2511">
        <v>2750</v>
      </c>
    </row>
    <row r="2512" spans="1:14" x14ac:dyDescent="0.25">
      <c r="A2512">
        <v>1581.4633249999999</v>
      </c>
      <c r="B2512" s="1">
        <f>DATE(2014,8,29) + TIME(11,7,11)</f>
        <v>41880.463321759256</v>
      </c>
      <c r="C2512">
        <v>80</v>
      </c>
      <c r="D2512">
        <v>79.978202820000007</v>
      </c>
      <c r="E2512">
        <v>50</v>
      </c>
      <c r="F2512">
        <v>51.304359435999999</v>
      </c>
      <c r="G2512">
        <v>1339.8796387</v>
      </c>
      <c r="H2512">
        <v>1337.6232910000001</v>
      </c>
      <c r="I2512">
        <v>1325.3546143000001</v>
      </c>
      <c r="J2512">
        <v>1322.7298584</v>
      </c>
      <c r="K2512">
        <v>2750</v>
      </c>
      <c r="L2512">
        <v>0</v>
      </c>
      <c r="M2512">
        <v>0</v>
      </c>
      <c r="N2512">
        <v>2750</v>
      </c>
    </row>
    <row r="2513" spans="1:14" x14ac:dyDescent="0.25">
      <c r="A2513">
        <v>1583.6640179999999</v>
      </c>
      <c r="B2513" s="1">
        <f>DATE(2014,8,31) + TIME(15,56,11)</f>
        <v>41882.6640162037</v>
      </c>
      <c r="C2513">
        <v>80</v>
      </c>
      <c r="D2513">
        <v>79.978195189999994</v>
      </c>
      <c r="E2513">
        <v>50</v>
      </c>
      <c r="F2513">
        <v>51.787376404</v>
      </c>
      <c r="G2513">
        <v>1339.8735352000001</v>
      </c>
      <c r="H2513">
        <v>1337.6199951000001</v>
      </c>
      <c r="I2513">
        <v>1325.3516846</v>
      </c>
      <c r="J2513">
        <v>1322.7232666</v>
      </c>
      <c r="K2513">
        <v>2750</v>
      </c>
      <c r="L2513">
        <v>0</v>
      </c>
      <c r="M2513">
        <v>0</v>
      </c>
      <c r="N2513">
        <v>2750</v>
      </c>
    </row>
    <row r="2514" spans="1:14" x14ac:dyDescent="0.25">
      <c r="A2514">
        <v>1584</v>
      </c>
      <c r="B2514" s="1">
        <f>DATE(2014,9,1) + TIME(0,0,0)</f>
        <v>41883</v>
      </c>
      <c r="C2514">
        <v>80</v>
      </c>
      <c r="D2514">
        <v>79.978187560999999</v>
      </c>
      <c r="E2514">
        <v>50</v>
      </c>
      <c r="F2514">
        <v>52.023849487</v>
      </c>
      <c r="G2514">
        <v>1339.8675536999999</v>
      </c>
      <c r="H2514">
        <v>1337.6166992000001</v>
      </c>
      <c r="I2514">
        <v>1325.3564452999999</v>
      </c>
      <c r="J2514">
        <v>1322.7202147999999</v>
      </c>
      <c r="K2514">
        <v>2750</v>
      </c>
      <c r="L2514">
        <v>0</v>
      </c>
      <c r="M2514">
        <v>0</v>
      </c>
      <c r="N2514">
        <v>2750</v>
      </c>
    </row>
    <row r="2515" spans="1:14" x14ac:dyDescent="0.25">
      <c r="A2515">
        <v>1586.2951439999999</v>
      </c>
      <c r="B2515" s="1">
        <f>DATE(2014,9,3) + TIME(7,5,0)</f>
        <v>41885.295138888891</v>
      </c>
      <c r="C2515">
        <v>80</v>
      </c>
      <c r="D2515">
        <v>79.978195189999994</v>
      </c>
      <c r="E2515">
        <v>50</v>
      </c>
      <c r="F2515">
        <v>52.416179657000001</v>
      </c>
      <c r="G2515">
        <v>1339.8665771000001</v>
      </c>
      <c r="H2515">
        <v>1337.6162108999999</v>
      </c>
      <c r="I2515">
        <v>1325.3485106999999</v>
      </c>
      <c r="J2515">
        <v>1322.7183838000001</v>
      </c>
      <c r="K2515">
        <v>2750</v>
      </c>
      <c r="L2515">
        <v>0</v>
      </c>
      <c r="M2515">
        <v>0</v>
      </c>
      <c r="N2515">
        <v>2750</v>
      </c>
    </row>
    <row r="2516" spans="1:14" x14ac:dyDescent="0.25">
      <c r="A2516">
        <v>1588.7579450000001</v>
      </c>
      <c r="B2516" s="1">
        <f>DATE(2014,9,5) + TIME(18,11,26)</f>
        <v>41887.757939814815</v>
      </c>
      <c r="C2516">
        <v>80</v>
      </c>
      <c r="D2516">
        <v>79.978202820000007</v>
      </c>
      <c r="E2516">
        <v>50</v>
      </c>
      <c r="F2516">
        <v>52.94046402</v>
      </c>
      <c r="G2516">
        <v>1339.8603516000001</v>
      </c>
      <c r="H2516">
        <v>1337.612793</v>
      </c>
      <c r="I2516">
        <v>1325.3472899999999</v>
      </c>
      <c r="J2516">
        <v>1322.7138672000001</v>
      </c>
      <c r="K2516">
        <v>2750</v>
      </c>
      <c r="L2516">
        <v>0</v>
      </c>
      <c r="M2516">
        <v>0</v>
      </c>
      <c r="N2516">
        <v>2750</v>
      </c>
    </row>
    <row r="2517" spans="1:14" x14ac:dyDescent="0.25">
      <c r="A2517">
        <v>1591.3230820000001</v>
      </c>
      <c r="B2517" s="1">
        <f>DATE(2014,9,8) + TIME(7,45,14)</f>
        <v>41890.323078703703</v>
      </c>
      <c r="C2517">
        <v>80</v>
      </c>
      <c r="D2517">
        <v>79.978202820000007</v>
      </c>
      <c r="E2517">
        <v>50</v>
      </c>
      <c r="F2517">
        <v>53.520465850999997</v>
      </c>
      <c r="G2517">
        <v>1339.8537598</v>
      </c>
      <c r="H2517">
        <v>1337.6091309000001</v>
      </c>
      <c r="I2517">
        <v>1325.3466797000001</v>
      </c>
      <c r="J2517">
        <v>1322.7111815999999</v>
      </c>
      <c r="K2517">
        <v>2750</v>
      </c>
      <c r="L2517">
        <v>0</v>
      </c>
      <c r="M2517">
        <v>0</v>
      </c>
      <c r="N2517">
        <v>2750</v>
      </c>
    </row>
    <row r="2518" spans="1:14" x14ac:dyDescent="0.25">
      <c r="A2518">
        <v>1594.0202260000001</v>
      </c>
      <c r="B2518" s="1">
        <f>DATE(2014,9,11) + TIME(0,29,7)</f>
        <v>41893.020219907405</v>
      </c>
      <c r="C2518">
        <v>80</v>
      </c>
      <c r="D2518">
        <v>79.978202820000007</v>
      </c>
      <c r="E2518">
        <v>50</v>
      </c>
      <c r="F2518">
        <v>54.125762938999998</v>
      </c>
      <c r="G2518">
        <v>1339.847168</v>
      </c>
      <c r="H2518">
        <v>1337.6053466999999</v>
      </c>
      <c r="I2518">
        <v>1325.3465576000001</v>
      </c>
      <c r="J2518">
        <v>1322.7099608999999</v>
      </c>
      <c r="K2518">
        <v>2750</v>
      </c>
      <c r="L2518">
        <v>0</v>
      </c>
      <c r="M2518">
        <v>0</v>
      </c>
      <c r="N2518">
        <v>2750</v>
      </c>
    </row>
    <row r="2519" spans="1:14" x14ac:dyDescent="0.25">
      <c r="A2519">
        <v>1596.7888740000001</v>
      </c>
      <c r="B2519" s="1">
        <f>DATE(2014,9,13) + TIME(18,55,58)</f>
        <v>41895.788865740738</v>
      </c>
      <c r="C2519">
        <v>80</v>
      </c>
      <c r="D2519">
        <v>79.978202820000007</v>
      </c>
      <c r="E2519">
        <v>50</v>
      </c>
      <c r="F2519">
        <v>54.740299225000001</v>
      </c>
      <c r="G2519">
        <v>1339.8402100000001</v>
      </c>
      <c r="H2519">
        <v>1337.6015625</v>
      </c>
      <c r="I2519">
        <v>1325.3474120999999</v>
      </c>
      <c r="J2519">
        <v>1322.7099608999999</v>
      </c>
      <c r="K2519">
        <v>2750</v>
      </c>
      <c r="L2519">
        <v>0</v>
      </c>
      <c r="M2519">
        <v>0</v>
      </c>
      <c r="N2519">
        <v>2750</v>
      </c>
    </row>
    <row r="2520" spans="1:14" x14ac:dyDescent="0.25">
      <c r="A2520">
        <v>1599.6532119999999</v>
      </c>
      <c r="B2520" s="1">
        <f>DATE(2014,9,16) + TIME(15,40,37)</f>
        <v>41898.65320601852</v>
      </c>
      <c r="C2520">
        <v>80</v>
      </c>
      <c r="D2520">
        <v>79.978210449000002</v>
      </c>
      <c r="E2520">
        <v>50</v>
      </c>
      <c r="F2520">
        <v>55.352973937999998</v>
      </c>
      <c r="G2520">
        <v>1339.833374</v>
      </c>
      <c r="H2520">
        <v>1337.5977783000001</v>
      </c>
      <c r="I2520">
        <v>1325.348999</v>
      </c>
      <c r="J2520">
        <v>1322.7113036999999</v>
      </c>
      <c r="K2520">
        <v>2750</v>
      </c>
      <c r="L2520">
        <v>0</v>
      </c>
      <c r="M2520">
        <v>0</v>
      </c>
      <c r="N2520">
        <v>2750</v>
      </c>
    </row>
    <row r="2521" spans="1:14" x14ac:dyDescent="0.25">
      <c r="A2521">
        <v>1602.6733630000001</v>
      </c>
      <c r="B2521" s="1">
        <f>DATE(2014,9,19) + TIME(16,9,38)</f>
        <v>41901.673356481479</v>
      </c>
      <c r="C2521">
        <v>80</v>
      </c>
      <c r="D2521">
        <v>79.978210449000002</v>
      </c>
      <c r="E2521">
        <v>50</v>
      </c>
      <c r="F2521">
        <v>55.963127135999997</v>
      </c>
      <c r="G2521">
        <v>1339.8265381000001</v>
      </c>
      <c r="H2521">
        <v>1337.5938721</v>
      </c>
      <c r="I2521">
        <v>1325.3511963000001</v>
      </c>
      <c r="J2521">
        <v>1322.7137451000001</v>
      </c>
      <c r="K2521">
        <v>2750</v>
      </c>
      <c r="L2521">
        <v>0</v>
      </c>
      <c r="M2521">
        <v>0</v>
      </c>
      <c r="N2521">
        <v>2750</v>
      </c>
    </row>
    <row r="2522" spans="1:14" x14ac:dyDescent="0.25">
      <c r="A2522">
        <v>1605.7464219999999</v>
      </c>
      <c r="B2522" s="1">
        <f>DATE(2014,9,22) + TIME(17,54,50)</f>
        <v>41904.746412037035</v>
      </c>
      <c r="C2522">
        <v>80</v>
      </c>
      <c r="D2522">
        <v>79.978218079000001</v>
      </c>
      <c r="E2522">
        <v>50</v>
      </c>
      <c r="F2522">
        <v>56.576965332</v>
      </c>
      <c r="G2522">
        <v>1339.8194579999999</v>
      </c>
      <c r="H2522">
        <v>1337.5898437999999</v>
      </c>
      <c r="I2522">
        <v>1325.3543701000001</v>
      </c>
      <c r="J2522">
        <v>1322.7171631000001</v>
      </c>
      <c r="K2522">
        <v>2750</v>
      </c>
      <c r="L2522">
        <v>0</v>
      </c>
      <c r="M2522">
        <v>0</v>
      </c>
      <c r="N2522">
        <v>2750</v>
      </c>
    </row>
    <row r="2523" spans="1:14" x14ac:dyDescent="0.25">
      <c r="A2523">
        <v>1608.9305280000001</v>
      </c>
      <c r="B2523" s="1">
        <f>DATE(2014,9,25) + TIME(22,19,57)</f>
        <v>41907.930520833332</v>
      </c>
      <c r="C2523">
        <v>80</v>
      </c>
      <c r="D2523">
        <v>79.978218079000001</v>
      </c>
      <c r="E2523">
        <v>50</v>
      </c>
      <c r="F2523">
        <v>57.176300048999998</v>
      </c>
      <c r="G2523">
        <v>1339.8123779</v>
      </c>
      <c r="H2523">
        <v>1337.5858154</v>
      </c>
      <c r="I2523">
        <v>1325.3580322</v>
      </c>
      <c r="J2523">
        <v>1322.7216797000001</v>
      </c>
      <c r="K2523">
        <v>2750</v>
      </c>
      <c r="L2523">
        <v>0</v>
      </c>
      <c r="M2523">
        <v>0</v>
      </c>
      <c r="N2523">
        <v>2750</v>
      </c>
    </row>
    <row r="2524" spans="1:14" x14ac:dyDescent="0.25">
      <c r="A2524">
        <v>1612.2514349999999</v>
      </c>
      <c r="B2524" s="1">
        <f>DATE(2014,9,29) + TIME(6,2,3)</f>
        <v>41911.251423611109</v>
      </c>
      <c r="C2524">
        <v>80</v>
      </c>
      <c r="D2524">
        <v>79.978225707999997</v>
      </c>
      <c r="E2524">
        <v>50</v>
      </c>
      <c r="F2524">
        <v>57.76398468</v>
      </c>
      <c r="G2524">
        <v>1339.8052978999999</v>
      </c>
      <c r="H2524">
        <v>1337.5819091999999</v>
      </c>
      <c r="I2524">
        <v>1325.3623047000001</v>
      </c>
      <c r="J2524">
        <v>1322.7268065999999</v>
      </c>
      <c r="K2524">
        <v>2750</v>
      </c>
      <c r="L2524">
        <v>0</v>
      </c>
      <c r="M2524">
        <v>0</v>
      </c>
      <c r="N2524">
        <v>2750</v>
      </c>
    </row>
    <row r="2525" spans="1:14" x14ac:dyDescent="0.25">
      <c r="A2525">
        <v>1614</v>
      </c>
      <c r="B2525" s="1">
        <f>DATE(2014,10,1) + TIME(0,0,0)</f>
        <v>41913</v>
      </c>
      <c r="C2525">
        <v>80</v>
      </c>
      <c r="D2525">
        <v>79.978218079000001</v>
      </c>
      <c r="E2525">
        <v>50</v>
      </c>
      <c r="F2525">
        <v>58.276866912999999</v>
      </c>
      <c r="G2525">
        <v>1339.7982178</v>
      </c>
      <c r="H2525">
        <v>1337.5778809000001</v>
      </c>
      <c r="I2525">
        <v>1325.3686522999999</v>
      </c>
      <c r="J2525">
        <v>1322.7329102000001</v>
      </c>
      <c r="K2525">
        <v>2750</v>
      </c>
      <c r="L2525">
        <v>0</v>
      </c>
      <c r="M2525">
        <v>0</v>
      </c>
      <c r="N2525">
        <v>2750</v>
      </c>
    </row>
    <row r="2526" spans="1:14" x14ac:dyDescent="0.25">
      <c r="A2526">
        <v>1617.394227</v>
      </c>
      <c r="B2526" s="1">
        <f>DATE(2014,10,4) + TIME(9,27,41)</f>
        <v>41916.394224537034</v>
      </c>
      <c r="C2526">
        <v>80</v>
      </c>
      <c r="D2526">
        <v>79.978233337000006</v>
      </c>
      <c r="E2526">
        <v>50</v>
      </c>
      <c r="F2526">
        <v>58.659255981000001</v>
      </c>
      <c r="G2526">
        <v>1339.7945557</v>
      </c>
      <c r="H2526">
        <v>1337.5758057</v>
      </c>
      <c r="I2526">
        <v>1325.3706055</v>
      </c>
      <c r="J2526">
        <v>1322.7391356999999</v>
      </c>
      <c r="K2526">
        <v>2750</v>
      </c>
      <c r="L2526">
        <v>0</v>
      </c>
      <c r="M2526">
        <v>0</v>
      </c>
      <c r="N2526">
        <v>2750</v>
      </c>
    </row>
    <row r="2527" spans="1:14" x14ac:dyDescent="0.25">
      <c r="A2527">
        <v>1621.024637</v>
      </c>
      <c r="B2527" s="1">
        <f>DATE(2014,10,8) + TIME(0,35,28)</f>
        <v>41920.024629629632</v>
      </c>
      <c r="C2527">
        <v>80</v>
      </c>
      <c r="D2527">
        <v>79.978248596</v>
      </c>
      <c r="E2527">
        <v>50</v>
      </c>
      <c r="F2527">
        <v>59.177810669000003</v>
      </c>
      <c r="G2527">
        <v>1339.7875977000001</v>
      </c>
      <c r="H2527">
        <v>1337.5717772999999</v>
      </c>
      <c r="I2527">
        <v>1325.3748779</v>
      </c>
      <c r="J2527">
        <v>1322.7424315999999</v>
      </c>
      <c r="K2527">
        <v>2750</v>
      </c>
      <c r="L2527">
        <v>0</v>
      </c>
      <c r="M2527">
        <v>0</v>
      </c>
      <c r="N2527">
        <v>2750</v>
      </c>
    </row>
    <row r="2528" spans="1:14" x14ac:dyDescent="0.25">
      <c r="A2528">
        <v>1624.7244639999999</v>
      </c>
      <c r="B2528" s="1">
        <f>DATE(2014,10,11) + TIME(17,23,13)</f>
        <v>41923.724456018521</v>
      </c>
      <c r="C2528">
        <v>80</v>
      </c>
      <c r="D2528">
        <v>79.978256225999999</v>
      </c>
      <c r="E2528">
        <v>50</v>
      </c>
      <c r="F2528">
        <v>59.712600707999997</v>
      </c>
      <c r="G2528">
        <v>1339.7802733999999</v>
      </c>
      <c r="H2528">
        <v>1337.5676269999999</v>
      </c>
      <c r="I2528">
        <v>1325.3803711</v>
      </c>
      <c r="J2528">
        <v>1322.7486572</v>
      </c>
      <c r="K2528">
        <v>2750</v>
      </c>
      <c r="L2528">
        <v>0</v>
      </c>
      <c r="M2528">
        <v>0</v>
      </c>
      <c r="N2528">
        <v>2750</v>
      </c>
    </row>
    <row r="2529" spans="1:14" x14ac:dyDescent="0.25">
      <c r="A2529">
        <v>1628.5674469999999</v>
      </c>
      <c r="B2529" s="1">
        <f>DATE(2014,10,15) + TIME(13,37,7)</f>
        <v>41927.567442129628</v>
      </c>
      <c r="C2529">
        <v>80</v>
      </c>
      <c r="D2529">
        <v>79.978263854999994</v>
      </c>
      <c r="E2529">
        <v>50</v>
      </c>
      <c r="F2529">
        <v>60.228786468999999</v>
      </c>
      <c r="G2529">
        <v>1339.7730713000001</v>
      </c>
      <c r="H2529">
        <v>1337.5635986</v>
      </c>
      <c r="I2529">
        <v>1325.3863524999999</v>
      </c>
      <c r="J2529">
        <v>1322.7557373</v>
      </c>
      <c r="K2529">
        <v>2750</v>
      </c>
      <c r="L2529">
        <v>0</v>
      </c>
      <c r="M2529">
        <v>0</v>
      </c>
      <c r="N2529">
        <v>2750</v>
      </c>
    </row>
    <row r="2530" spans="1:14" x14ac:dyDescent="0.25">
      <c r="A2530">
        <v>1632.5407419999999</v>
      </c>
      <c r="B2530" s="1">
        <f>DATE(2014,10,19) + TIME(12,58,40)</f>
        <v>41931.54074074074</v>
      </c>
      <c r="C2530">
        <v>80</v>
      </c>
      <c r="D2530">
        <v>79.978279114000003</v>
      </c>
      <c r="E2530">
        <v>50</v>
      </c>
      <c r="F2530">
        <v>60.727642058999997</v>
      </c>
      <c r="G2530">
        <v>1339.7658690999999</v>
      </c>
      <c r="H2530">
        <v>1337.5594481999999</v>
      </c>
      <c r="I2530">
        <v>1325.3924560999999</v>
      </c>
      <c r="J2530">
        <v>1322.7629394999999</v>
      </c>
      <c r="K2530">
        <v>2750</v>
      </c>
      <c r="L2530">
        <v>0</v>
      </c>
      <c r="M2530">
        <v>0</v>
      </c>
      <c r="N2530">
        <v>2750</v>
      </c>
    </row>
    <row r="2531" spans="1:14" x14ac:dyDescent="0.25">
      <c r="A2531">
        <v>1636.6238659999999</v>
      </c>
      <c r="B2531" s="1">
        <f>DATE(2014,10,23) + TIME(14,58,21)</f>
        <v>41935.623854166668</v>
      </c>
      <c r="C2531">
        <v>80</v>
      </c>
      <c r="D2531">
        <v>79.978286742999998</v>
      </c>
      <c r="E2531">
        <v>50</v>
      </c>
      <c r="F2531">
        <v>61.208518982000001</v>
      </c>
      <c r="G2531">
        <v>1339.7586670000001</v>
      </c>
      <c r="H2531">
        <v>1337.5552978999999</v>
      </c>
      <c r="I2531">
        <v>1325.3989257999999</v>
      </c>
      <c r="J2531">
        <v>1322.7703856999999</v>
      </c>
      <c r="K2531">
        <v>2750</v>
      </c>
      <c r="L2531">
        <v>0</v>
      </c>
      <c r="M2531">
        <v>0</v>
      </c>
      <c r="N2531">
        <v>2750</v>
      </c>
    </row>
    <row r="2532" spans="1:14" x14ac:dyDescent="0.25">
      <c r="A2532">
        <v>1640.858414</v>
      </c>
      <c r="B2532" s="1">
        <f>DATE(2014,10,27) + TIME(20,36,7)</f>
        <v>41939.858414351853</v>
      </c>
      <c r="C2532">
        <v>80</v>
      </c>
      <c r="D2532">
        <v>79.978309631000002</v>
      </c>
      <c r="E2532">
        <v>50</v>
      </c>
      <c r="F2532">
        <v>61.663997649999999</v>
      </c>
      <c r="G2532">
        <v>1339.7514647999999</v>
      </c>
      <c r="H2532">
        <v>1337.5512695</v>
      </c>
      <c r="I2532">
        <v>1325.4053954999999</v>
      </c>
      <c r="J2532">
        <v>1322.777832</v>
      </c>
      <c r="K2532">
        <v>2750</v>
      </c>
      <c r="L2532">
        <v>0</v>
      </c>
      <c r="M2532">
        <v>0</v>
      </c>
      <c r="N2532">
        <v>2750</v>
      </c>
    </row>
    <row r="2533" spans="1:14" x14ac:dyDescent="0.25">
      <c r="A2533">
        <v>1645</v>
      </c>
      <c r="B2533" s="1">
        <f>DATE(2014,11,1) + TIME(0,0,0)</f>
        <v>41944</v>
      </c>
      <c r="C2533">
        <v>80</v>
      </c>
      <c r="D2533">
        <v>79.978309631000002</v>
      </c>
      <c r="E2533">
        <v>50</v>
      </c>
      <c r="F2533">
        <v>62.117149353000002</v>
      </c>
      <c r="G2533">
        <v>1339.7442627</v>
      </c>
      <c r="H2533">
        <v>1337.5471190999999</v>
      </c>
      <c r="I2533">
        <v>1325.4121094</v>
      </c>
      <c r="J2533">
        <v>1322.7854004000001</v>
      </c>
      <c r="K2533">
        <v>2750</v>
      </c>
      <c r="L2533">
        <v>0</v>
      </c>
      <c r="M2533">
        <v>0</v>
      </c>
      <c r="N2533">
        <v>2750</v>
      </c>
    </row>
    <row r="2534" spans="1:14" x14ac:dyDescent="0.25">
      <c r="A2534">
        <v>1645.0000010000001</v>
      </c>
      <c r="B2534" s="1">
        <f>DATE(2014,11,1) + TIME(0,0,0)</f>
        <v>41944</v>
      </c>
      <c r="C2534">
        <v>80</v>
      </c>
      <c r="D2534">
        <v>79.978210449000002</v>
      </c>
      <c r="E2534">
        <v>50</v>
      </c>
      <c r="F2534">
        <v>62.117263794000003</v>
      </c>
      <c r="G2534">
        <v>1336.8525391000001</v>
      </c>
      <c r="H2534">
        <v>1336.0541992000001</v>
      </c>
      <c r="I2534">
        <v>1328.9715576000001</v>
      </c>
      <c r="J2534">
        <v>1326.4331055</v>
      </c>
      <c r="K2534">
        <v>0</v>
      </c>
      <c r="L2534">
        <v>2750</v>
      </c>
      <c r="M2534">
        <v>2750</v>
      </c>
      <c r="N2534">
        <v>0</v>
      </c>
    </row>
    <row r="2535" spans="1:14" x14ac:dyDescent="0.25">
      <c r="A2535">
        <v>1645.000004</v>
      </c>
      <c r="B2535" s="1">
        <f>DATE(2014,11,1) + TIME(0,0,0)</f>
        <v>41944</v>
      </c>
      <c r="C2535">
        <v>80</v>
      </c>
      <c r="D2535">
        <v>79.978080750000004</v>
      </c>
      <c r="E2535">
        <v>50</v>
      </c>
      <c r="F2535">
        <v>62.117389678999999</v>
      </c>
      <c r="G2535">
        <v>1335.9227295000001</v>
      </c>
      <c r="H2535">
        <v>1335.1088867000001</v>
      </c>
      <c r="I2535">
        <v>1330.3007812000001</v>
      </c>
      <c r="J2535">
        <v>1327.8696289</v>
      </c>
      <c r="K2535">
        <v>0</v>
      </c>
      <c r="L2535">
        <v>2750</v>
      </c>
      <c r="M2535">
        <v>2750</v>
      </c>
      <c r="N2535">
        <v>0</v>
      </c>
    </row>
    <row r="2536" spans="1:14" x14ac:dyDescent="0.25">
      <c r="A2536">
        <v>1645.0000130000001</v>
      </c>
      <c r="B2536" s="1">
        <f>DATE(2014,11,1) + TIME(0,0,1)</f>
        <v>41944.000011574077</v>
      </c>
      <c r="C2536">
        <v>80</v>
      </c>
      <c r="D2536">
        <v>79.977943420000003</v>
      </c>
      <c r="E2536">
        <v>50</v>
      </c>
      <c r="F2536">
        <v>62.117393493999998</v>
      </c>
      <c r="G2536">
        <v>1334.9581298999999</v>
      </c>
      <c r="H2536">
        <v>1334.1094971</v>
      </c>
      <c r="I2536">
        <v>1331.8854980000001</v>
      </c>
      <c r="J2536">
        <v>1329.4371338000001</v>
      </c>
      <c r="K2536">
        <v>0</v>
      </c>
      <c r="L2536">
        <v>2750</v>
      </c>
      <c r="M2536">
        <v>2750</v>
      </c>
      <c r="N2536">
        <v>0</v>
      </c>
    </row>
    <row r="2537" spans="1:14" x14ac:dyDescent="0.25">
      <c r="A2537">
        <v>1645.0000399999999</v>
      </c>
      <c r="B2537" s="1">
        <f>DATE(2014,11,1) + TIME(0,0,3)</f>
        <v>41944.000034722223</v>
      </c>
      <c r="C2537">
        <v>80</v>
      </c>
      <c r="D2537">
        <v>79.977806091000005</v>
      </c>
      <c r="E2537">
        <v>50</v>
      </c>
      <c r="F2537">
        <v>62.116981506000002</v>
      </c>
      <c r="G2537">
        <v>1334.0057373</v>
      </c>
      <c r="H2537">
        <v>1333.1101074000001</v>
      </c>
      <c r="I2537">
        <v>1333.4822998</v>
      </c>
      <c r="J2537">
        <v>1330.9909668</v>
      </c>
      <c r="K2537">
        <v>0</v>
      </c>
      <c r="L2537">
        <v>2750</v>
      </c>
      <c r="M2537">
        <v>2750</v>
      </c>
      <c r="N2537">
        <v>0</v>
      </c>
    </row>
    <row r="2538" spans="1:14" x14ac:dyDescent="0.25">
      <c r="A2538">
        <v>1645.000121</v>
      </c>
      <c r="B2538" s="1">
        <f>DATE(2014,11,1) + TIME(0,0,10)</f>
        <v>41944.000115740739</v>
      </c>
      <c r="C2538">
        <v>80</v>
      </c>
      <c r="D2538">
        <v>79.977653502999999</v>
      </c>
      <c r="E2538">
        <v>50</v>
      </c>
      <c r="F2538">
        <v>62.115291595000002</v>
      </c>
      <c r="G2538">
        <v>1333.0201416</v>
      </c>
      <c r="H2538">
        <v>1332.0620117000001</v>
      </c>
      <c r="I2538">
        <v>1335.0529785000001</v>
      </c>
      <c r="J2538">
        <v>1332.519043</v>
      </c>
      <c r="K2538">
        <v>0</v>
      </c>
      <c r="L2538">
        <v>2750</v>
      </c>
      <c r="M2538">
        <v>2750</v>
      </c>
      <c r="N2538">
        <v>0</v>
      </c>
    </row>
    <row r="2539" spans="1:14" x14ac:dyDescent="0.25">
      <c r="A2539">
        <v>1645.000364</v>
      </c>
      <c r="B2539" s="1">
        <f>DATE(2014,11,1) + TIME(0,0,31)</f>
        <v>41944.000358796293</v>
      </c>
      <c r="C2539">
        <v>80</v>
      </c>
      <c r="D2539">
        <v>79.977478027000004</v>
      </c>
      <c r="E2539">
        <v>50</v>
      </c>
      <c r="F2539">
        <v>62.109695434999999</v>
      </c>
      <c r="G2539">
        <v>1331.9768065999999</v>
      </c>
      <c r="H2539">
        <v>1330.9471435999999</v>
      </c>
      <c r="I2539">
        <v>1336.5959473</v>
      </c>
      <c r="J2539">
        <v>1334.0075684000001</v>
      </c>
      <c r="K2539">
        <v>0</v>
      </c>
      <c r="L2539">
        <v>2750</v>
      </c>
      <c r="M2539">
        <v>2750</v>
      </c>
      <c r="N2539">
        <v>0</v>
      </c>
    </row>
    <row r="2540" spans="1:14" x14ac:dyDescent="0.25">
      <c r="A2540">
        <v>1645.0010930000001</v>
      </c>
      <c r="B2540" s="1">
        <f>DATE(2014,11,1) + TIME(0,1,34)</f>
        <v>41944.001087962963</v>
      </c>
      <c r="C2540">
        <v>80</v>
      </c>
      <c r="D2540">
        <v>79.977249146000005</v>
      </c>
      <c r="E2540">
        <v>50</v>
      </c>
      <c r="F2540">
        <v>62.09210968</v>
      </c>
      <c r="G2540">
        <v>1330.9776611</v>
      </c>
      <c r="H2540">
        <v>1329.8856201000001</v>
      </c>
      <c r="I2540">
        <v>1337.9866943</v>
      </c>
      <c r="J2540">
        <v>1335.3359375</v>
      </c>
      <c r="K2540">
        <v>0</v>
      </c>
      <c r="L2540">
        <v>2750</v>
      </c>
      <c r="M2540">
        <v>2750</v>
      </c>
      <c r="N2540">
        <v>0</v>
      </c>
    </row>
    <row r="2541" spans="1:14" x14ac:dyDescent="0.25">
      <c r="A2541">
        <v>1645.0032799999999</v>
      </c>
      <c r="B2541" s="1">
        <f>DATE(2014,11,1) + TIME(0,4,43)</f>
        <v>41944.003275462965</v>
      </c>
      <c r="C2541">
        <v>80</v>
      </c>
      <c r="D2541">
        <v>79.976875304999993</v>
      </c>
      <c r="E2541">
        <v>50</v>
      </c>
      <c r="F2541">
        <v>62.038345337000003</v>
      </c>
      <c r="G2541">
        <v>1330.2354736</v>
      </c>
      <c r="H2541">
        <v>1329.1098632999999</v>
      </c>
      <c r="I2541">
        <v>1338.9897461</v>
      </c>
      <c r="J2541">
        <v>1336.2947998</v>
      </c>
      <c r="K2541">
        <v>0</v>
      </c>
      <c r="L2541">
        <v>2750</v>
      </c>
      <c r="M2541">
        <v>2750</v>
      </c>
      <c r="N2541">
        <v>0</v>
      </c>
    </row>
    <row r="2542" spans="1:14" x14ac:dyDescent="0.25">
      <c r="A2542">
        <v>1645.0098410000001</v>
      </c>
      <c r="B2542" s="1">
        <f>DATE(2014,11,1) + TIME(0,14,10)</f>
        <v>41944.009837962964</v>
      </c>
      <c r="C2542">
        <v>80</v>
      </c>
      <c r="D2542">
        <v>79.976028442</v>
      </c>
      <c r="E2542">
        <v>50</v>
      </c>
      <c r="F2542">
        <v>61.878181458</v>
      </c>
      <c r="G2542">
        <v>1329.8682861</v>
      </c>
      <c r="H2542">
        <v>1328.7322998</v>
      </c>
      <c r="I2542">
        <v>1339.4788818</v>
      </c>
      <c r="J2542">
        <v>1336.7657471</v>
      </c>
      <c r="K2542">
        <v>0</v>
      </c>
      <c r="L2542">
        <v>2750</v>
      </c>
      <c r="M2542">
        <v>2750</v>
      </c>
      <c r="N2542">
        <v>0</v>
      </c>
    </row>
    <row r="2543" spans="1:14" x14ac:dyDescent="0.25">
      <c r="A2543">
        <v>1645.029524</v>
      </c>
      <c r="B2543" s="1">
        <f>DATE(2014,11,1) + TIME(0,42,30)</f>
        <v>41944.029513888891</v>
      </c>
      <c r="C2543">
        <v>80</v>
      </c>
      <c r="D2543">
        <v>79.973648071</v>
      </c>
      <c r="E2543">
        <v>50</v>
      </c>
      <c r="F2543">
        <v>61.418457031000003</v>
      </c>
      <c r="G2543">
        <v>1329.7739257999999</v>
      </c>
      <c r="H2543">
        <v>1328.635376</v>
      </c>
      <c r="I2543">
        <v>1339.5917969</v>
      </c>
      <c r="J2543">
        <v>1336.8737793</v>
      </c>
      <c r="K2543">
        <v>0</v>
      </c>
      <c r="L2543">
        <v>2750</v>
      </c>
      <c r="M2543">
        <v>2750</v>
      </c>
      <c r="N2543">
        <v>0</v>
      </c>
    </row>
    <row r="2544" spans="1:14" x14ac:dyDescent="0.25">
      <c r="A2544">
        <v>1645.061704</v>
      </c>
      <c r="B2544" s="1">
        <f>DATE(2014,11,1) + TIME(1,28,51)</f>
        <v>41944.061701388891</v>
      </c>
      <c r="C2544">
        <v>80</v>
      </c>
      <c r="D2544">
        <v>79.969856261999993</v>
      </c>
      <c r="E2544">
        <v>50</v>
      </c>
      <c r="F2544">
        <v>60.720058440999999</v>
      </c>
      <c r="G2544">
        <v>1329.7614745999999</v>
      </c>
      <c r="H2544">
        <v>1328.6210937999999</v>
      </c>
      <c r="I2544">
        <v>1339.5831298999999</v>
      </c>
      <c r="J2544">
        <v>1336.8645019999999</v>
      </c>
      <c r="K2544">
        <v>0</v>
      </c>
      <c r="L2544">
        <v>2750</v>
      </c>
      <c r="M2544">
        <v>2750</v>
      </c>
      <c r="N2544">
        <v>0</v>
      </c>
    </row>
    <row r="2545" spans="1:14" x14ac:dyDescent="0.25">
      <c r="A2545">
        <v>1645.095415</v>
      </c>
      <c r="B2545" s="1">
        <f>DATE(2014,11,1) + TIME(2,17,23)</f>
        <v>41944.095405092594</v>
      </c>
      <c r="C2545">
        <v>80</v>
      </c>
      <c r="D2545">
        <v>79.965942382999998</v>
      </c>
      <c r="E2545">
        <v>50</v>
      </c>
      <c r="F2545">
        <v>60.042076111</v>
      </c>
      <c r="G2545">
        <v>1329.7565918</v>
      </c>
      <c r="H2545">
        <v>1328.6138916</v>
      </c>
      <c r="I2545">
        <v>1339.5621338000001</v>
      </c>
      <c r="J2545">
        <v>1336.8443603999999</v>
      </c>
      <c r="K2545">
        <v>0</v>
      </c>
      <c r="L2545">
        <v>2750</v>
      </c>
      <c r="M2545">
        <v>2750</v>
      </c>
      <c r="N2545">
        <v>0</v>
      </c>
    </row>
    <row r="2546" spans="1:14" x14ac:dyDescent="0.25">
      <c r="A2546">
        <v>1645.1307489999999</v>
      </c>
      <c r="B2546" s="1">
        <f>DATE(2014,11,1) + TIME(3,8,16)</f>
        <v>41944.130740740744</v>
      </c>
      <c r="C2546">
        <v>80</v>
      </c>
      <c r="D2546">
        <v>79.961891174000002</v>
      </c>
      <c r="E2546">
        <v>50</v>
      </c>
      <c r="F2546">
        <v>59.384517670000001</v>
      </c>
      <c r="G2546">
        <v>1329.7521973</v>
      </c>
      <c r="H2546">
        <v>1328.6070557</v>
      </c>
      <c r="I2546">
        <v>1339.5408935999999</v>
      </c>
      <c r="J2546">
        <v>1336.8242187999999</v>
      </c>
      <c r="K2546">
        <v>0</v>
      </c>
      <c r="L2546">
        <v>2750</v>
      </c>
      <c r="M2546">
        <v>2750</v>
      </c>
      <c r="N2546">
        <v>0</v>
      </c>
    </row>
    <row r="2547" spans="1:14" x14ac:dyDescent="0.25">
      <c r="A2547">
        <v>1645.167825</v>
      </c>
      <c r="B2547" s="1">
        <f>DATE(2014,11,1) + TIME(4,1,40)</f>
        <v>41944.167824074073</v>
      </c>
      <c r="C2547">
        <v>80</v>
      </c>
      <c r="D2547">
        <v>79.957695006999998</v>
      </c>
      <c r="E2547">
        <v>50</v>
      </c>
      <c r="F2547">
        <v>58.747894287000001</v>
      </c>
      <c r="G2547">
        <v>1329.7475586</v>
      </c>
      <c r="H2547">
        <v>1328.6000977000001</v>
      </c>
      <c r="I2547">
        <v>1339.5203856999999</v>
      </c>
      <c r="J2547">
        <v>1336.8045654</v>
      </c>
      <c r="K2547">
        <v>0</v>
      </c>
      <c r="L2547">
        <v>2750</v>
      </c>
      <c r="M2547">
        <v>2750</v>
      </c>
      <c r="N2547">
        <v>0</v>
      </c>
    </row>
    <row r="2548" spans="1:14" x14ac:dyDescent="0.25">
      <c r="A2548">
        <v>1645.206784</v>
      </c>
      <c r="B2548" s="1">
        <f>DATE(2014,11,1) + TIME(4,57,46)</f>
        <v>41944.206782407404</v>
      </c>
      <c r="C2548">
        <v>80</v>
      </c>
      <c r="D2548">
        <v>79.953346252000003</v>
      </c>
      <c r="E2548">
        <v>50</v>
      </c>
      <c r="F2548">
        <v>58.132205962999997</v>
      </c>
      <c r="G2548">
        <v>1329.7429199000001</v>
      </c>
      <c r="H2548">
        <v>1328.5928954999999</v>
      </c>
      <c r="I2548">
        <v>1339.5004882999999</v>
      </c>
      <c r="J2548">
        <v>1336.7856445</v>
      </c>
      <c r="K2548">
        <v>0</v>
      </c>
      <c r="L2548">
        <v>2750</v>
      </c>
      <c r="M2548">
        <v>2750</v>
      </c>
      <c r="N2548">
        <v>0</v>
      </c>
    </row>
    <row r="2549" spans="1:14" x14ac:dyDescent="0.25">
      <c r="A2549">
        <v>1645.2477960000001</v>
      </c>
      <c r="B2549" s="1">
        <f>DATE(2014,11,1) + TIME(5,56,49)</f>
        <v>41944.247789351852</v>
      </c>
      <c r="C2549">
        <v>80</v>
      </c>
      <c r="D2549">
        <v>79.948837280000006</v>
      </c>
      <c r="E2549">
        <v>50</v>
      </c>
      <c r="F2549">
        <v>57.537330627000003</v>
      </c>
      <c r="G2549">
        <v>1329.7380370999999</v>
      </c>
      <c r="H2549">
        <v>1328.5854492000001</v>
      </c>
      <c r="I2549">
        <v>1339.4812012</v>
      </c>
      <c r="J2549">
        <v>1336.7674560999999</v>
      </c>
      <c r="K2549">
        <v>0</v>
      </c>
      <c r="L2549">
        <v>2750</v>
      </c>
      <c r="M2549">
        <v>2750</v>
      </c>
      <c r="N2549">
        <v>0</v>
      </c>
    </row>
    <row r="2550" spans="1:14" x14ac:dyDescent="0.25">
      <c r="A2550">
        <v>1645.2910380000001</v>
      </c>
      <c r="B2550" s="1">
        <f>DATE(2014,11,1) + TIME(6,59,5)</f>
        <v>41944.291030092594</v>
      </c>
      <c r="C2550">
        <v>80</v>
      </c>
      <c r="D2550">
        <v>79.944152832</v>
      </c>
      <c r="E2550">
        <v>50</v>
      </c>
      <c r="F2550">
        <v>56.963329315000003</v>
      </c>
      <c r="G2550">
        <v>1329.7330322</v>
      </c>
      <c r="H2550">
        <v>1328.5777588000001</v>
      </c>
      <c r="I2550">
        <v>1339.4627685999999</v>
      </c>
      <c r="J2550">
        <v>1336.7498779</v>
      </c>
      <c r="K2550">
        <v>0</v>
      </c>
      <c r="L2550">
        <v>2750</v>
      </c>
      <c r="M2550">
        <v>2750</v>
      </c>
      <c r="N2550">
        <v>0</v>
      </c>
    </row>
    <row r="2551" spans="1:14" x14ac:dyDescent="0.25">
      <c r="A2551">
        <v>1645.336712</v>
      </c>
      <c r="B2551" s="1">
        <f>DATE(2014,11,1) + TIME(8,4,51)</f>
        <v>41944.336701388886</v>
      </c>
      <c r="C2551">
        <v>80</v>
      </c>
      <c r="D2551">
        <v>79.939277649000005</v>
      </c>
      <c r="E2551">
        <v>50</v>
      </c>
      <c r="F2551">
        <v>56.410301208</v>
      </c>
      <c r="G2551">
        <v>1329.7277832</v>
      </c>
      <c r="H2551">
        <v>1328.5699463000001</v>
      </c>
      <c r="I2551">
        <v>1339.4450684000001</v>
      </c>
      <c r="J2551">
        <v>1336.7330322</v>
      </c>
      <c r="K2551">
        <v>0</v>
      </c>
      <c r="L2551">
        <v>2750</v>
      </c>
      <c r="M2551">
        <v>2750</v>
      </c>
      <c r="N2551">
        <v>0</v>
      </c>
    </row>
    <row r="2552" spans="1:14" x14ac:dyDescent="0.25">
      <c r="A2552">
        <v>1645.385045</v>
      </c>
      <c r="B2552" s="1">
        <f>DATE(2014,11,1) + TIME(9,14,27)</f>
        <v>41944.385034722225</v>
      </c>
      <c r="C2552">
        <v>80</v>
      </c>
      <c r="D2552">
        <v>79.934196471999996</v>
      </c>
      <c r="E2552">
        <v>50</v>
      </c>
      <c r="F2552">
        <v>55.878383636000002</v>
      </c>
      <c r="G2552">
        <v>1329.7224120999999</v>
      </c>
      <c r="H2552">
        <v>1328.5616454999999</v>
      </c>
      <c r="I2552">
        <v>1339.4279785000001</v>
      </c>
      <c r="J2552">
        <v>1336.7170410000001</v>
      </c>
      <c r="K2552">
        <v>0</v>
      </c>
      <c r="L2552">
        <v>2750</v>
      </c>
      <c r="M2552">
        <v>2750</v>
      </c>
      <c r="N2552">
        <v>0</v>
      </c>
    </row>
    <row r="2553" spans="1:14" x14ac:dyDescent="0.25">
      <c r="A2553">
        <v>1645.436066</v>
      </c>
      <c r="B2553" s="1">
        <f>DATE(2014,11,1) + TIME(10,27,56)</f>
        <v>41944.436064814814</v>
      </c>
      <c r="C2553">
        <v>80</v>
      </c>
      <c r="D2553">
        <v>79.928924561000002</v>
      </c>
      <c r="E2553">
        <v>50</v>
      </c>
      <c r="F2553">
        <v>55.369834900000001</v>
      </c>
      <c r="G2553">
        <v>1329.7167969</v>
      </c>
      <c r="H2553">
        <v>1328.5532227000001</v>
      </c>
      <c r="I2553">
        <v>1339.4118652</v>
      </c>
      <c r="J2553">
        <v>1336.7017822</v>
      </c>
      <c r="K2553">
        <v>0</v>
      </c>
      <c r="L2553">
        <v>2750</v>
      </c>
      <c r="M2553">
        <v>2750</v>
      </c>
      <c r="N2553">
        <v>0</v>
      </c>
    </row>
    <row r="2554" spans="1:14" x14ac:dyDescent="0.25">
      <c r="A2554">
        <v>1645.489253</v>
      </c>
      <c r="B2554" s="1">
        <f>DATE(2014,11,1) + TIME(11,44,31)</f>
        <v>41944.489247685182</v>
      </c>
      <c r="C2554">
        <v>80</v>
      </c>
      <c r="D2554">
        <v>79.923507689999994</v>
      </c>
      <c r="E2554">
        <v>50</v>
      </c>
      <c r="F2554">
        <v>54.890861510999997</v>
      </c>
      <c r="G2554">
        <v>1329.7110596</v>
      </c>
      <c r="H2554">
        <v>1328.5444336</v>
      </c>
      <c r="I2554">
        <v>1339.3969727000001</v>
      </c>
      <c r="J2554">
        <v>1336.6876221</v>
      </c>
      <c r="K2554">
        <v>0</v>
      </c>
      <c r="L2554">
        <v>2750</v>
      </c>
      <c r="M2554">
        <v>2750</v>
      </c>
      <c r="N2554">
        <v>0</v>
      </c>
    </row>
    <row r="2555" spans="1:14" x14ac:dyDescent="0.25">
      <c r="A2555">
        <v>1645.544834</v>
      </c>
      <c r="B2555" s="1">
        <f>DATE(2014,11,1) + TIME(13,4,33)</f>
        <v>41944.54482638889</v>
      </c>
      <c r="C2555">
        <v>80</v>
      </c>
      <c r="D2555">
        <v>79.917938231999997</v>
      </c>
      <c r="E2555">
        <v>50</v>
      </c>
      <c r="F2555">
        <v>54.439926147000001</v>
      </c>
      <c r="G2555">
        <v>1329.7052002</v>
      </c>
      <c r="H2555">
        <v>1328.5355225000001</v>
      </c>
      <c r="I2555">
        <v>1339.3829346</v>
      </c>
      <c r="J2555">
        <v>1336.6743164</v>
      </c>
      <c r="K2555">
        <v>0</v>
      </c>
      <c r="L2555">
        <v>2750</v>
      </c>
      <c r="M2555">
        <v>2750</v>
      </c>
      <c r="N2555">
        <v>0</v>
      </c>
    </row>
    <row r="2556" spans="1:14" x14ac:dyDescent="0.25">
      <c r="A2556">
        <v>1645.6030619999999</v>
      </c>
      <c r="B2556" s="1">
        <f>DATE(2014,11,1) + TIME(14,28,24)</f>
        <v>41944.603055555555</v>
      </c>
      <c r="C2556">
        <v>80</v>
      </c>
      <c r="D2556">
        <v>79.912193298000005</v>
      </c>
      <c r="E2556">
        <v>50</v>
      </c>
      <c r="F2556">
        <v>54.015720367</v>
      </c>
      <c r="G2556">
        <v>1329.6990966999999</v>
      </c>
      <c r="H2556">
        <v>1328.5263672000001</v>
      </c>
      <c r="I2556">
        <v>1339.3699951000001</v>
      </c>
      <c r="J2556">
        <v>1336.6621094</v>
      </c>
      <c r="K2556">
        <v>0</v>
      </c>
      <c r="L2556">
        <v>2750</v>
      </c>
      <c r="M2556">
        <v>2750</v>
      </c>
      <c r="N2556">
        <v>0</v>
      </c>
    </row>
    <row r="2557" spans="1:14" x14ac:dyDescent="0.25">
      <c r="A2557">
        <v>1645.664209</v>
      </c>
      <c r="B2557" s="1">
        <f>DATE(2014,11,1) + TIME(15,56,27)</f>
        <v>41944.664201388892</v>
      </c>
      <c r="C2557">
        <v>80</v>
      </c>
      <c r="D2557">
        <v>79.906257628999995</v>
      </c>
      <c r="E2557">
        <v>50</v>
      </c>
      <c r="F2557">
        <v>53.617160796999997</v>
      </c>
      <c r="G2557">
        <v>1329.6929932</v>
      </c>
      <c r="H2557">
        <v>1328.5169678</v>
      </c>
      <c r="I2557">
        <v>1339.3579102000001</v>
      </c>
      <c r="J2557">
        <v>1336.6506348</v>
      </c>
      <c r="K2557">
        <v>0</v>
      </c>
      <c r="L2557">
        <v>2750</v>
      </c>
      <c r="M2557">
        <v>2750</v>
      </c>
      <c r="N2557">
        <v>0</v>
      </c>
    </row>
    <row r="2558" spans="1:14" x14ac:dyDescent="0.25">
      <c r="A2558">
        <v>1645.7286120000001</v>
      </c>
      <c r="B2558" s="1">
        <f>DATE(2014,11,1) + TIME(17,29,12)</f>
        <v>41944.72861111111</v>
      </c>
      <c r="C2558">
        <v>80</v>
      </c>
      <c r="D2558">
        <v>79.900100707999997</v>
      </c>
      <c r="E2558">
        <v>50</v>
      </c>
      <c r="F2558">
        <v>53.243167876999998</v>
      </c>
      <c r="G2558">
        <v>1329.6865233999999</v>
      </c>
      <c r="H2558">
        <v>1328.5073242000001</v>
      </c>
      <c r="I2558">
        <v>1339.3466797000001</v>
      </c>
      <c r="J2558">
        <v>1336.6400146000001</v>
      </c>
      <c r="K2558">
        <v>0</v>
      </c>
      <c r="L2558">
        <v>2750</v>
      </c>
      <c r="M2558">
        <v>2750</v>
      </c>
      <c r="N2558">
        <v>0</v>
      </c>
    </row>
    <row r="2559" spans="1:14" x14ac:dyDescent="0.25">
      <c r="A2559">
        <v>1645.7966530000001</v>
      </c>
      <c r="B2559" s="1">
        <f>DATE(2014,11,1) + TIME(19,7,10)</f>
        <v>41944.796643518515</v>
      </c>
      <c r="C2559">
        <v>80</v>
      </c>
      <c r="D2559">
        <v>79.893707274999997</v>
      </c>
      <c r="E2559">
        <v>50</v>
      </c>
      <c r="F2559">
        <v>52.892822266000003</v>
      </c>
      <c r="G2559">
        <v>1329.6799315999999</v>
      </c>
      <c r="H2559">
        <v>1328.4974365</v>
      </c>
      <c r="I2559">
        <v>1339.3363036999999</v>
      </c>
      <c r="J2559">
        <v>1336.6301269999999</v>
      </c>
      <c r="K2559">
        <v>0</v>
      </c>
      <c r="L2559">
        <v>2750</v>
      </c>
      <c r="M2559">
        <v>2750</v>
      </c>
      <c r="N2559">
        <v>0</v>
      </c>
    </row>
    <row r="2560" spans="1:14" x14ac:dyDescent="0.25">
      <c r="A2560">
        <v>1645.868772</v>
      </c>
      <c r="B2560" s="1">
        <f>DATE(2014,11,1) + TIME(20,51,1)</f>
        <v>41944.868761574071</v>
      </c>
      <c r="C2560">
        <v>80</v>
      </c>
      <c r="D2560">
        <v>79.887039185000006</v>
      </c>
      <c r="E2560">
        <v>50</v>
      </c>
      <c r="F2560">
        <v>52.565334319999998</v>
      </c>
      <c r="G2560">
        <v>1329.6730957</v>
      </c>
      <c r="H2560">
        <v>1328.4870605000001</v>
      </c>
      <c r="I2560">
        <v>1339.3265381000001</v>
      </c>
      <c r="J2560">
        <v>1336.6210937999999</v>
      </c>
      <c r="K2560">
        <v>0</v>
      </c>
      <c r="L2560">
        <v>2750</v>
      </c>
      <c r="M2560">
        <v>2750</v>
      </c>
      <c r="N2560">
        <v>0</v>
      </c>
    </row>
    <row r="2561" spans="1:14" x14ac:dyDescent="0.25">
      <c r="A2561">
        <v>1645.945485</v>
      </c>
      <c r="B2561" s="1">
        <f>DATE(2014,11,1) + TIME(22,41,29)</f>
        <v>41944.945474537039</v>
      </c>
      <c r="C2561">
        <v>80</v>
      </c>
      <c r="D2561">
        <v>79.880058289000004</v>
      </c>
      <c r="E2561">
        <v>50</v>
      </c>
      <c r="F2561">
        <v>52.260017394999998</v>
      </c>
      <c r="G2561">
        <v>1329.6660156</v>
      </c>
      <c r="H2561">
        <v>1328.4764404</v>
      </c>
      <c r="I2561">
        <v>1339.3176269999999</v>
      </c>
      <c r="J2561">
        <v>1336.6126709</v>
      </c>
      <c r="K2561">
        <v>0</v>
      </c>
      <c r="L2561">
        <v>2750</v>
      </c>
      <c r="M2561">
        <v>2750</v>
      </c>
      <c r="N2561">
        <v>0</v>
      </c>
    </row>
    <row r="2562" spans="1:14" x14ac:dyDescent="0.25">
      <c r="A2562">
        <v>1646.0274039999999</v>
      </c>
      <c r="B2562" s="1">
        <f>DATE(2014,11,2) + TIME(0,39,27)</f>
        <v>41945.027395833335</v>
      </c>
      <c r="C2562">
        <v>80</v>
      </c>
      <c r="D2562">
        <v>79.872741699000002</v>
      </c>
      <c r="E2562">
        <v>50</v>
      </c>
      <c r="F2562">
        <v>51.976257324000002</v>
      </c>
      <c r="G2562">
        <v>1329.6586914</v>
      </c>
      <c r="H2562">
        <v>1328.4652100000001</v>
      </c>
      <c r="I2562">
        <v>1339.3092041</v>
      </c>
      <c r="J2562">
        <v>1336.6049805</v>
      </c>
      <c r="K2562">
        <v>0</v>
      </c>
      <c r="L2562">
        <v>2750</v>
      </c>
      <c r="M2562">
        <v>2750</v>
      </c>
      <c r="N2562">
        <v>0</v>
      </c>
    </row>
    <row r="2563" spans="1:14" x14ac:dyDescent="0.25">
      <c r="A2563">
        <v>1646.1152589999999</v>
      </c>
      <c r="B2563" s="1">
        <f>DATE(2014,11,2) + TIME(2,45,58)</f>
        <v>41945.115254629629</v>
      </c>
      <c r="C2563">
        <v>80</v>
      </c>
      <c r="D2563">
        <v>79.865020752000007</v>
      </c>
      <c r="E2563">
        <v>50</v>
      </c>
      <c r="F2563">
        <v>51.713527679000002</v>
      </c>
      <c r="G2563">
        <v>1329.6508789</v>
      </c>
      <c r="H2563">
        <v>1328.4536132999999</v>
      </c>
      <c r="I2563">
        <v>1339.3015137</v>
      </c>
      <c r="J2563">
        <v>1336.5977783000001</v>
      </c>
      <c r="K2563">
        <v>0</v>
      </c>
      <c r="L2563">
        <v>2750</v>
      </c>
      <c r="M2563">
        <v>2750</v>
      </c>
      <c r="N2563">
        <v>0</v>
      </c>
    </row>
    <row r="2564" spans="1:14" x14ac:dyDescent="0.25">
      <c r="A2564">
        <v>1646.2080800000001</v>
      </c>
      <c r="B2564" s="1">
        <f>DATE(2014,11,2) + TIME(4,59,38)</f>
        <v>41945.208078703705</v>
      </c>
      <c r="C2564">
        <v>80</v>
      </c>
      <c r="D2564">
        <v>79.856994628999999</v>
      </c>
      <c r="E2564">
        <v>50</v>
      </c>
      <c r="F2564">
        <v>51.475421906000001</v>
      </c>
      <c r="G2564">
        <v>1329.6428223</v>
      </c>
      <c r="H2564">
        <v>1328.4415283000001</v>
      </c>
      <c r="I2564">
        <v>1339.2945557</v>
      </c>
      <c r="J2564">
        <v>1336.5915527</v>
      </c>
      <c r="K2564">
        <v>0</v>
      </c>
      <c r="L2564">
        <v>2750</v>
      </c>
      <c r="M2564">
        <v>2750</v>
      </c>
      <c r="N2564">
        <v>0</v>
      </c>
    </row>
    <row r="2565" spans="1:14" x14ac:dyDescent="0.25">
      <c r="A2565">
        <v>1646.304721</v>
      </c>
      <c r="B2565" s="1">
        <f>DATE(2014,11,2) + TIME(7,18,47)</f>
        <v>41945.304710648146</v>
      </c>
      <c r="C2565">
        <v>80</v>
      </c>
      <c r="D2565">
        <v>79.848754882999998</v>
      </c>
      <c r="E2565">
        <v>50</v>
      </c>
      <c r="F2565">
        <v>51.263759612999998</v>
      </c>
      <c r="G2565">
        <v>1329.6345214999999</v>
      </c>
      <c r="H2565">
        <v>1328.4290771000001</v>
      </c>
      <c r="I2565">
        <v>1339.2883300999999</v>
      </c>
      <c r="J2565">
        <v>1336.5860596</v>
      </c>
      <c r="K2565">
        <v>0</v>
      </c>
      <c r="L2565">
        <v>2750</v>
      </c>
      <c r="M2565">
        <v>2750</v>
      </c>
      <c r="N2565">
        <v>0</v>
      </c>
    </row>
    <row r="2566" spans="1:14" x14ac:dyDescent="0.25">
      <c r="A2566">
        <v>1646.4055060000001</v>
      </c>
      <c r="B2566" s="1">
        <f>DATE(2014,11,2) + TIME(9,43,55)</f>
        <v>41945.405497685184</v>
      </c>
      <c r="C2566">
        <v>80</v>
      </c>
      <c r="D2566">
        <v>79.840278624999996</v>
      </c>
      <c r="E2566">
        <v>50</v>
      </c>
      <c r="F2566">
        <v>51.076259612999998</v>
      </c>
      <c r="G2566">
        <v>1329.6259766000001</v>
      </c>
      <c r="H2566">
        <v>1328.4163818</v>
      </c>
      <c r="I2566">
        <v>1339.2827147999999</v>
      </c>
      <c r="J2566">
        <v>1336.5811768000001</v>
      </c>
      <c r="K2566">
        <v>0</v>
      </c>
      <c r="L2566">
        <v>2750</v>
      </c>
      <c r="M2566">
        <v>2750</v>
      </c>
      <c r="N2566">
        <v>0</v>
      </c>
    </row>
    <row r="2567" spans="1:14" x14ac:dyDescent="0.25">
      <c r="A2567">
        <v>1646.5106989999999</v>
      </c>
      <c r="B2567" s="1">
        <f>DATE(2014,11,2) + TIME(12,15,24)</f>
        <v>41945.510694444441</v>
      </c>
      <c r="C2567">
        <v>80</v>
      </c>
      <c r="D2567">
        <v>79.831535338999998</v>
      </c>
      <c r="E2567">
        <v>50</v>
      </c>
      <c r="F2567">
        <v>50.910953522</v>
      </c>
      <c r="G2567">
        <v>1329.6173096</v>
      </c>
      <c r="H2567">
        <v>1328.4034423999999</v>
      </c>
      <c r="I2567">
        <v>1339.2774658000001</v>
      </c>
      <c r="J2567">
        <v>1336.5767822</v>
      </c>
      <c r="K2567">
        <v>0</v>
      </c>
      <c r="L2567">
        <v>2750</v>
      </c>
      <c r="M2567">
        <v>2750</v>
      </c>
      <c r="N2567">
        <v>0</v>
      </c>
    </row>
    <row r="2568" spans="1:14" x14ac:dyDescent="0.25">
      <c r="A2568">
        <v>1646.6206709999999</v>
      </c>
      <c r="B2568" s="1">
        <f>DATE(2014,11,2) + TIME(14,53,45)</f>
        <v>41945.620659722219</v>
      </c>
      <c r="C2568">
        <v>80</v>
      </c>
      <c r="D2568">
        <v>79.822517395000006</v>
      </c>
      <c r="E2568">
        <v>50</v>
      </c>
      <c r="F2568">
        <v>50.765861510999997</v>
      </c>
      <c r="G2568">
        <v>1329.6083983999999</v>
      </c>
      <c r="H2568">
        <v>1328.3902588000001</v>
      </c>
      <c r="I2568">
        <v>1339.2727050999999</v>
      </c>
      <c r="J2568">
        <v>1336.572876</v>
      </c>
      <c r="K2568">
        <v>0</v>
      </c>
      <c r="L2568">
        <v>2750</v>
      </c>
      <c r="M2568">
        <v>2750</v>
      </c>
      <c r="N2568">
        <v>0</v>
      </c>
    </row>
    <row r="2569" spans="1:14" x14ac:dyDescent="0.25">
      <c r="A2569">
        <v>1646.73579</v>
      </c>
      <c r="B2569" s="1">
        <f>DATE(2014,11,2) + TIME(17,39,32)</f>
        <v>41945.73578703704</v>
      </c>
      <c r="C2569">
        <v>80</v>
      </c>
      <c r="D2569">
        <v>79.813186646000005</v>
      </c>
      <c r="E2569">
        <v>50</v>
      </c>
      <c r="F2569">
        <v>50.639179230000003</v>
      </c>
      <c r="G2569">
        <v>1329.5992432</v>
      </c>
      <c r="H2569">
        <v>1328.3765868999999</v>
      </c>
      <c r="I2569">
        <v>1339.2681885</v>
      </c>
      <c r="J2569">
        <v>1336.5694579999999</v>
      </c>
      <c r="K2569">
        <v>0</v>
      </c>
      <c r="L2569">
        <v>2750</v>
      </c>
      <c r="M2569">
        <v>2750</v>
      </c>
      <c r="N2569">
        <v>0</v>
      </c>
    </row>
    <row r="2570" spans="1:14" x14ac:dyDescent="0.25">
      <c r="A2570">
        <v>1646.856464</v>
      </c>
      <c r="B2570" s="1">
        <f>DATE(2014,11,2) + TIME(20,33,18)</f>
        <v>41945.856458333335</v>
      </c>
      <c r="C2570">
        <v>80</v>
      </c>
      <c r="D2570">
        <v>79.803512573000006</v>
      </c>
      <c r="E2570">
        <v>50</v>
      </c>
      <c r="F2570">
        <v>50.529212952000002</v>
      </c>
      <c r="G2570">
        <v>1329.5898437999999</v>
      </c>
      <c r="H2570">
        <v>1328.3626709</v>
      </c>
      <c r="I2570">
        <v>1339.2637939000001</v>
      </c>
      <c r="J2570">
        <v>1336.5662841999999</v>
      </c>
      <c r="K2570">
        <v>0</v>
      </c>
      <c r="L2570">
        <v>2750</v>
      </c>
      <c r="M2570">
        <v>2750</v>
      </c>
      <c r="N2570">
        <v>0</v>
      </c>
    </row>
    <row r="2571" spans="1:14" x14ac:dyDescent="0.25">
      <c r="A2571">
        <v>1646.983148</v>
      </c>
      <c r="B2571" s="1">
        <f>DATE(2014,11,2) + TIME(23,35,43)</f>
        <v>41945.983136574076</v>
      </c>
      <c r="C2571">
        <v>80</v>
      </c>
      <c r="D2571">
        <v>79.793472289999997</v>
      </c>
      <c r="E2571">
        <v>50</v>
      </c>
      <c r="F2571">
        <v>50.434345245000003</v>
      </c>
      <c r="G2571">
        <v>1329.5802002</v>
      </c>
      <c r="H2571">
        <v>1328.3483887</v>
      </c>
      <c r="I2571">
        <v>1339.2596435999999</v>
      </c>
      <c r="J2571">
        <v>1336.5633545000001</v>
      </c>
      <c r="K2571">
        <v>0</v>
      </c>
      <c r="L2571">
        <v>2750</v>
      </c>
      <c r="M2571">
        <v>2750</v>
      </c>
      <c r="N2571">
        <v>0</v>
      </c>
    </row>
    <row r="2572" spans="1:14" x14ac:dyDescent="0.25">
      <c r="A2572">
        <v>1647.116348</v>
      </c>
      <c r="B2572" s="1">
        <f>DATE(2014,11,3) + TIME(2,47,32)</f>
        <v>41946.116342592592</v>
      </c>
      <c r="C2572">
        <v>80</v>
      </c>
      <c r="D2572">
        <v>79.783020019999995</v>
      </c>
      <c r="E2572">
        <v>50</v>
      </c>
      <c r="F2572">
        <v>50.353057861000003</v>
      </c>
      <c r="G2572">
        <v>1329.5703125</v>
      </c>
      <c r="H2572">
        <v>1328.3336182</v>
      </c>
      <c r="I2572">
        <v>1339.2554932</v>
      </c>
      <c r="J2572">
        <v>1336.5605469</v>
      </c>
      <c r="K2572">
        <v>0</v>
      </c>
      <c r="L2572">
        <v>2750</v>
      </c>
      <c r="M2572">
        <v>2750</v>
      </c>
      <c r="N2572">
        <v>0</v>
      </c>
    </row>
    <row r="2573" spans="1:14" x14ac:dyDescent="0.25">
      <c r="A2573">
        <v>1647.2566300000001</v>
      </c>
      <c r="B2573" s="1">
        <f>DATE(2014,11,3) + TIME(6,9,32)</f>
        <v>41946.256620370368</v>
      </c>
      <c r="C2573">
        <v>80</v>
      </c>
      <c r="D2573">
        <v>79.772125243999994</v>
      </c>
      <c r="E2573">
        <v>50</v>
      </c>
      <c r="F2573">
        <v>50.283920287999997</v>
      </c>
      <c r="G2573">
        <v>1329.5599365</v>
      </c>
      <c r="H2573">
        <v>1328.3183594</v>
      </c>
      <c r="I2573">
        <v>1339.2513428</v>
      </c>
      <c r="J2573">
        <v>1336.5581055</v>
      </c>
      <c r="K2573">
        <v>0</v>
      </c>
      <c r="L2573">
        <v>2750</v>
      </c>
      <c r="M2573">
        <v>2750</v>
      </c>
      <c r="N2573">
        <v>0</v>
      </c>
    </row>
    <row r="2574" spans="1:14" x14ac:dyDescent="0.25">
      <c r="A2574">
        <v>1647.404634</v>
      </c>
      <c r="B2574" s="1">
        <f>DATE(2014,11,3) + TIME(9,42,40)</f>
        <v>41946.404629629629</v>
      </c>
      <c r="C2574">
        <v>80</v>
      </c>
      <c r="D2574">
        <v>79.760749817000004</v>
      </c>
      <c r="E2574">
        <v>50</v>
      </c>
      <c r="F2574">
        <v>50.225582123000002</v>
      </c>
      <c r="G2574">
        <v>1329.5493164</v>
      </c>
      <c r="H2574">
        <v>1328.3026123</v>
      </c>
      <c r="I2574">
        <v>1339.2471923999999</v>
      </c>
      <c r="J2574">
        <v>1336.5556641000001</v>
      </c>
      <c r="K2574">
        <v>0</v>
      </c>
      <c r="L2574">
        <v>2750</v>
      </c>
      <c r="M2574">
        <v>2750</v>
      </c>
      <c r="N2574">
        <v>0</v>
      </c>
    </row>
    <row r="2575" spans="1:14" x14ac:dyDescent="0.25">
      <c r="A2575">
        <v>1647.5595860000001</v>
      </c>
      <c r="B2575" s="1">
        <f>DATE(2014,11,3) + TIME(13,25,48)</f>
        <v>41946.559583333335</v>
      </c>
      <c r="C2575">
        <v>80</v>
      </c>
      <c r="D2575">
        <v>79.748931885000005</v>
      </c>
      <c r="E2575">
        <v>50</v>
      </c>
      <c r="F2575">
        <v>50.177154541</v>
      </c>
      <c r="G2575">
        <v>1329.5383300999999</v>
      </c>
      <c r="H2575">
        <v>1328.2863769999999</v>
      </c>
      <c r="I2575">
        <v>1339.2430420000001</v>
      </c>
      <c r="J2575">
        <v>1336.5532227000001</v>
      </c>
      <c r="K2575">
        <v>0</v>
      </c>
      <c r="L2575">
        <v>2750</v>
      </c>
      <c r="M2575">
        <v>2750</v>
      </c>
      <c r="N2575">
        <v>0</v>
      </c>
    </row>
    <row r="2576" spans="1:14" x14ac:dyDescent="0.25">
      <c r="A2576">
        <v>1647.7213220000001</v>
      </c>
      <c r="B2576" s="1">
        <f>DATE(2014,11,3) + TIME(17,18,42)</f>
        <v>41946.721319444441</v>
      </c>
      <c r="C2576">
        <v>80</v>
      </c>
      <c r="D2576">
        <v>79.736679077000005</v>
      </c>
      <c r="E2576">
        <v>50</v>
      </c>
      <c r="F2576">
        <v>50.137401580999999</v>
      </c>
      <c r="G2576">
        <v>1329.5269774999999</v>
      </c>
      <c r="H2576">
        <v>1328.2697754000001</v>
      </c>
      <c r="I2576">
        <v>1339.2388916</v>
      </c>
      <c r="J2576">
        <v>1336.5510254000001</v>
      </c>
      <c r="K2576">
        <v>0</v>
      </c>
      <c r="L2576">
        <v>2750</v>
      </c>
      <c r="M2576">
        <v>2750</v>
      </c>
      <c r="N2576">
        <v>0</v>
      </c>
    </row>
    <row r="2577" spans="1:14" x14ac:dyDescent="0.25">
      <c r="A2577">
        <v>1647.890236</v>
      </c>
      <c r="B2577" s="1">
        <f>DATE(2014,11,3) + TIME(21,21,56)</f>
        <v>41946.890231481484</v>
      </c>
      <c r="C2577">
        <v>80</v>
      </c>
      <c r="D2577">
        <v>79.723976135000001</v>
      </c>
      <c r="E2577">
        <v>50</v>
      </c>
      <c r="F2577">
        <v>50.105030059999997</v>
      </c>
      <c r="G2577">
        <v>1329.5153809000001</v>
      </c>
      <c r="H2577">
        <v>1328.2526855000001</v>
      </c>
      <c r="I2577">
        <v>1339.2347411999999</v>
      </c>
      <c r="J2577">
        <v>1336.5488281</v>
      </c>
      <c r="K2577">
        <v>0</v>
      </c>
      <c r="L2577">
        <v>2750</v>
      </c>
      <c r="M2577">
        <v>2750</v>
      </c>
      <c r="N2577">
        <v>0</v>
      </c>
    </row>
    <row r="2578" spans="1:14" x14ac:dyDescent="0.25">
      <c r="A2578">
        <v>1648.066867</v>
      </c>
      <c r="B2578" s="1">
        <f>DATE(2014,11,4) + TIME(1,36,17)</f>
        <v>41947.066863425927</v>
      </c>
      <c r="C2578">
        <v>80</v>
      </c>
      <c r="D2578">
        <v>79.710777282999999</v>
      </c>
      <c r="E2578">
        <v>50</v>
      </c>
      <c r="F2578">
        <v>50.078872681</v>
      </c>
      <c r="G2578">
        <v>1329.5032959</v>
      </c>
      <c r="H2578">
        <v>1328.2351074000001</v>
      </c>
      <c r="I2578">
        <v>1339.2303466999999</v>
      </c>
      <c r="J2578">
        <v>1336.5466309000001</v>
      </c>
      <c r="K2578">
        <v>0</v>
      </c>
      <c r="L2578">
        <v>2750</v>
      </c>
      <c r="M2578">
        <v>2750</v>
      </c>
      <c r="N2578">
        <v>0</v>
      </c>
    </row>
    <row r="2579" spans="1:14" x14ac:dyDescent="0.25">
      <c r="A2579">
        <v>1648.2518219999999</v>
      </c>
      <c r="B2579" s="1">
        <f>DATE(2014,11,4) + TIME(6,2,37)</f>
        <v>41947.251817129632</v>
      </c>
      <c r="C2579">
        <v>80</v>
      </c>
      <c r="D2579">
        <v>79.697052002000007</v>
      </c>
      <c r="E2579">
        <v>50</v>
      </c>
      <c r="F2579">
        <v>50.057910919000001</v>
      </c>
      <c r="G2579">
        <v>1329.4909668</v>
      </c>
      <c r="H2579">
        <v>1328.2170410000001</v>
      </c>
      <c r="I2579">
        <v>1339.2259521000001</v>
      </c>
      <c r="J2579">
        <v>1336.5443115</v>
      </c>
      <c r="K2579">
        <v>0</v>
      </c>
      <c r="L2579">
        <v>2750</v>
      </c>
      <c r="M2579">
        <v>2750</v>
      </c>
      <c r="N2579">
        <v>0</v>
      </c>
    </row>
    <row r="2580" spans="1:14" x14ac:dyDescent="0.25">
      <c r="A2580">
        <v>1648.445704</v>
      </c>
      <c r="B2580" s="1">
        <f>DATE(2014,11,4) + TIME(10,41,48)</f>
        <v>41947.445694444446</v>
      </c>
      <c r="C2580">
        <v>80</v>
      </c>
      <c r="D2580">
        <v>79.682754517000006</v>
      </c>
      <c r="E2580">
        <v>50</v>
      </c>
      <c r="F2580">
        <v>50.041263579999999</v>
      </c>
      <c r="G2580">
        <v>1329.4782714999999</v>
      </c>
      <c r="H2580">
        <v>1328.1983643000001</v>
      </c>
      <c r="I2580">
        <v>1339.2214355000001</v>
      </c>
      <c r="J2580">
        <v>1336.5421143000001</v>
      </c>
      <c r="K2580">
        <v>0</v>
      </c>
      <c r="L2580">
        <v>2750</v>
      </c>
      <c r="M2580">
        <v>2750</v>
      </c>
      <c r="N2580">
        <v>0</v>
      </c>
    </row>
    <row r="2581" spans="1:14" x14ac:dyDescent="0.25">
      <c r="A2581">
        <v>1648.6492229999999</v>
      </c>
      <c r="B2581" s="1">
        <f>DATE(2014,11,4) + TIME(15,34,52)</f>
        <v>41947.649212962962</v>
      </c>
      <c r="C2581">
        <v>80</v>
      </c>
      <c r="D2581">
        <v>79.667846679999997</v>
      </c>
      <c r="E2581">
        <v>50</v>
      </c>
      <c r="F2581">
        <v>50.028160094999997</v>
      </c>
      <c r="G2581">
        <v>1329.4652100000001</v>
      </c>
      <c r="H2581">
        <v>1328.1791992000001</v>
      </c>
      <c r="I2581">
        <v>1339.2166748</v>
      </c>
      <c r="J2581">
        <v>1336.5397949000001</v>
      </c>
      <c r="K2581">
        <v>0</v>
      </c>
      <c r="L2581">
        <v>2750</v>
      </c>
      <c r="M2581">
        <v>2750</v>
      </c>
      <c r="N2581">
        <v>0</v>
      </c>
    </row>
    <row r="2582" spans="1:14" x14ac:dyDescent="0.25">
      <c r="A2582">
        <v>1648.86321</v>
      </c>
      <c r="B2582" s="1">
        <f>DATE(2014,11,4) + TIME(20,43,1)</f>
        <v>41947.863206018519</v>
      </c>
      <c r="C2582">
        <v>80</v>
      </c>
      <c r="D2582">
        <v>79.652290343999994</v>
      </c>
      <c r="E2582">
        <v>50</v>
      </c>
      <c r="F2582">
        <v>50.017948150999999</v>
      </c>
      <c r="G2582">
        <v>1329.4516602000001</v>
      </c>
      <c r="H2582">
        <v>1328.1594238</v>
      </c>
      <c r="I2582">
        <v>1339.2119141000001</v>
      </c>
      <c r="J2582">
        <v>1336.5373535000001</v>
      </c>
      <c r="K2582">
        <v>0</v>
      </c>
      <c r="L2582">
        <v>2750</v>
      </c>
      <c r="M2582">
        <v>2750</v>
      </c>
      <c r="N2582">
        <v>0</v>
      </c>
    </row>
    <row r="2583" spans="1:14" x14ac:dyDescent="0.25">
      <c r="A2583">
        <v>1649.088546</v>
      </c>
      <c r="B2583" s="1">
        <f>DATE(2014,11,5) + TIME(2,7,30)</f>
        <v>41948.088541666664</v>
      </c>
      <c r="C2583">
        <v>80</v>
      </c>
      <c r="D2583">
        <v>79.636016846000004</v>
      </c>
      <c r="E2583">
        <v>50</v>
      </c>
      <c r="F2583">
        <v>50.010063170999999</v>
      </c>
      <c r="G2583">
        <v>1329.4375</v>
      </c>
      <c r="H2583">
        <v>1328.1389160000001</v>
      </c>
      <c r="I2583">
        <v>1339.2070312000001</v>
      </c>
      <c r="J2583">
        <v>1336.5349120999999</v>
      </c>
      <c r="K2583">
        <v>0</v>
      </c>
      <c r="L2583">
        <v>2750</v>
      </c>
      <c r="M2583">
        <v>2750</v>
      </c>
      <c r="N2583">
        <v>0</v>
      </c>
    </row>
    <row r="2584" spans="1:14" x14ac:dyDescent="0.25">
      <c r="A2584">
        <v>1649.3261970000001</v>
      </c>
      <c r="B2584" s="1">
        <f>DATE(2014,11,5) + TIME(7,49,43)</f>
        <v>41948.326192129629</v>
      </c>
      <c r="C2584">
        <v>80</v>
      </c>
      <c r="D2584">
        <v>79.618988036999994</v>
      </c>
      <c r="E2584">
        <v>50</v>
      </c>
      <c r="F2584">
        <v>50.004039763999998</v>
      </c>
      <c r="G2584">
        <v>1329.4229736</v>
      </c>
      <c r="H2584">
        <v>1328.1176757999999</v>
      </c>
      <c r="I2584">
        <v>1339.2020264</v>
      </c>
      <c r="J2584">
        <v>1336.5324707</v>
      </c>
      <c r="K2584">
        <v>0</v>
      </c>
      <c r="L2584">
        <v>2750</v>
      </c>
      <c r="M2584">
        <v>2750</v>
      </c>
      <c r="N2584">
        <v>0</v>
      </c>
    </row>
    <row r="2585" spans="1:14" x14ac:dyDescent="0.25">
      <c r="A2585">
        <v>1649.5772340000001</v>
      </c>
      <c r="B2585" s="1">
        <f>DATE(2014,11,5) + TIME(13,51,12)</f>
        <v>41948.577222222222</v>
      </c>
      <c r="C2585">
        <v>80</v>
      </c>
      <c r="D2585">
        <v>79.601135253999999</v>
      </c>
      <c r="E2585">
        <v>50</v>
      </c>
      <c r="F2585">
        <v>49.999481201000002</v>
      </c>
      <c r="G2585">
        <v>1329.4078368999999</v>
      </c>
      <c r="H2585">
        <v>1328.0957031</v>
      </c>
      <c r="I2585">
        <v>1339.1968993999999</v>
      </c>
      <c r="J2585">
        <v>1336.5297852000001</v>
      </c>
      <c r="K2585">
        <v>0</v>
      </c>
      <c r="L2585">
        <v>2750</v>
      </c>
      <c r="M2585">
        <v>2750</v>
      </c>
      <c r="N2585">
        <v>0</v>
      </c>
    </row>
    <row r="2586" spans="1:14" x14ac:dyDescent="0.25">
      <c r="A2586">
        <v>1649.8344279999999</v>
      </c>
      <c r="B2586" s="1">
        <f>DATE(2014,11,5) + TIME(20,1,34)</f>
        <v>41948.834421296298</v>
      </c>
      <c r="C2586">
        <v>80</v>
      </c>
      <c r="D2586">
        <v>79.582847595000004</v>
      </c>
      <c r="E2586">
        <v>50</v>
      </c>
      <c r="F2586">
        <v>49.996150970000002</v>
      </c>
      <c r="G2586">
        <v>1329.3922118999999</v>
      </c>
      <c r="H2586">
        <v>1328.0729980000001</v>
      </c>
      <c r="I2586">
        <v>1339.1916504000001</v>
      </c>
      <c r="J2586">
        <v>1336.5272216999999</v>
      </c>
      <c r="K2586">
        <v>0</v>
      </c>
      <c r="L2586">
        <v>2750</v>
      </c>
      <c r="M2586">
        <v>2750</v>
      </c>
      <c r="N2586">
        <v>0</v>
      </c>
    </row>
    <row r="2587" spans="1:14" x14ac:dyDescent="0.25">
      <c r="A2587">
        <v>1650.0969190000001</v>
      </c>
      <c r="B2587" s="1">
        <f>DATE(2014,11,6) + TIME(2,19,33)</f>
        <v>41949.096909722219</v>
      </c>
      <c r="C2587">
        <v>80</v>
      </c>
      <c r="D2587">
        <v>79.564193725999999</v>
      </c>
      <c r="E2587">
        <v>50</v>
      </c>
      <c r="F2587">
        <v>49.993724823000001</v>
      </c>
      <c r="G2587">
        <v>1329.3763428</v>
      </c>
      <c r="H2587">
        <v>1328.0499268000001</v>
      </c>
      <c r="I2587">
        <v>1339.1864014</v>
      </c>
      <c r="J2587">
        <v>1336.5245361</v>
      </c>
      <c r="K2587">
        <v>0</v>
      </c>
      <c r="L2587">
        <v>2750</v>
      </c>
      <c r="M2587">
        <v>2750</v>
      </c>
      <c r="N2587">
        <v>0</v>
      </c>
    </row>
    <row r="2588" spans="1:14" x14ac:dyDescent="0.25">
      <c r="A2588">
        <v>1650.365327</v>
      </c>
      <c r="B2588" s="1">
        <f>DATE(2014,11,6) + TIME(8,46,4)</f>
        <v>41949.365324074075</v>
      </c>
      <c r="C2588">
        <v>80</v>
      </c>
      <c r="D2588">
        <v>79.545181274000001</v>
      </c>
      <c r="E2588">
        <v>50</v>
      </c>
      <c r="F2588">
        <v>49.991954802999999</v>
      </c>
      <c r="G2588">
        <v>1329.3602295000001</v>
      </c>
      <c r="H2588">
        <v>1328.0267334</v>
      </c>
      <c r="I2588">
        <v>1339.1812743999999</v>
      </c>
      <c r="J2588">
        <v>1336.5219727000001</v>
      </c>
      <c r="K2588">
        <v>0</v>
      </c>
      <c r="L2588">
        <v>2750</v>
      </c>
      <c r="M2588">
        <v>2750</v>
      </c>
      <c r="N2588">
        <v>0</v>
      </c>
    </row>
    <row r="2589" spans="1:14" x14ac:dyDescent="0.25">
      <c r="A2589">
        <v>1650.6402619999999</v>
      </c>
      <c r="B2589" s="1">
        <f>DATE(2014,11,6) + TIME(15,21,58)</f>
        <v>41949.64025462963</v>
      </c>
      <c r="C2589">
        <v>80</v>
      </c>
      <c r="D2589">
        <v>79.525779724000003</v>
      </c>
      <c r="E2589">
        <v>50</v>
      </c>
      <c r="F2589">
        <v>49.990665436</v>
      </c>
      <c r="G2589">
        <v>1329.3441161999999</v>
      </c>
      <c r="H2589">
        <v>1328.0032959</v>
      </c>
      <c r="I2589">
        <v>1339.1761475000001</v>
      </c>
      <c r="J2589">
        <v>1336.5192870999999</v>
      </c>
      <c r="K2589">
        <v>0</v>
      </c>
      <c r="L2589">
        <v>2750</v>
      </c>
      <c r="M2589">
        <v>2750</v>
      </c>
      <c r="N2589">
        <v>0</v>
      </c>
    </row>
    <row r="2590" spans="1:14" x14ac:dyDescent="0.25">
      <c r="A2590">
        <v>1650.9223569999999</v>
      </c>
      <c r="B2590" s="1">
        <f>DATE(2014,11,6) + TIME(22,8,11)</f>
        <v>41949.922349537039</v>
      </c>
      <c r="C2590">
        <v>80</v>
      </c>
      <c r="D2590">
        <v>79.505996703999998</v>
      </c>
      <c r="E2590">
        <v>50</v>
      </c>
      <c r="F2590">
        <v>49.989719391000001</v>
      </c>
      <c r="G2590">
        <v>1329.3276367000001</v>
      </c>
      <c r="H2590">
        <v>1327.9796143000001</v>
      </c>
      <c r="I2590">
        <v>1339.1711425999999</v>
      </c>
      <c r="J2590">
        <v>1336.5167236</v>
      </c>
      <c r="K2590">
        <v>0</v>
      </c>
      <c r="L2590">
        <v>2750</v>
      </c>
      <c r="M2590">
        <v>2750</v>
      </c>
      <c r="N2590">
        <v>0</v>
      </c>
    </row>
    <row r="2591" spans="1:14" x14ac:dyDescent="0.25">
      <c r="A2591">
        <v>1651.212278</v>
      </c>
      <c r="B2591" s="1">
        <f>DATE(2014,11,7) + TIME(5,5,40)</f>
        <v>41950.212268518517</v>
      </c>
      <c r="C2591">
        <v>80</v>
      </c>
      <c r="D2591">
        <v>79.485794067</v>
      </c>
      <c r="E2591">
        <v>50</v>
      </c>
      <c r="F2591">
        <v>49.989025116000001</v>
      </c>
      <c r="G2591">
        <v>1329.3110352000001</v>
      </c>
      <c r="H2591">
        <v>1327.9556885</v>
      </c>
      <c r="I2591">
        <v>1339.1662598</v>
      </c>
      <c r="J2591">
        <v>1336.5140381000001</v>
      </c>
      <c r="K2591">
        <v>0</v>
      </c>
      <c r="L2591">
        <v>2750</v>
      </c>
      <c r="M2591">
        <v>2750</v>
      </c>
      <c r="N2591">
        <v>0</v>
      </c>
    </row>
    <row r="2592" spans="1:14" x14ac:dyDescent="0.25">
      <c r="A2592">
        <v>1651.5107419999999</v>
      </c>
      <c r="B2592" s="1">
        <f>DATE(2014,11,7) + TIME(12,15,28)</f>
        <v>41950.510740740741</v>
      </c>
      <c r="C2592">
        <v>80</v>
      </c>
      <c r="D2592">
        <v>79.465148925999998</v>
      </c>
      <c r="E2592">
        <v>50</v>
      </c>
      <c r="F2592">
        <v>49.988513947000001</v>
      </c>
      <c r="G2592">
        <v>1329.2941894999999</v>
      </c>
      <c r="H2592">
        <v>1327.9313964999999</v>
      </c>
      <c r="I2592">
        <v>1339.1612548999999</v>
      </c>
      <c r="J2592">
        <v>1336.5114745999999</v>
      </c>
      <c r="K2592">
        <v>0</v>
      </c>
      <c r="L2592">
        <v>2750</v>
      </c>
      <c r="M2592">
        <v>2750</v>
      </c>
      <c r="N2592">
        <v>0</v>
      </c>
    </row>
    <row r="2593" spans="1:14" x14ac:dyDescent="0.25">
      <c r="A2593">
        <v>1651.8185040000001</v>
      </c>
      <c r="B2593" s="1">
        <f>DATE(2014,11,7) + TIME(19,38,38)</f>
        <v>41950.818495370368</v>
      </c>
      <c r="C2593">
        <v>80</v>
      </c>
      <c r="D2593">
        <v>79.444038391000007</v>
      </c>
      <c r="E2593">
        <v>50</v>
      </c>
      <c r="F2593">
        <v>49.988132477000001</v>
      </c>
      <c r="G2593">
        <v>1329.2770995999999</v>
      </c>
      <c r="H2593">
        <v>1327.9067382999999</v>
      </c>
      <c r="I2593">
        <v>1339.1563721</v>
      </c>
      <c r="J2593">
        <v>1336.5089111</v>
      </c>
      <c r="K2593">
        <v>0</v>
      </c>
      <c r="L2593">
        <v>2750</v>
      </c>
      <c r="M2593">
        <v>2750</v>
      </c>
      <c r="N2593">
        <v>0</v>
      </c>
    </row>
    <row r="2594" spans="1:14" x14ac:dyDescent="0.25">
      <c r="A2594">
        <v>1652.136375</v>
      </c>
      <c r="B2594" s="1">
        <f>DATE(2014,11,8) + TIME(3,16,22)</f>
        <v>41951.136365740742</v>
      </c>
      <c r="C2594">
        <v>80</v>
      </c>
      <c r="D2594">
        <v>79.422424316000004</v>
      </c>
      <c r="E2594">
        <v>50</v>
      </c>
      <c r="F2594">
        <v>49.987846374999997</v>
      </c>
      <c r="G2594">
        <v>1329.2596435999999</v>
      </c>
      <c r="H2594">
        <v>1327.8817139</v>
      </c>
      <c r="I2594">
        <v>1339.1514893000001</v>
      </c>
      <c r="J2594">
        <v>1336.5063477000001</v>
      </c>
      <c r="K2594">
        <v>0</v>
      </c>
      <c r="L2594">
        <v>2750</v>
      </c>
      <c r="M2594">
        <v>2750</v>
      </c>
      <c r="N2594">
        <v>0</v>
      </c>
    </row>
    <row r="2595" spans="1:14" x14ac:dyDescent="0.25">
      <c r="A2595">
        <v>1652.4652189999999</v>
      </c>
      <c r="B2595" s="1">
        <f>DATE(2014,11,8) + TIME(11,9,54)</f>
        <v>41951.465208333335</v>
      </c>
      <c r="C2595">
        <v>80</v>
      </c>
      <c r="D2595">
        <v>79.400276184000006</v>
      </c>
      <c r="E2595">
        <v>50</v>
      </c>
      <c r="F2595">
        <v>49.987628936999997</v>
      </c>
      <c r="G2595">
        <v>1329.2419434000001</v>
      </c>
      <c r="H2595">
        <v>1327.8562012</v>
      </c>
      <c r="I2595">
        <v>1339.1467285000001</v>
      </c>
      <c r="J2595">
        <v>1336.5037841999999</v>
      </c>
      <c r="K2595">
        <v>0</v>
      </c>
      <c r="L2595">
        <v>2750</v>
      </c>
      <c r="M2595">
        <v>2750</v>
      </c>
      <c r="N2595">
        <v>0</v>
      </c>
    </row>
    <row r="2596" spans="1:14" x14ac:dyDescent="0.25">
      <c r="A2596">
        <v>1652.805861</v>
      </c>
      <c r="B2596" s="1">
        <f>DATE(2014,11,8) + TIME(19,20,26)</f>
        <v>41951.805856481478</v>
      </c>
      <c r="C2596">
        <v>80</v>
      </c>
      <c r="D2596">
        <v>79.377548218000001</v>
      </c>
      <c r="E2596">
        <v>50</v>
      </c>
      <c r="F2596">
        <v>49.987464905000003</v>
      </c>
      <c r="G2596">
        <v>1329.2237548999999</v>
      </c>
      <c r="H2596">
        <v>1327.8302002</v>
      </c>
      <c r="I2596">
        <v>1339.1419678</v>
      </c>
      <c r="J2596">
        <v>1336.5012207</v>
      </c>
      <c r="K2596">
        <v>0</v>
      </c>
      <c r="L2596">
        <v>2750</v>
      </c>
      <c r="M2596">
        <v>2750</v>
      </c>
      <c r="N2596">
        <v>0</v>
      </c>
    </row>
    <row r="2597" spans="1:14" x14ac:dyDescent="0.25">
      <c r="A2597">
        <v>1653.1594580000001</v>
      </c>
      <c r="B2597" s="1">
        <f>DATE(2014,11,9) + TIME(3,49,37)</f>
        <v>41952.159456018519</v>
      </c>
      <c r="C2597">
        <v>80</v>
      </c>
      <c r="D2597">
        <v>79.354194641000007</v>
      </c>
      <c r="E2597">
        <v>50</v>
      </c>
      <c r="F2597">
        <v>49.987335205000001</v>
      </c>
      <c r="G2597">
        <v>1329.2052002</v>
      </c>
      <c r="H2597">
        <v>1327.8035889</v>
      </c>
      <c r="I2597">
        <v>1339.1370850000001</v>
      </c>
      <c r="J2597">
        <v>1336.4986572</v>
      </c>
      <c r="K2597">
        <v>0</v>
      </c>
      <c r="L2597">
        <v>2750</v>
      </c>
      <c r="M2597">
        <v>2750</v>
      </c>
      <c r="N2597">
        <v>0</v>
      </c>
    </row>
    <row r="2598" spans="1:14" x14ac:dyDescent="0.25">
      <c r="A2598">
        <v>1653.5271540000001</v>
      </c>
      <c r="B2598" s="1">
        <f>DATE(2014,11,9) + TIME(12,39,6)</f>
        <v>41952.52715277778</v>
      </c>
      <c r="C2598">
        <v>80</v>
      </c>
      <c r="D2598">
        <v>79.330162048000005</v>
      </c>
      <c r="E2598">
        <v>50</v>
      </c>
      <c r="F2598">
        <v>49.987232208000002</v>
      </c>
      <c r="G2598">
        <v>1329.1862793</v>
      </c>
      <c r="H2598">
        <v>1327.7764893000001</v>
      </c>
      <c r="I2598">
        <v>1339.1323242000001</v>
      </c>
      <c r="J2598">
        <v>1336.4960937999999</v>
      </c>
      <c r="K2598">
        <v>0</v>
      </c>
      <c r="L2598">
        <v>2750</v>
      </c>
      <c r="M2598">
        <v>2750</v>
      </c>
      <c r="N2598">
        <v>0</v>
      </c>
    </row>
    <row r="2599" spans="1:14" x14ac:dyDescent="0.25">
      <c r="A2599">
        <v>1653.9102150000001</v>
      </c>
      <c r="B2599" s="1">
        <f>DATE(2014,11,9) + TIME(21,50,42)</f>
        <v>41952.910208333335</v>
      </c>
      <c r="C2599">
        <v>80</v>
      </c>
      <c r="D2599">
        <v>79.305397033999995</v>
      </c>
      <c r="E2599">
        <v>50</v>
      </c>
      <c r="F2599">
        <v>49.987152100000003</v>
      </c>
      <c r="G2599">
        <v>1329.1667480000001</v>
      </c>
      <c r="H2599">
        <v>1327.7486572</v>
      </c>
      <c r="I2599">
        <v>1339.1275635</v>
      </c>
      <c r="J2599">
        <v>1336.4935303</v>
      </c>
      <c r="K2599">
        <v>0</v>
      </c>
      <c r="L2599">
        <v>2750</v>
      </c>
      <c r="M2599">
        <v>2750</v>
      </c>
      <c r="N2599">
        <v>0</v>
      </c>
    </row>
    <row r="2600" spans="1:14" x14ac:dyDescent="0.25">
      <c r="A2600">
        <v>1654.310041</v>
      </c>
      <c r="B2600" s="1">
        <f>DATE(2014,11,10) + TIME(7,26,27)</f>
        <v>41953.310034722221</v>
      </c>
      <c r="C2600">
        <v>80</v>
      </c>
      <c r="D2600">
        <v>79.279830933</v>
      </c>
      <c r="E2600">
        <v>50</v>
      </c>
      <c r="F2600">
        <v>49.987087250000002</v>
      </c>
      <c r="G2600">
        <v>1329.1467285000001</v>
      </c>
      <c r="H2600">
        <v>1327.7200928</v>
      </c>
      <c r="I2600">
        <v>1339.1228027</v>
      </c>
      <c r="J2600">
        <v>1336.4908447</v>
      </c>
      <c r="K2600">
        <v>0</v>
      </c>
      <c r="L2600">
        <v>2750</v>
      </c>
      <c r="M2600">
        <v>2750</v>
      </c>
      <c r="N2600">
        <v>0</v>
      </c>
    </row>
    <row r="2601" spans="1:14" x14ac:dyDescent="0.25">
      <c r="A2601">
        <v>1654.7281969999999</v>
      </c>
      <c r="B2601" s="1">
        <f>DATE(2014,11,10) + TIME(17,28,36)</f>
        <v>41953.728194444448</v>
      </c>
      <c r="C2601">
        <v>80</v>
      </c>
      <c r="D2601">
        <v>79.253402710000003</v>
      </c>
      <c r="E2601">
        <v>50</v>
      </c>
      <c r="F2601">
        <v>49.987033844000003</v>
      </c>
      <c r="G2601">
        <v>1329.1262207</v>
      </c>
      <c r="H2601">
        <v>1327.6906738</v>
      </c>
      <c r="I2601">
        <v>1339.1180420000001</v>
      </c>
      <c r="J2601">
        <v>1336.4882812000001</v>
      </c>
      <c r="K2601">
        <v>0</v>
      </c>
      <c r="L2601">
        <v>2750</v>
      </c>
      <c r="M2601">
        <v>2750</v>
      </c>
      <c r="N2601">
        <v>0</v>
      </c>
    </row>
    <row r="2602" spans="1:14" x14ac:dyDescent="0.25">
      <c r="A2602">
        <v>1655.166442</v>
      </c>
      <c r="B2602" s="1">
        <f>DATE(2014,11,11) + TIME(3,59,40)</f>
        <v>41954.166435185187</v>
      </c>
      <c r="C2602">
        <v>80</v>
      </c>
      <c r="D2602">
        <v>79.226028442</v>
      </c>
      <c r="E2602">
        <v>50</v>
      </c>
      <c r="F2602">
        <v>49.986991881999998</v>
      </c>
      <c r="G2602">
        <v>1329.1049805</v>
      </c>
      <c r="H2602">
        <v>1327.6604004000001</v>
      </c>
      <c r="I2602">
        <v>1339.1132812000001</v>
      </c>
      <c r="J2602">
        <v>1336.4857178</v>
      </c>
      <c r="K2602">
        <v>0</v>
      </c>
      <c r="L2602">
        <v>2750</v>
      </c>
      <c r="M2602">
        <v>2750</v>
      </c>
      <c r="N2602">
        <v>0</v>
      </c>
    </row>
    <row r="2603" spans="1:14" x14ac:dyDescent="0.25">
      <c r="A2603">
        <v>1655.626755</v>
      </c>
      <c r="B2603" s="1">
        <f>DATE(2014,11,11) + TIME(15,2,31)</f>
        <v>41954.626747685186</v>
      </c>
      <c r="C2603">
        <v>80</v>
      </c>
      <c r="D2603">
        <v>79.197624207000004</v>
      </c>
      <c r="E2603">
        <v>50</v>
      </c>
      <c r="F2603">
        <v>49.986953735</v>
      </c>
      <c r="G2603">
        <v>1329.0830077999999</v>
      </c>
      <c r="H2603">
        <v>1327.6292725000001</v>
      </c>
      <c r="I2603">
        <v>1339.1083983999999</v>
      </c>
      <c r="J2603">
        <v>1336.4831543</v>
      </c>
      <c r="K2603">
        <v>0</v>
      </c>
      <c r="L2603">
        <v>2750</v>
      </c>
      <c r="M2603">
        <v>2750</v>
      </c>
      <c r="N2603">
        <v>0</v>
      </c>
    </row>
    <row r="2604" spans="1:14" x14ac:dyDescent="0.25">
      <c r="A2604">
        <v>1656.1113760000001</v>
      </c>
      <c r="B2604" s="1">
        <f>DATE(2014,11,12) + TIME(2,40,22)</f>
        <v>41955.11136574074</v>
      </c>
      <c r="C2604">
        <v>80</v>
      </c>
      <c r="D2604">
        <v>79.168090820000003</v>
      </c>
      <c r="E2604">
        <v>50</v>
      </c>
      <c r="F2604">
        <v>49.986919403000002</v>
      </c>
      <c r="G2604">
        <v>1329.0601807</v>
      </c>
      <c r="H2604">
        <v>1327.5969238</v>
      </c>
      <c r="I2604">
        <v>1339.1035156</v>
      </c>
      <c r="J2604">
        <v>1336.4804687999999</v>
      </c>
      <c r="K2604">
        <v>0</v>
      </c>
      <c r="L2604">
        <v>2750</v>
      </c>
      <c r="M2604">
        <v>2750</v>
      </c>
      <c r="N2604">
        <v>0</v>
      </c>
    </row>
    <row r="2605" spans="1:14" x14ac:dyDescent="0.25">
      <c r="A2605">
        <v>1656.622865</v>
      </c>
      <c r="B2605" s="1">
        <f>DATE(2014,11,12) + TIME(14,56,55)</f>
        <v>41955.622858796298</v>
      </c>
      <c r="C2605">
        <v>80</v>
      </c>
      <c r="D2605">
        <v>79.137321471999996</v>
      </c>
      <c r="E2605">
        <v>50</v>
      </c>
      <c r="F2605">
        <v>49.986892699999999</v>
      </c>
      <c r="G2605">
        <v>1329.0366211</v>
      </c>
      <c r="H2605">
        <v>1327.5634766000001</v>
      </c>
      <c r="I2605">
        <v>1339.0986327999999</v>
      </c>
      <c r="J2605">
        <v>1336.4777832</v>
      </c>
      <c r="K2605">
        <v>0</v>
      </c>
      <c r="L2605">
        <v>2750</v>
      </c>
      <c r="M2605">
        <v>2750</v>
      </c>
      <c r="N2605">
        <v>0</v>
      </c>
    </row>
    <row r="2606" spans="1:14" x14ac:dyDescent="0.25">
      <c r="A2606">
        <v>1657.164229</v>
      </c>
      <c r="B2606" s="1">
        <f>DATE(2014,11,13) + TIME(3,56,29)</f>
        <v>41956.164224537039</v>
      </c>
      <c r="C2606">
        <v>80</v>
      </c>
      <c r="D2606">
        <v>79.105178832999997</v>
      </c>
      <c r="E2606">
        <v>50</v>
      </c>
      <c r="F2606">
        <v>49.986869812000002</v>
      </c>
      <c r="G2606">
        <v>1329.0120850000001</v>
      </c>
      <c r="H2606">
        <v>1327.5288086</v>
      </c>
      <c r="I2606">
        <v>1339.0936279</v>
      </c>
      <c r="J2606">
        <v>1336.4752197</v>
      </c>
      <c r="K2606">
        <v>0</v>
      </c>
      <c r="L2606">
        <v>2750</v>
      </c>
      <c r="M2606">
        <v>2750</v>
      </c>
      <c r="N2606">
        <v>0</v>
      </c>
    </row>
    <row r="2607" spans="1:14" x14ac:dyDescent="0.25">
      <c r="A2607">
        <v>1657.7180310000001</v>
      </c>
      <c r="B2607" s="1">
        <f>DATE(2014,11,13) + TIME(17,13,57)</f>
        <v>41956.71802083333</v>
      </c>
      <c r="C2607">
        <v>80</v>
      </c>
      <c r="D2607">
        <v>79.072212218999994</v>
      </c>
      <c r="E2607">
        <v>50</v>
      </c>
      <c r="F2607">
        <v>49.986846923999998</v>
      </c>
      <c r="G2607">
        <v>1328.9865723</v>
      </c>
      <c r="H2607">
        <v>1327.4927978999999</v>
      </c>
      <c r="I2607">
        <v>1339.0886230000001</v>
      </c>
      <c r="J2607">
        <v>1336.4724120999999</v>
      </c>
      <c r="K2607">
        <v>0</v>
      </c>
      <c r="L2607">
        <v>2750</v>
      </c>
      <c r="M2607">
        <v>2750</v>
      </c>
      <c r="N2607">
        <v>0</v>
      </c>
    </row>
    <row r="2608" spans="1:14" x14ac:dyDescent="0.25">
      <c r="A2608">
        <v>1658.283968</v>
      </c>
      <c r="B2608" s="1">
        <f>DATE(2014,11,14) + TIME(6,48,54)</f>
        <v>41957.283958333333</v>
      </c>
      <c r="C2608">
        <v>80</v>
      </c>
      <c r="D2608">
        <v>79.038612365999995</v>
      </c>
      <c r="E2608">
        <v>50</v>
      </c>
      <c r="F2608">
        <v>49.986831664999997</v>
      </c>
      <c r="G2608">
        <v>1328.9606934000001</v>
      </c>
      <c r="H2608">
        <v>1327.4562988</v>
      </c>
      <c r="I2608">
        <v>1339.0836182</v>
      </c>
      <c r="J2608">
        <v>1336.4698486</v>
      </c>
      <c r="K2608">
        <v>0</v>
      </c>
      <c r="L2608">
        <v>2750</v>
      </c>
      <c r="M2608">
        <v>2750</v>
      </c>
      <c r="N2608">
        <v>0</v>
      </c>
    </row>
    <row r="2609" spans="1:14" x14ac:dyDescent="0.25">
      <c r="A2609">
        <v>1658.8661030000001</v>
      </c>
      <c r="B2609" s="1">
        <f>DATE(2014,11,14) + TIME(20,47,11)</f>
        <v>41957.866099537037</v>
      </c>
      <c r="C2609">
        <v>80</v>
      </c>
      <c r="D2609">
        <v>79.004364014000004</v>
      </c>
      <c r="E2609">
        <v>50</v>
      </c>
      <c r="F2609">
        <v>49.986812592</v>
      </c>
      <c r="G2609">
        <v>1328.9345702999999</v>
      </c>
      <c r="H2609">
        <v>1327.4193115</v>
      </c>
      <c r="I2609">
        <v>1339.0788574000001</v>
      </c>
      <c r="J2609">
        <v>1336.4672852000001</v>
      </c>
      <c r="K2609">
        <v>0</v>
      </c>
      <c r="L2609">
        <v>2750</v>
      </c>
      <c r="M2609">
        <v>2750</v>
      </c>
      <c r="N2609">
        <v>0</v>
      </c>
    </row>
    <row r="2610" spans="1:14" x14ac:dyDescent="0.25">
      <c r="A2610">
        <v>1659.468734</v>
      </c>
      <c r="B2610" s="1">
        <f>DATE(2014,11,15) + TIME(11,14,58)</f>
        <v>41958.468726851854</v>
      </c>
      <c r="C2610">
        <v>80</v>
      </c>
      <c r="D2610">
        <v>78.969360351999995</v>
      </c>
      <c r="E2610">
        <v>50</v>
      </c>
      <c r="F2610">
        <v>49.986797332999998</v>
      </c>
      <c r="G2610">
        <v>1328.9079589999999</v>
      </c>
      <c r="H2610">
        <v>1327.3818358999999</v>
      </c>
      <c r="I2610">
        <v>1339.0740966999999</v>
      </c>
      <c r="J2610">
        <v>1336.4647216999999</v>
      </c>
      <c r="K2610">
        <v>0</v>
      </c>
      <c r="L2610">
        <v>2750</v>
      </c>
      <c r="M2610">
        <v>2750</v>
      </c>
      <c r="N2610">
        <v>0</v>
      </c>
    </row>
    <row r="2611" spans="1:14" x14ac:dyDescent="0.25">
      <c r="A2611">
        <v>1660.0966559999999</v>
      </c>
      <c r="B2611" s="1">
        <f>DATE(2014,11,16) + TIME(2,19,11)</f>
        <v>41959.096655092595</v>
      </c>
      <c r="C2611">
        <v>80</v>
      </c>
      <c r="D2611">
        <v>78.933418274000005</v>
      </c>
      <c r="E2611">
        <v>50</v>
      </c>
      <c r="F2611">
        <v>49.986785888999997</v>
      </c>
      <c r="G2611">
        <v>1328.8808594</v>
      </c>
      <c r="H2611">
        <v>1327.34375</v>
      </c>
      <c r="I2611">
        <v>1339.0693358999999</v>
      </c>
      <c r="J2611">
        <v>1336.4622803</v>
      </c>
      <c r="K2611">
        <v>0</v>
      </c>
      <c r="L2611">
        <v>2750</v>
      </c>
      <c r="M2611">
        <v>2750</v>
      </c>
      <c r="N2611">
        <v>0</v>
      </c>
    </row>
    <row r="2612" spans="1:14" x14ac:dyDescent="0.25">
      <c r="A2612">
        <v>1660.746803</v>
      </c>
      <c r="B2612" s="1">
        <f>DATE(2014,11,16) + TIME(17,55,23)</f>
        <v>41959.746793981481</v>
      </c>
      <c r="C2612">
        <v>80</v>
      </c>
      <c r="D2612">
        <v>78.896560668999996</v>
      </c>
      <c r="E2612">
        <v>50</v>
      </c>
      <c r="F2612">
        <v>49.986770630000002</v>
      </c>
      <c r="G2612">
        <v>1328.8530272999999</v>
      </c>
      <c r="H2612">
        <v>1327.3046875</v>
      </c>
      <c r="I2612">
        <v>1339.0646973</v>
      </c>
      <c r="J2612">
        <v>1336.4598389</v>
      </c>
      <c r="K2612">
        <v>0</v>
      </c>
      <c r="L2612">
        <v>2750</v>
      </c>
      <c r="M2612">
        <v>2750</v>
      </c>
      <c r="N2612">
        <v>0</v>
      </c>
    </row>
    <row r="2613" spans="1:14" x14ac:dyDescent="0.25">
      <c r="A2613">
        <v>1661.414822</v>
      </c>
      <c r="B2613" s="1">
        <f>DATE(2014,11,17) + TIME(9,57,20)</f>
        <v>41960.414814814816</v>
      </c>
      <c r="C2613">
        <v>80</v>
      </c>
      <c r="D2613">
        <v>78.858932495000005</v>
      </c>
      <c r="E2613">
        <v>50</v>
      </c>
      <c r="F2613">
        <v>49.986759186</v>
      </c>
      <c r="G2613">
        <v>1328.824707</v>
      </c>
      <c r="H2613">
        <v>1327.2650146000001</v>
      </c>
      <c r="I2613">
        <v>1339.0600586</v>
      </c>
      <c r="J2613">
        <v>1336.4573975000001</v>
      </c>
      <c r="K2613">
        <v>0</v>
      </c>
      <c r="L2613">
        <v>2750</v>
      </c>
      <c r="M2613">
        <v>2750</v>
      </c>
      <c r="N2613">
        <v>0</v>
      </c>
    </row>
    <row r="2614" spans="1:14" x14ac:dyDescent="0.25">
      <c r="A2614">
        <v>1662.102725</v>
      </c>
      <c r="B2614" s="1">
        <f>DATE(2014,11,18) + TIME(2,27,55)</f>
        <v>41961.102719907409</v>
      </c>
      <c r="C2614">
        <v>80</v>
      </c>
      <c r="D2614">
        <v>78.820533752000003</v>
      </c>
      <c r="E2614">
        <v>50</v>
      </c>
      <c r="F2614">
        <v>49.986743926999999</v>
      </c>
      <c r="G2614">
        <v>1328.7958983999999</v>
      </c>
      <c r="H2614">
        <v>1327.2247314000001</v>
      </c>
      <c r="I2614">
        <v>1339.0554199000001</v>
      </c>
      <c r="J2614">
        <v>1336.4549560999999</v>
      </c>
      <c r="K2614">
        <v>0</v>
      </c>
      <c r="L2614">
        <v>2750</v>
      </c>
      <c r="M2614">
        <v>2750</v>
      </c>
      <c r="N2614">
        <v>0</v>
      </c>
    </row>
    <row r="2615" spans="1:14" x14ac:dyDescent="0.25">
      <c r="A2615">
        <v>1662.8125230000001</v>
      </c>
      <c r="B2615" s="1">
        <f>DATE(2014,11,18) + TIME(19,30,2)</f>
        <v>41961.812523148146</v>
      </c>
      <c r="C2615">
        <v>80</v>
      </c>
      <c r="D2615">
        <v>78.781326293999996</v>
      </c>
      <c r="E2615">
        <v>50</v>
      </c>
      <c r="F2615">
        <v>49.986732482999997</v>
      </c>
      <c r="G2615">
        <v>1328.7667236</v>
      </c>
      <c r="H2615">
        <v>1327.1838379000001</v>
      </c>
      <c r="I2615">
        <v>1339.0509033000001</v>
      </c>
      <c r="J2615">
        <v>1336.4526367000001</v>
      </c>
      <c r="K2615">
        <v>0</v>
      </c>
      <c r="L2615">
        <v>2750</v>
      </c>
      <c r="M2615">
        <v>2750</v>
      </c>
      <c r="N2615">
        <v>0</v>
      </c>
    </row>
    <row r="2616" spans="1:14" x14ac:dyDescent="0.25">
      <c r="A2616">
        <v>1663.544138</v>
      </c>
      <c r="B2616" s="1">
        <f>DATE(2014,11,19) + TIME(13,3,33)</f>
        <v>41962.544131944444</v>
      </c>
      <c r="C2616">
        <v>80</v>
      </c>
      <c r="D2616">
        <v>78.741294861</v>
      </c>
      <c r="E2616">
        <v>50</v>
      </c>
      <c r="F2616">
        <v>49.986721039000003</v>
      </c>
      <c r="G2616">
        <v>1328.7370605000001</v>
      </c>
      <c r="H2616">
        <v>1327.1424560999999</v>
      </c>
      <c r="I2616">
        <v>1339.0463867000001</v>
      </c>
      <c r="J2616">
        <v>1336.4504394999999</v>
      </c>
      <c r="K2616">
        <v>0</v>
      </c>
      <c r="L2616">
        <v>2750</v>
      </c>
      <c r="M2616">
        <v>2750</v>
      </c>
      <c r="N2616">
        <v>0</v>
      </c>
    </row>
    <row r="2617" spans="1:14" x14ac:dyDescent="0.25">
      <c r="A2617">
        <v>1664.2878129999999</v>
      </c>
      <c r="B2617" s="1">
        <f>DATE(2014,11,20) + TIME(6,54,27)</f>
        <v>41963.287812499999</v>
      </c>
      <c r="C2617">
        <v>80</v>
      </c>
      <c r="D2617">
        <v>78.700691223000007</v>
      </c>
      <c r="E2617">
        <v>50</v>
      </c>
      <c r="F2617">
        <v>49.986709595000001</v>
      </c>
      <c r="G2617">
        <v>1328.7069091999999</v>
      </c>
      <c r="H2617">
        <v>1327.1004639</v>
      </c>
      <c r="I2617">
        <v>1339.0419922000001</v>
      </c>
      <c r="J2617">
        <v>1336.4481201000001</v>
      </c>
      <c r="K2617">
        <v>0</v>
      </c>
      <c r="L2617">
        <v>2750</v>
      </c>
      <c r="M2617">
        <v>2750</v>
      </c>
      <c r="N2617">
        <v>0</v>
      </c>
    </row>
    <row r="2618" spans="1:14" x14ac:dyDescent="0.25">
      <c r="A2618">
        <v>1665.0492360000001</v>
      </c>
      <c r="B2618" s="1">
        <f>DATE(2014,11,21) + TIME(1,10,53)</f>
        <v>41964.049224537041</v>
      </c>
      <c r="C2618">
        <v>80</v>
      </c>
      <c r="D2618">
        <v>78.659500121999997</v>
      </c>
      <c r="E2618">
        <v>50</v>
      </c>
      <c r="F2618">
        <v>49.986698150999999</v>
      </c>
      <c r="G2618">
        <v>1328.6766356999999</v>
      </c>
      <c r="H2618">
        <v>1327.0582274999999</v>
      </c>
      <c r="I2618">
        <v>1339.0375977000001</v>
      </c>
      <c r="J2618">
        <v>1336.4460449000001</v>
      </c>
      <c r="K2618">
        <v>0</v>
      </c>
      <c r="L2618">
        <v>2750</v>
      </c>
      <c r="M2618">
        <v>2750</v>
      </c>
      <c r="N2618">
        <v>0</v>
      </c>
    </row>
    <row r="2619" spans="1:14" x14ac:dyDescent="0.25">
      <c r="A2619">
        <v>1665.8342419999999</v>
      </c>
      <c r="B2619" s="1">
        <f>DATE(2014,11,21) + TIME(20,1,18)</f>
        <v>41964.834236111114</v>
      </c>
      <c r="C2619">
        <v>80</v>
      </c>
      <c r="D2619">
        <v>78.617576599000003</v>
      </c>
      <c r="E2619">
        <v>50</v>
      </c>
      <c r="F2619">
        <v>49.986686706999997</v>
      </c>
      <c r="G2619">
        <v>1328.6461182</v>
      </c>
      <c r="H2619">
        <v>1327.0157471</v>
      </c>
      <c r="I2619">
        <v>1339.0334473</v>
      </c>
      <c r="J2619">
        <v>1336.4439697</v>
      </c>
      <c r="K2619">
        <v>0</v>
      </c>
      <c r="L2619">
        <v>2750</v>
      </c>
      <c r="M2619">
        <v>2750</v>
      </c>
      <c r="N2619">
        <v>0</v>
      </c>
    </row>
    <row r="2620" spans="1:14" x14ac:dyDescent="0.25">
      <c r="A2620">
        <v>1666.6492539999999</v>
      </c>
      <c r="B2620" s="1">
        <f>DATE(2014,11,22) + TIME(15,34,55)</f>
        <v>41965.649247685185</v>
      </c>
      <c r="C2620">
        <v>80</v>
      </c>
      <c r="D2620">
        <v>78.574668884000005</v>
      </c>
      <c r="E2620">
        <v>50</v>
      </c>
      <c r="F2620">
        <v>49.986675261999999</v>
      </c>
      <c r="G2620">
        <v>1328.6151123</v>
      </c>
      <c r="H2620">
        <v>1326.9726562000001</v>
      </c>
      <c r="I2620">
        <v>1339.0291748</v>
      </c>
      <c r="J2620">
        <v>1336.4418945</v>
      </c>
      <c r="K2620">
        <v>0</v>
      </c>
      <c r="L2620">
        <v>2750</v>
      </c>
      <c r="M2620">
        <v>2750</v>
      </c>
      <c r="N2620">
        <v>0</v>
      </c>
    </row>
    <row r="2621" spans="1:14" x14ac:dyDescent="0.25">
      <c r="A2621">
        <v>1667.5015900000001</v>
      </c>
      <c r="B2621" s="1">
        <f>DATE(2014,11,23) + TIME(12,2,17)</f>
        <v>41966.501585648148</v>
      </c>
      <c r="C2621">
        <v>80</v>
      </c>
      <c r="D2621">
        <v>78.530448914000004</v>
      </c>
      <c r="E2621">
        <v>50</v>
      </c>
      <c r="F2621">
        <v>49.986663817999997</v>
      </c>
      <c r="G2621">
        <v>1328.5834961</v>
      </c>
      <c r="H2621">
        <v>1326.9288329999999</v>
      </c>
      <c r="I2621">
        <v>1339.0250243999999</v>
      </c>
      <c r="J2621">
        <v>1336.4398193</v>
      </c>
      <c r="K2621">
        <v>0</v>
      </c>
      <c r="L2621">
        <v>2750</v>
      </c>
      <c r="M2621">
        <v>2750</v>
      </c>
      <c r="N2621">
        <v>0</v>
      </c>
    </row>
    <row r="2622" spans="1:14" x14ac:dyDescent="0.25">
      <c r="A2622">
        <v>1668.3969489999999</v>
      </c>
      <c r="B2622" s="1">
        <f>DATE(2014,11,24) + TIME(9,31,36)</f>
        <v>41967.396944444445</v>
      </c>
      <c r="C2622">
        <v>80</v>
      </c>
      <c r="D2622">
        <v>78.484611510999997</v>
      </c>
      <c r="E2622">
        <v>50</v>
      </c>
      <c r="F2622">
        <v>49.986652374000002</v>
      </c>
      <c r="G2622">
        <v>1328.5510254000001</v>
      </c>
      <c r="H2622">
        <v>1326.8839111</v>
      </c>
      <c r="I2622">
        <v>1339.0207519999999</v>
      </c>
      <c r="J2622">
        <v>1336.4378661999999</v>
      </c>
      <c r="K2622">
        <v>0</v>
      </c>
      <c r="L2622">
        <v>2750</v>
      </c>
      <c r="M2622">
        <v>2750</v>
      </c>
      <c r="N2622">
        <v>0</v>
      </c>
    </row>
    <row r="2623" spans="1:14" x14ac:dyDescent="0.25">
      <c r="A2623">
        <v>1669.3097330000001</v>
      </c>
      <c r="B2623" s="1">
        <f>DATE(2014,11,25) + TIME(7,26,0)</f>
        <v>41968.30972222222</v>
      </c>
      <c r="C2623">
        <v>80</v>
      </c>
      <c r="D2623">
        <v>78.437492371000005</v>
      </c>
      <c r="E2623">
        <v>50</v>
      </c>
      <c r="F2623">
        <v>49.98664093</v>
      </c>
      <c r="G2623">
        <v>1328.5175781</v>
      </c>
      <c r="H2623">
        <v>1326.8377685999999</v>
      </c>
      <c r="I2623">
        <v>1339.0164795000001</v>
      </c>
      <c r="J2623">
        <v>1336.4357910000001</v>
      </c>
      <c r="K2623">
        <v>0</v>
      </c>
      <c r="L2623">
        <v>2750</v>
      </c>
      <c r="M2623">
        <v>2750</v>
      </c>
      <c r="N2623">
        <v>0</v>
      </c>
    </row>
    <row r="2624" spans="1:14" x14ac:dyDescent="0.25">
      <c r="A2624">
        <v>1670.246253</v>
      </c>
      <c r="B2624" s="1">
        <f>DATE(2014,11,26) + TIME(5,54,36)</f>
        <v>41969.246249999997</v>
      </c>
      <c r="C2624">
        <v>80</v>
      </c>
      <c r="D2624">
        <v>78.389350891000007</v>
      </c>
      <c r="E2624">
        <v>50</v>
      </c>
      <c r="F2624">
        <v>49.986633300999998</v>
      </c>
      <c r="G2624">
        <v>1328.4837646000001</v>
      </c>
      <c r="H2624">
        <v>1326.7911377</v>
      </c>
      <c r="I2624">
        <v>1339.0123291</v>
      </c>
      <c r="J2624">
        <v>1336.4338379000001</v>
      </c>
      <c r="K2624">
        <v>0</v>
      </c>
      <c r="L2624">
        <v>2750</v>
      </c>
      <c r="M2624">
        <v>2750</v>
      </c>
      <c r="N2624">
        <v>0</v>
      </c>
    </row>
    <row r="2625" spans="1:14" x14ac:dyDescent="0.25">
      <c r="A2625">
        <v>1671.200777</v>
      </c>
      <c r="B2625" s="1">
        <f>DATE(2014,11,27) + TIME(4,49,7)</f>
        <v>41970.200775462959</v>
      </c>
      <c r="C2625">
        <v>80</v>
      </c>
      <c r="D2625">
        <v>78.340332031000003</v>
      </c>
      <c r="E2625">
        <v>50</v>
      </c>
      <c r="F2625">
        <v>49.986621857000003</v>
      </c>
      <c r="G2625">
        <v>1328.449707</v>
      </c>
      <c r="H2625">
        <v>1326.7441406</v>
      </c>
      <c r="I2625">
        <v>1339.0081786999999</v>
      </c>
      <c r="J2625">
        <v>1336.4320068</v>
      </c>
      <c r="K2625">
        <v>0</v>
      </c>
      <c r="L2625">
        <v>2750</v>
      </c>
      <c r="M2625">
        <v>2750</v>
      </c>
      <c r="N2625">
        <v>0</v>
      </c>
    </row>
    <row r="2626" spans="1:14" x14ac:dyDescent="0.25">
      <c r="A2626">
        <v>1672.1717200000001</v>
      </c>
      <c r="B2626" s="1">
        <f>DATE(2014,11,28) + TIME(4,7,16)</f>
        <v>41971.171712962961</v>
      </c>
      <c r="C2626">
        <v>80</v>
      </c>
      <c r="D2626">
        <v>78.290573120000005</v>
      </c>
      <c r="E2626">
        <v>50</v>
      </c>
      <c r="F2626">
        <v>49.986610413000001</v>
      </c>
      <c r="G2626">
        <v>1328.4152832</v>
      </c>
      <c r="H2626">
        <v>1326.6967772999999</v>
      </c>
      <c r="I2626">
        <v>1339.0041504000001</v>
      </c>
      <c r="J2626">
        <v>1336.4301757999999</v>
      </c>
      <c r="K2626">
        <v>0</v>
      </c>
      <c r="L2626">
        <v>2750</v>
      </c>
      <c r="M2626">
        <v>2750</v>
      </c>
      <c r="N2626">
        <v>0</v>
      </c>
    </row>
    <row r="2627" spans="1:14" x14ac:dyDescent="0.25">
      <c r="A2627">
        <v>1673.1669750000001</v>
      </c>
      <c r="B2627" s="1">
        <f>DATE(2014,11,29) + TIME(4,0,26)</f>
        <v>41972.166967592595</v>
      </c>
      <c r="C2627">
        <v>80</v>
      </c>
      <c r="D2627">
        <v>78.239982604999994</v>
      </c>
      <c r="E2627">
        <v>50</v>
      </c>
      <c r="F2627">
        <v>49.986598968999999</v>
      </c>
      <c r="G2627">
        <v>1328.3808594</v>
      </c>
      <c r="H2627">
        <v>1326.6495361</v>
      </c>
      <c r="I2627">
        <v>1339.0002440999999</v>
      </c>
      <c r="J2627">
        <v>1336.4284668</v>
      </c>
      <c r="K2627">
        <v>0</v>
      </c>
      <c r="L2627">
        <v>2750</v>
      </c>
      <c r="M2627">
        <v>2750</v>
      </c>
      <c r="N2627">
        <v>0</v>
      </c>
    </row>
    <row r="2628" spans="1:14" x14ac:dyDescent="0.25">
      <c r="A2628">
        <v>1674.194839</v>
      </c>
      <c r="B2628" s="1">
        <f>DATE(2014,11,30) + TIME(4,40,34)</f>
        <v>41973.194837962961</v>
      </c>
      <c r="C2628">
        <v>80</v>
      </c>
      <c r="D2628">
        <v>78.188240050999994</v>
      </c>
      <c r="E2628">
        <v>50</v>
      </c>
      <c r="F2628">
        <v>49.986587524000001</v>
      </c>
      <c r="G2628">
        <v>1328.3461914</v>
      </c>
      <c r="H2628">
        <v>1326.6018065999999</v>
      </c>
      <c r="I2628">
        <v>1338.9963379000001</v>
      </c>
      <c r="J2628">
        <v>1336.4267577999999</v>
      </c>
      <c r="K2628">
        <v>0</v>
      </c>
      <c r="L2628">
        <v>2750</v>
      </c>
      <c r="M2628">
        <v>2750</v>
      </c>
      <c r="N2628">
        <v>0</v>
      </c>
    </row>
    <row r="2629" spans="1:14" x14ac:dyDescent="0.25">
      <c r="A2629">
        <v>1675</v>
      </c>
      <c r="B2629" s="1">
        <f>DATE(2014,12,1) + TIME(0,0,0)</f>
        <v>41974</v>
      </c>
      <c r="C2629">
        <v>80</v>
      </c>
      <c r="D2629">
        <v>78.140594481999997</v>
      </c>
      <c r="E2629">
        <v>50</v>
      </c>
      <c r="F2629">
        <v>49.986576079999999</v>
      </c>
      <c r="G2629">
        <v>1328.3116454999999</v>
      </c>
      <c r="H2629">
        <v>1326.5548096</v>
      </c>
      <c r="I2629">
        <v>1338.9924315999999</v>
      </c>
      <c r="J2629">
        <v>1336.4250488</v>
      </c>
      <c r="K2629">
        <v>0</v>
      </c>
      <c r="L2629">
        <v>2750</v>
      </c>
      <c r="M2629">
        <v>2750</v>
      </c>
      <c r="N2629">
        <v>0</v>
      </c>
    </row>
    <row r="2630" spans="1:14" x14ac:dyDescent="0.25">
      <c r="A2630">
        <v>1676.067472</v>
      </c>
      <c r="B2630" s="1">
        <f>DATE(2014,12,2) + TIME(1,37,9)</f>
        <v>41975.067465277774</v>
      </c>
      <c r="C2630">
        <v>80</v>
      </c>
      <c r="D2630">
        <v>78.091323853000006</v>
      </c>
      <c r="E2630">
        <v>50</v>
      </c>
      <c r="F2630">
        <v>49.986568450999997</v>
      </c>
      <c r="G2630">
        <v>1328.2818603999999</v>
      </c>
      <c r="H2630">
        <v>1326.5129394999999</v>
      </c>
      <c r="I2630">
        <v>1338.9895019999999</v>
      </c>
      <c r="J2630">
        <v>1336.4238281</v>
      </c>
      <c r="K2630">
        <v>0</v>
      </c>
      <c r="L2630">
        <v>2750</v>
      </c>
      <c r="M2630">
        <v>2750</v>
      </c>
      <c r="N2630">
        <v>0</v>
      </c>
    </row>
    <row r="2631" spans="1:14" x14ac:dyDescent="0.25">
      <c r="A2631">
        <v>1677.2024329999999</v>
      </c>
      <c r="B2631" s="1">
        <f>DATE(2014,12,3) + TIME(4,51,30)</f>
        <v>41976.202430555553</v>
      </c>
      <c r="C2631">
        <v>80</v>
      </c>
      <c r="D2631">
        <v>78.037307738999999</v>
      </c>
      <c r="E2631">
        <v>50</v>
      </c>
      <c r="F2631">
        <v>49.986557007000002</v>
      </c>
      <c r="G2631">
        <v>1328.2475586</v>
      </c>
      <c r="H2631">
        <v>1326.4664307</v>
      </c>
      <c r="I2631">
        <v>1338.9857178</v>
      </c>
      <c r="J2631">
        <v>1336.4222411999999</v>
      </c>
      <c r="K2631">
        <v>0</v>
      </c>
      <c r="L2631">
        <v>2750</v>
      </c>
      <c r="M2631">
        <v>2750</v>
      </c>
      <c r="N2631">
        <v>0</v>
      </c>
    </row>
    <row r="2632" spans="1:14" x14ac:dyDescent="0.25">
      <c r="A2632">
        <v>1678.386894</v>
      </c>
      <c r="B2632" s="1">
        <f>DATE(2014,12,4) + TIME(9,17,7)</f>
        <v>41977.386886574073</v>
      </c>
      <c r="C2632">
        <v>80</v>
      </c>
      <c r="D2632">
        <v>77.979652404999996</v>
      </c>
      <c r="E2632">
        <v>50</v>
      </c>
      <c r="F2632">
        <v>49.986545563</v>
      </c>
      <c r="G2632">
        <v>1328.2113036999999</v>
      </c>
      <c r="H2632">
        <v>1326.4172363</v>
      </c>
      <c r="I2632">
        <v>1338.9818115</v>
      </c>
      <c r="J2632">
        <v>1336.4207764</v>
      </c>
      <c r="K2632">
        <v>0</v>
      </c>
      <c r="L2632">
        <v>2750</v>
      </c>
      <c r="M2632">
        <v>2750</v>
      </c>
      <c r="N2632">
        <v>0</v>
      </c>
    </row>
    <row r="2633" spans="1:14" x14ac:dyDescent="0.25">
      <c r="A2633">
        <v>1679.598215</v>
      </c>
      <c r="B2633" s="1">
        <f>DATE(2014,12,5) + TIME(14,21,25)</f>
        <v>41978.59820601852</v>
      </c>
      <c r="C2633">
        <v>80</v>
      </c>
      <c r="D2633">
        <v>77.919403075999995</v>
      </c>
      <c r="E2633">
        <v>50</v>
      </c>
      <c r="F2633">
        <v>49.986534118999998</v>
      </c>
      <c r="G2633">
        <v>1328.1737060999999</v>
      </c>
      <c r="H2633">
        <v>1326.3662108999999</v>
      </c>
      <c r="I2633">
        <v>1338.9780272999999</v>
      </c>
      <c r="J2633">
        <v>1336.4191894999999</v>
      </c>
      <c r="K2633">
        <v>0</v>
      </c>
      <c r="L2633">
        <v>2750</v>
      </c>
      <c r="M2633">
        <v>2750</v>
      </c>
      <c r="N2633">
        <v>0</v>
      </c>
    </row>
    <row r="2634" spans="1:14" x14ac:dyDescent="0.25">
      <c r="A2634">
        <v>1680.8229490000001</v>
      </c>
      <c r="B2634" s="1">
        <f>DATE(2014,12,6) + TIME(19,45,2)</f>
        <v>41979.822939814818</v>
      </c>
      <c r="C2634">
        <v>80</v>
      </c>
      <c r="D2634">
        <v>77.857543945000003</v>
      </c>
      <c r="E2634">
        <v>50</v>
      </c>
      <c r="F2634">
        <v>49.986522675000003</v>
      </c>
      <c r="G2634">
        <v>1328.1356201000001</v>
      </c>
      <c r="H2634">
        <v>1326.3144531</v>
      </c>
      <c r="I2634">
        <v>1338.9741211</v>
      </c>
      <c r="J2634">
        <v>1336.4177245999999</v>
      </c>
      <c r="K2634">
        <v>0</v>
      </c>
      <c r="L2634">
        <v>2750</v>
      </c>
      <c r="M2634">
        <v>2750</v>
      </c>
      <c r="N2634">
        <v>0</v>
      </c>
    </row>
    <row r="2635" spans="1:14" x14ac:dyDescent="0.25">
      <c r="A2635">
        <v>1682.0642700000001</v>
      </c>
      <c r="B2635" s="1">
        <f>DATE(2014,12,8) + TIME(1,32,32)</f>
        <v>41981.064259259256</v>
      </c>
      <c r="C2635">
        <v>80</v>
      </c>
      <c r="D2635">
        <v>77.794555664000001</v>
      </c>
      <c r="E2635">
        <v>50</v>
      </c>
      <c r="F2635">
        <v>49.986511229999998</v>
      </c>
      <c r="G2635">
        <v>1328.0975341999999</v>
      </c>
      <c r="H2635">
        <v>1326.2626952999999</v>
      </c>
      <c r="I2635">
        <v>1338.9704589999999</v>
      </c>
      <c r="J2635">
        <v>1336.4162598</v>
      </c>
      <c r="K2635">
        <v>0</v>
      </c>
      <c r="L2635">
        <v>2750</v>
      </c>
      <c r="M2635">
        <v>2750</v>
      </c>
      <c r="N2635">
        <v>0</v>
      </c>
    </row>
    <row r="2636" spans="1:14" x14ac:dyDescent="0.25">
      <c r="A2636">
        <v>1683.3322599999999</v>
      </c>
      <c r="B2636" s="1">
        <f>DATE(2014,12,9) + TIME(7,58,27)</f>
        <v>41982.332256944443</v>
      </c>
      <c r="C2636">
        <v>80</v>
      </c>
      <c r="D2636">
        <v>77.730354309000006</v>
      </c>
      <c r="E2636">
        <v>50</v>
      </c>
      <c r="F2636">
        <v>49.986499786000003</v>
      </c>
      <c r="G2636">
        <v>1328.0595702999999</v>
      </c>
      <c r="H2636">
        <v>1326.2111815999999</v>
      </c>
      <c r="I2636">
        <v>1338.9667969</v>
      </c>
      <c r="J2636">
        <v>1336.4149170000001</v>
      </c>
      <c r="K2636">
        <v>0</v>
      </c>
      <c r="L2636">
        <v>2750</v>
      </c>
      <c r="M2636">
        <v>2750</v>
      </c>
      <c r="N2636">
        <v>0</v>
      </c>
    </row>
    <row r="2637" spans="1:14" x14ac:dyDescent="0.25">
      <c r="A2637">
        <v>1684.6374450000001</v>
      </c>
      <c r="B2637" s="1">
        <f>DATE(2014,12,10) + TIME(15,17,55)</f>
        <v>41983.637442129628</v>
      </c>
      <c r="C2637">
        <v>80</v>
      </c>
      <c r="D2637">
        <v>77.664520264000004</v>
      </c>
      <c r="E2637">
        <v>50</v>
      </c>
      <c r="F2637">
        <v>49.986488342000001</v>
      </c>
      <c r="G2637">
        <v>1328.0214844</v>
      </c>
      <c r="H2637">
        <v>1326.1595459</v>
      </c>
      <c r="I2637">
        <v>1338.9631348</v>
      </c>
      <c r="J2637">
        <v>1336.4135742000001</v>
      </c>
      <c r="K2637">
        <v>0</v>
      </c>
      <c r="L2637">
        <v>2750</v>
      </c>
      <c r="M2637">
        <v>2750</v>
      </c>
      <c r="N2637">
        <v>0</v>
      </c>
    </row>
    <row r="2638" spans="1:14" x14ac:dyDescent="0.25">
      <c r="A2638">
        <v>1685.991315</v>
      </c>
      <c r="B2638" s="1">
        <f>DATE(2014,12,11) + TIME(23,47,29)</f>
        <v>41984.991307870368</v>
      </c>
      <c r="C2638">
        <v>80</v>
      </c>
      <c r="D2638">
        <v>77.596488953000005</v>
      </c>
      <c r="E2638">
        <v>50</v>
      </c>
      <c r="F2638">
        <v>49.986476897999999</v>
      </c>
      <c r="G2638">
        <v>1327.9831543</v>
      </c>
      <c r="H2638">
        <v>1326.1076660000001</v>
      </c>
      <c r="I2638">
        <v>1338.9595947</v>
      </c>
      <c r="J2638">
        <v>1336.4123535000001</v>
      </c>
      <c r="K2638">
        <v>0</v>
      </c>
      <c r="L2638">
        <v>2750</v>
      </c>
      <c r="M2638">
        <v>2750</v>
      </c>
      <c r="N2638">
        <v>0</v>
      </c>
    </row>
    <row r="2639" spans="1:14" x14ac:dyDescent="0.25">
      <c r="A2639">
        <v>1687.406978</v>
      </c>
      <c r="B2639" s="1">
        <f>DATE(2014,12,13) + TIME(9,46,2)</f>
        <v>41986.406967592593</v>
      </c>
      <c r="C2639">
        <v>80</v>
      </c>
      <c r="D2639">
        <v>77.525611877000003</v>
      </c>
      <c r="E2639">
        <v>50</v>
      </c>
      <c r="F2639">
        <v>49.986465453999998</v>
      </c>
      <c r="G2639">
        <v>1327.9442139</v>
      </c>
      <c r="H2639">
        <v>1326.0550536999999</v>
      </c>
      <c r="I2639">
        <v>1338.9559326000001</v>
      </c>
      <c r="J2639">
        <v>1336.4110106999999</v>
      </c>
      <c r="K2639">
        <v>0</v>
      </c>
      <c r="L2639">
        <v>2750</v>
      </c>
      <c r="M2639">
        <v>2750</v>
      </c>
      <c r="N2639">
        <v>0</v>
      </c>
    </row>
    <row r="2640" spans="1:14" x14ac:dyDescent="0.25">
      <c r="A2640">
        <v>1688.8821029999999</v>
      </c>
      <c r="B2640" s="1">
        <f>DATE(2014,12,14) + TIME(21,10,13)</f>
        <v>41987.882094907407</v>
      </c>
      <c r="C2640">
        <v>80</v>
      </c>
      <c r="D2640">
        <v>77.451377868999998</v>
      </c>
      <c r="E2640">
        <v>50</v>
      </c>
      <c r="F2640">
        <v>49.986454010000003</v>
      </c>
      <c r="G2640">
        <v>1327.9042969</v>
      </c>
      <c r="H2640">
        <v>1326.0013428</v>
      </c>
      <c r="I2640">
        <v>1338.9522704999999</v>
      </c>
      <c r="J2640">
        <v>1336.4097899999999</v>
      </c>
      <c r="K2640">
        <v>0</v>
      </c>
      <c r="L2640">
        <v>2750</v>
      </c>
      <c r="M2640">
        <v>2750</v>
      </c>
      <c r="N2640">
        <v>0</v>
      </c>
    </row>
    <row r="2641" spans="1:14" x14ac:dyDescent="0.25">
      <c r="A2641">
        <v>1690.3714179999999</v>
      </c>
      <c r="B2641" s="1">
        <f>DATE(2014,12,16) + TIME(8,54,50)</f>
        <v>41989.371412037035</v>
      </c>
      <c r="C2641">
        <v>80</v>
      </c>
      <c r="D2641">
        <v>77.374252318999993</v>
      </c>
      <c r="E2641">
        <v>50</v>
      </c>
      <c r="F2641">
        <v>49.986442566000001</v>
      </c>
      <c r="G2641">
        <v>1327.8636475000001</v>
      </c>
      <c r="H2641">
        <v>1325.9466553</v>
      </c>
      <c r="I2641">
        <v>1338.9486084</v>
      </c>
      <c r="J2641">
        <v>1336.4085693</v>
      </c>
      <c r="K2641">
        <v>0</v>
      </c>
      <c r="L2641">
        <v>2750</v>
      </c>
      <c r="M2641">
        <v>2750</v>
      </c>
      <c r="N2641">
        <v>0</v>
      </c>
    </row>
    <row r="2642" spans="1:14" x14ac:dyDescent="0.25">
      <c r="A2642">
        <v>1691.8764980000001</v>
      </c>
      <c r="B2642" s="1">
        <f>DATE(2014,12,17) + TIME(21,2,9)</f>
        <v>41990.876493055555</v>
      </c>
      <c r="C2642">
        <v>80</v>
      </c>
      <c r="D2642">
        <v>77.295379639000004</v>
      </c>
      <c r="E2642">
        <v>50</v>
      </c>
      <c r="F2642">
        <v>49.986427307</v>
      </c>
      <c r="G2642">
        <v>1327.822876</v>
      </c>
      <c r="H2642">
        <v>1325.8918457</v>
      </c>
      <c r="I2642">
        <v>1338.9450684000001</v>
      </c>
      <c r="J2642">
        <v>1336.4074707</v>
      </c>
      <c r="K2642">
        <v>0</v>
      </c>
      <c r="L2642">
        <v>2750</v>
      </c>
      <c r="M2642">
        <v>2750</v>
      </c>
      <c r="N2642">
        <v>0</v>
      </c>
    </row>
    <row r="2643" spans="1:14" x14ac:dyDescent="0.25">
      <c r="A2643">
        <v>1693.4103889999999</v>
      </c>
      <c r="B2643" s="1">
        <f>DATE(2014,12,19) + TIME(9,50,57)</f>
        <v>41992.410381944443</v>
      </c>
      <c r="C2643">
        <v>80</v>
      </c>
      <c r="D2643">
        <v>77.214836121000005</v>
      </c>
      <c r="E2643">
        <v>50</v>
      </c>
      <c r="F2643">
        <v>49.986415862999998</v>
      </c>
      <c r="G2643">
        <v>1327.7824707</v>
      </c>
      <c r="H2643">
        <v>1325.8374022999999</v>
      </c>
      <c r="I2643">
        <v>1338.9416504000001</v>
      </c>
      <c r="J2643">
        <v>1336.4063721</v>
      </c>
      <c r="K2643">
        <v>0</v>
      </c>
      <c r="L2643">
        <v>2750</v>
      </c>
      <c r="M2643">
        <v>2750</v>
      </c>
      <c r="N2643">
        <v>0</v>
      </c>
    </row>
    <row r="2644" spans="1:14" x14ac:dyDescent="0.25">
      <c r="A2644">
        <v>1694.986574</v>
      </c>
      <c r="B2644" s="1">
        <f>DATE(2014,12,20) + TIME(23,40,40)</f>
        <v>41993.986574074072</v>
      </c>
      <c r="C2644">
        <v>80</v>
      </c>
      <c r="D2644">
        <v>77.132102966000005</v>
      </c>
      <c r="E2644">
        <v>50</v>
      </c>
      <c r="F2644">
        <v>49.986404419000003</v>
      </c>
      <c r="G2644">
        <v>1327.7420654</v>
      </c>
      <c r="H2644">
        <v>1325.7832031</v>
      </c>
      <c r="I2644">
        <v>1338.9381103999999</v>
      </c>
      <c r="J2644">
        <v>1336.4052733999999</v>
      </c>
      <c r="K2644">
        <v>0</v>
      </c>
      <c r="L2644">
        <v>2750</v>
      </c>
      <c r="M2644">
        <v>2750</v>
      </c>
      <c r="N2644">
        <v>0</v>
      </c>
    </row>
    <row r="2645" spans="1:14" x14ac:dyDescent="0.25">
      <c r="A2645">
        <v>1696.6196070000001</v>
      </c>
      <c r="B2645" s="1">
        <f>DATE(2014,12,22) + TIME(14,52,14)</f>
        <v>41995.619606481479</v>
      </c>
      <c r="C2645">
        <v>80</v>
      </c>
      <c r="D2645">
        <v>77.046447753999999</v>
      </c>
      <c r="E2645">
        <v>50</v>
      </c>
      <c r="F2645">
        <v>49.986392975000001</v>
      </c>
      <c r="G2645">
        <v>1327.7014160000001</v>
      </c>
      <c r="H2645">
        <v>1325.7288818</v>
      </c>
      <c r="I2645">
        <v>1338.9346923999999</v>
      </c>
      <c r="J2645">
        <v>1336.4042969</v>
      </c>
      <c r="K2645">
        <v>0</v>
      </c>
      <c r="L2645">
        <v>2750</v>
      </c>
      <c r="M2645">
        <v>2750</v>
      </c>
      <c r="N2645">
        <v>0</v>
      </c>
    </row>
    <row r="2646" spans="1:14" x14ac:dyDescent="0.25">
      <c r="A2646">
        <v>1698.3185719999999</v>
      </c>
      <c r="B2646" s="1">
        <f>DATE(2014,12,24) + TIME(7,38,44)</f>
        <v>41997.318564814814</v>
      </c>
      <c r="C2646">
        <v>80</v>
      </c>
      <c r="D2646">
        <v>76.957107543999996</v>
      </c>
      <c r="E2646">
        <v>50</v>
      </c>
      <c r="F2646">
        <v>49.986381530999999</v>
      </c>
      <c r="G2646">
        <v>1327.6602783000001</v>
      </c>
      <c r="H2646">
        <v>1325.6738281</v>
      </c>
      <c r="I2646">
        <v>1338.9312743999999</v>
      </c>
      <c r="J2646">
        <v>1336.4033202999999</v>
      </c>
      <c r="K2646">
        <v>0</v>
      </c>
      <c r="L2646">
        <v>2750</v>
      </c>
      <c r="M2646">
        <v>2750</v>
      </c>
      <c r="N2646">
        <v>0</v>
      </c>
    </row>
    <row r="2647" spans="1:14" x14ac:dyDescent="0.25">
      <c r="A2647">
        <v>1700.083038</v>
      </c>
      <c r="B2647" s="1">
        <f>DATE(2014,12,26) + TIME(1,59,34)</f>
        <v>41999.083032407405</v>
      </c>
      <c r="C2647">
        <v>80</v>
      </c>
      <c r="D2647">
        <v>76.863563537999994</v>
      </c>
      <c r="E2647">
        <v>50</v>
      </c>
      <c r="F2647">
        <v>49.986370086999997</v>
      </c>
      <c r="G2647">
        <v>1327.6184082</v>
      </c>
      <c r="H2647">
        <v>1325.6180420000001</v>
      </c>
      <c r="I2647">
        <v>1338.9277344</v>
      </c>
      <c r="J2647">
        <v>1336.4023437999999</v>
      </c>
      <c r="K2647">
        <v>0</v>
      </c>
      <c r="L2647">
        <v>2750</v>
      </c>
      <c r="M2647">
        <v>2750</v>
      </c>
      <c r="N2647">
        <v>0</v>
      </c>
    </row>
    <row r="2648" spans="1:14" x14ac:dyDescent="0.25">
      <c r="A2648">
        <v>1701.898389</v>
      </c>
      <c r="B2648" s="1">
        <f>DATE(2014,12,27) + TIME(21,33,40)</f>
        <v>42000.898379629631</v>
      </c>
      <c r="C2648">
        <v>80</v>
      </c>
      <c r="D2648">
        <v>76.765808105000005</v>
      </c>
      <c r="E2648">
        <v>50</v>
      </c>
      <c r="F2648">
        <v>49.986358643000003</v>
      </c>
      <c r="G2648">
        <v>1327.5758057</v>
      </c>
      <c r="H2648">
        <v>1325.5614014</v>
      </c>
      <c r="I2648">
        <v>1338.9243164</v>
      </c>
      <c r="J2648">
        <v>1336.4013672000001</v>
      </c>
      <c r="K2648">
        <v>0</v>
      </c>
      <c r="L2648">
        <v>2750</v>
      </c>
      <c r="M2648">
        <v>2750</v>
      </c>
      <c r="N2648">
        <v>0</v>
      </c>
    </row>
    <row r="2649" spans="1:14" x14ac:dyDescent="0.25">
      <c r="A2649">
        <v>1703.731986</v>
      </c>
      <c r="B2649" s="1">
        <f>DATE(2014,12,29) + TIME(17,34,3)</f>
        <v>42002.731979166667</v>
      </c>
      <c r="C2649">
        <v>80</v>
      </c>
      <c r="D2649">
        <v>76.664604186999995</v>
      </c>
      <c r="E2649">
        <v>50</v>
      </c>
      <c r="F2649">
        <v>49.986343384000001</v>
      </c>
      <c r="G2649">
        <v>1327.5328368999999</v>
      </c>
      <c r="H2649">
        <v>1325.5041504000001</v>
      </c>
      <c r="I2649">
        <v>1338.9207764</v>
      </c>
      <c r="J2649">
        <v>1336.4003906</v>
      </c>
      <c r="K2649">
        <v>0</v>
      </c>
      <c r="L2649">
        <v>2750</v>
      </c>
      <c r="M2649">
        <v>2750</v>
      </c>
      <c r="N2649">
        <v>0</v>
      </c>
    </row>
    <row r="2650" spans="1:14" x14ac:dyDescent="0.25">
      <c r="A2650">
        <v>1705.600811</v>
      </c>
      <c r="B2650" s="1">
        <f>DATE(2014,12,31) + TIME(14,25,10)</f>
        <v>42004.600810185184</v>
      </c>
      <c r="C2650">
        <v>80</v>
      </c>
      <c r="D2650">
        <v>76.560905457000004</v>
      </c>
      <c r="E2650">
        <v>50</v>
      </c>
      <c r="F2650">
        <v>49.986331939999999</v>
      </c>
      <c r="G2650">
        <v>1327.4899902</v>
      </c>
      <c r="H2650">
        <v>1325.4471435999999</v>
      </c>
      <c r="I2650">
        <v>1338.9173584</v>
      </c>
      <c r="J2650">
        <v>1336.3995361</v>
      </c>
      <c r="K2650">
        <v>0</v>
      </c>
      <c r="L2650">
        <v>2750</v>
      </c>
      <c r="M2650">
        <v>2750</v>
      </c>
      <c r="N2650">
        <v>0</v>
      </c>
    </row>
    <row r="2651" spans="1:14" x14ac:dyDescent="0.25">
      <c r="A2651">
        <v>1706</v>
      </c>
      <c r="B2651" s="1">
        <f>DATE(2015,1,1) + TIME(0,0,0)</f>
        <v>42005</v>
      </c>
      <c r="C2651">
        <v>80</v>
      </c>
      <c r="D2651">
        <v>76.502243042000003</v>
      </c>
      <c r="E2651">
        <v>50</v>
      </c>
      <c r="F2651">
        <v>49.986324310000001</v>
      </c>
      <c r="G2651">
        <v>1327.4495850000001</v>
      </c>
      <c r="H2651">
        <v>1325.3956298999999</v>
      </c>
      <c r="I2651">
        <v>1338.9138184000001</v>
      </c>
      <c r="J2651">
        <v>1336.3985596</v>
      </c>
      <c r="K2651">
        <v>0</v>
      </c>
      <c r="L2651">
        <v>2750</v>
      </c>
      <c r="M2651">
        <v>2750</v>
      </c>
      <c r="N2651">
        <v>0</v>
      </c>
    </row>
    <row r="2652" spans="1:14" x14ac:dyDescent="0.25">
      <c r="A2652">
        <v>1707.921658</v>
      </c>
      <c r="B2652" s="1">
        <f>DATE(2015,1,2) + TIME(22,7,11)</f>
        <v>42006.921655092592</v>
      </c>
      <c r="C2652">
        <v>80</v>
      </c>
      <c r="D2652">
        <v>76.423515320000007</v>
      </c>
      <c r="E2652">
        <v>50</v>
      </c>
      <c r="F2652">
        <v>49.986316680999998</v>
      </c>
      <c r="G2652">
        <v>1327.4326172000001</v>
      </c>
      <c r="H2652">
        <v>1325.3685303</v>
      </c>
      <c r="I2652">
        <v>1338.9132079999999</v>
      </c>
      <c r="J2652">
        <v>1336.3984375</v>
      </c>
      <c r="K2652">
        <v>0</v>
      </c>
      <c r="L2652">
        <v>2750</v>
      </c>
      <c r="M2652">
        <v>2750</v>
      </c>
      <c r="N2652">
        <v>0</v>
      </c>
    </row>
    <row r="2653" spans="1:14" x14ac:dyDescent="0.25">
      <c r="A2653">
        <v>1709.915289</v>
      </c>
      <c r="B2653" s="1">
        <f>DATE(2015,1,4) + TIME(21,58,0)</f>
        <v>42008.915277777778</v>
      </c>
      <c r="C2653">
        <v>80</v>
      </c>
      <c r="D2653">
        <v>76.318649292000003</v>
      </c>
      <c r="E2653">
        <v>50</v>
      </c>
      <c r="F2653">
        <v>49.986305237000003</v>
      </c>
      <c r="G2653">
        <v>1327.394043</v>
      </c>
      <c r="H2653">
        <v>1325.3192139</v>
      </c>
      <c r="I2653">
        <v>1338.9099120999999</v>
      </c>
      <c r="J2653">
        <v>1336.3977050999999</v>
      </c>
      <c r="K2653">
        <v>0</v>
      </c>
      <c r="L2653">
        <v>2750</v>
      </c>
      <c r="M2653">
        <v>2750</v>
      </c>
      <c r="N2653">
        <v>0</v>
      </c>
    </row>
    <row r="2654" spans="1:14" x14ac:dyDescent="0.25">
      <c r="A2654">
        <v>1711.974733</v>
      </c>
      <c r="B2654" s="1">
        <f>DATE(2015,1,6) + TIME(23,23,36)</f>
        <v>42010.974722222221</v>
      </c>
      <c r="C2654">
        <v>80</v>
      </c>
      <c r="D2654">
        <v>76.204063415999997</v>
      </c>
      <c r="E2654">
        <v>50</v>
      </c>
      <c r="F2654">
        <v>49.986293793000002</v>
      </c>
      <c r="G2654">
        <v>1327.3518065999999</v>
      </c>
      <c r="H2654">
        <v>1325.2637939000001</v>
      </c>
      <c r="I2654">
        <v>1338.9064940999999</v>
      </c>
      <c r="J2654">
        <v>1336.3968506000001</v>
      </c>
      <c r="K2654">
        <v>0</v>
      </c>
      <c r="L2654">
        <v>2750</v>
      </c>
      <c r="M2654">
        <v>2750</v>
      </c>
      <c r="N2654">
        <v>0</v>
      </c>
    </row>
    <row r="2655" spans="1:14" x14ac:dyDescent="0.25">
      <c r="A2655">
        <v>1714.073478</v>
      </c>
      <c r="B2655" s="1">
        <f>DATE(2015,1,9) + TIME(1,45,48)</f>
        <v>42013.073472222219</v>
      </c>
      <c r="C2655">
        <v>80</v>
      </c>
      <c r="D2655">
        <v>76.083869934000006</v>
      </c>
      <c r="E2655">
        <v>50</v>
      </c>
      <c r="F2655">
        <v>49.986282349</v>
      </c>
      <c r="G2655">
        <v>1327.3082274999999</v>
      </c>
      <c r="H2655">
        <v>1325.2064209</v>
      </c>
      <c r="I2655">
        <v>1338.9030762</v>
      </c>
      <c r="J2655">
        <v>1336.3959961</v>
      </c>
      <c r="K2655">
        <v>0</v>
      </c>
      <c r="L2655">
        <v>2750</v>
      </c>
      <c r="M2655">
        <v>2750</v>
      </c>
      <c r="N2655">
        <v>0</v>
      </c>
    </row>
    <row r="2656" spans="1:14" x14ac:dyDescent="0.25">
      <c r="A2656">
        <v>1716.2218089999999</v>
      </c>
      <c r="B2656" s="1">
        <f>DATE(2015,1,11) + TIME(5,19,24)</f>
        <v>42015.221805555557</v>
      </c>
      <c r="C2656">
        <v>80</v>
      </c>
      <c r="D2656">
        <v>75.959709167</v>
      </c>
      <c r="E2656">
        <v>50</v>
      </c>
      <c r="F2656">
        <v>49.986267089999998</v>
      </c>
      <c r="G2656">
        <v>1327.2645264</v>
      </c>
      <c r="H2656">
        <v>1325.1485596</v>
      </c>
      <c r="I2656">
        <v>1338.8996582</v>
      </c>
      <c r="J2656">
        <v>1336.3952637</v>
      </c>
      <c r="K2656">
        <v>0</v>
      </c>
      <c r="L2656">
        <v>2750</v>
      </c>
      <c r="M2656">
        <v>2750</v>
      </c>
      <c r="N2656">
        <v>0</v>
      </c>
    </row>
    <row r="2657" spans="1:14" x14ac:dyDescent="0.25">
      <c r="A2657">
        <v>1718.447199</v>
      </c>
      <c r="B2657" s="1">
        <f>DATE(2015,1,13) + TIME(10,43,58)</f>
        <v>42017.447199074071</v>
      </c>
      <c r="C2657">
        <v>80</v>
      </c>
      <c r="D2657">
        <v>75.831207274999997</v>
      </c>
      <c r="E2657">
        <v>50</v>
      </c>
      <c r="F2657">
        <v>49.986255645999996</v>
      </c>
      <c r="G2657">
        <v>1327.2205810999999</v>
      </c>
      <c r="H2657">
        <v>1325.0906981999999</v>
      </c>
      <c r="I2657">
        <v>1338.8962402</v>
      </c>
      <c r="J2657">
        <v>1336.3944091999999</v>
      </c>
      <c r="K2657">
        <v>0</v>
      </c>
      <c r="L2657">
        <v>2750</v>
      </c>
      <c r="M2657">
        <v>2750</v>
      </c>
      <c r="N2657">
        <v>0</v>
      </c>
    </row>
    <row r="2658" spans="1:14" x14ac:dyDescent="0.25">
      <c r="A2658">
        <v>1720.7286329999999</v>
      </c>
      <c r="B2658" s="1">
        <f>DATE(2015,1,15) + TIME(17,29,13)</f>
        <v>42019.728622685187</v>
      </c>
      <c r="C2658">
        <v>80</v>
      </c>
      <c r="D2658">
        <v>75.697433472</v>
      </c>
      <c r="E2658">
        <v>50</v>
      </c>
      <c r="F2658">
        <v>49.986244202000002</v>
      </c>
      <c r="G2658">
        <v>1327.1763916</v>
      </c>
      <c r="H2658">
        <v>1325.0324707</v>
      </c>
      <c r="I2658">
        <v>1338.8928223</v>
      </c>
      <c r="J2658">
        <v>1336.3936768000001</v>
      </c>
      <c r="K2658">
        <v>0</v>
      </c>
      <c r="L2658">
        <v>2750</v>
      </c>
      <c r="M2658">
        <v>2750</v>
      </c>
      <c r="N2658">
        <v>0</v>
      </c>
    </row>
    <row r="2659" spans="1:14" x14ac:dyDescent="0.25">
      <c r="A2659">
        <v>1723.054574</v>
      </c>
      <c r="B2659" s="1">
        <f>DATE(2015,1,18) + TIME(1,18,35)</f>
        <v>42022.054571759261</v>
      </c>
      <c r="C2659">
        <v>80</v>
      </c>
      <c r="D2659">
        <v>75.559082031000003</v>
      </c>
      <c r="E2659">
        <v>50</v>
      </c>
      <c r="F2659">
        <v>49.986232758</v>
      </c>
      <c r="G2659">
        <v>1327.1318358999999</v>
      </c>
      <c r="H2659">
        <v>1324.9738769999999</v>
      </c>
      <c r="I2659">
        <v>1338.8894043</v>
      </c>
      <c r="J2659">
        <v>1336.3928223</v>
      </c>
      <c r="K2659">
        <v>0</v>
      </c>
      <c r="L2659">
        <v>2750</v>
      </c>
      <c r="M2659">
        <v>2750</v>
      </c>
      <c r="N2659">
        <v>0</v>
      </c>
    </row>
    <row r="2660" spans="1:14" x14ac:dyDescent="0.25">
      <c r="A2660">
        <v>1725.453274</v>
      </c>
      <c r="B2660" s="1">
        <f>DATE(2015,1,20) + TIME(10,52,42)</f>
        <v>42024.453263888892</v>
      </c>
      <c r="C2660">
        <v>80</v>
      </c>
      <c r="D2660">
        <v>75.416389464999995</v>
      </c>
      <c r="E2660">
        <v>50</v>
      </c>
      <c r="F2660">
        <v>49.986217498999999</v>
      </c>
      <c r="G2660">
        <v>1327.0872803</v>
      </c>
      <c r="H2660">
        <v>1324.9154053</v>
      </c>
      <c r="I2660">
        <v>1338.8859863</v>
      </c>
      <c r="J2660">
        <v>1336.3920897999999</v>
      </c>
      <c r="K2660">
        <v>0</v>
      </c>
      <c r="L2660">
        <v>2750</v>
      </c>
      <c r="M2660">
        <v>2750</v>
      </c>
      <c r="N2660">
        <v>0</v>
      </c>
    </row>
    <row r="2661" spans="1:14" x14ac:dyDescent="0.25">
      <c r="A2661">
        <v>1727.9501029999999</v>
      </c>
      <c r="B2661" s="1">
        <f>DATE(2015,1,22) + TIME(22,48,8)</f>
        <v>42026.950092592589</v>
      </c>
      <c r="C2661">
        <v>80</v>
      </c>
      <c r="D2661">
        <v>75.268028259000005</v>
      </c>
      <c r="E2661">
        <v>50</v>
      </c>
      <c r="F2661">
        <v>49.986206054999997</v>
      </c>
      <c r="G2661">
        <v>1327.0424805</v>
      </c>
      <c r="H2661">
        <v>1324.8566894999999</v>
      </c>
      <c r="I2661">
        <v>1338.8825684000001</v>
      </c>
      <c r="J2661">
        <v>1336.3913574000001</v>
      </c>
      <c r="K2661">
        <v>0</v>
      </c>
      <c r="L2661">
        <v>2750</v>
      </c>
      <c r="M2661">
        <v>2750</v>
      </c>
      <c r="N2661">
        <v>0</v>
      </c>
    </row>
    <row r="2662" spans="1:14" x14ac:dyDescent="0.25">
      <c r="A2662">
        <v>1730.5590970000001</v>
      </c>
      <c r="B2662" s="1">
        <f>DATE(2015,1,25) + TIME(13,25,5)</f>
        <v>42029.55908564815</v>
      </c>
      <c r="C2662">
        <v>80</v>
      </c>
      <c r="D2662">
        <v>75.112533568999993</v>
      </c>
      <c r="E2662">
        <v>50</v>
      </c>
      <c r="F2662">
        <v>49.986194611000002</v>
      </c>
      <c r="G2662">
        <v>1326.9971923999999</v>
      </c>
      <c r="H2662">
        <v>1324.7972411999999</v>
      </c>
      <c r="I2662">
        <v>1338.8790283000001</v>
      </c>
      <c r="J2662">
        <v>1336.390625</v>
      </c>
      <c r="K2662">
        <v>0</v>
      </c>
      <c r="L2662">
        <v>2750</v>
      </c>
      <c r="M2662">
        <v>2750</v>
      </c>
      <c r="N2662">
        <v>0</v>
      </c>
    </row>
    <row r="2663" spans="1:14" x14ac:dyDescent="0.25">
      <c r="A2663">
        <v>1733.1771659999999</v>
      </c>
      <c r="B2663" s="1">
        <f>DATE(2015,1,28) + TIME(4,15,7)</f>
        <v>42032.177164351851</v>
      </c>
      <c r="C2663">
        <v>80</v>
      </c>
      <c r="D2663">
        <v>74.949859618999994</v>
      </c>
      <c r="E2663">
        <v>50</v>
      </c>
      <c r="F2663">
        <v>49.986183167</v>
      </c>
      <c r="G2663">
        <v>1326.9509277</v>
      </c>
      <c r="H2663">
        <v>1324.7369385</v>
      </c>
      <c r="I2663">
        <v>1338.8753661999999</v>
      </c>
      <c r="J2663">
        <v>1336.3897704999999</v>
      </c>
      <c r="K2663">
        <v>0</v>
      </c>
      <c r="L2663">
        <v>2750</v>
      </c>
      <c r="M2663">
        <v>2750</v>
      </c>
      <c r="N2663">
        <v>0</v>
      </c>
    </row>
    <row r="2664" spans="1:14" x14ac:dyDescent="0.25">
      <c r="A2664">
        <v>1735.8259310000001</v>
      </c>
      <c r="B2664" s="1">
        <f>DATE(2015,1,30) + TIME(19,49,20)</f>
        <v>42034.825925925928</v>
      </c>
      <c r="C2664">
        <v>80</v>
      </c>
      <c r="D2664">
        <v>74.784072875999996</v>
      </c>
      <c r="E2664">
        <v>50</v>
      </c>
      <c r="F2664">
        <v>49.986171722000002</v>
      </c>
      <c r="G2664">
        <v>1326.9050293</v>
      </c>
      <c r="H2664">
        <v>1324.6767577999999</v>
      </c>
      <c r="I2664">
        <v>1338.8719481999999</v>
      </c>
      <c r="J2664">
        <v>1336.3890381000001</v>
      </c>
      <c r="K2664">
        <v>0</v>
      </c>
      <c r="L2664">
        <v>2750</v>
      </c>
      <c r="M2664">
        <v>2750</v>
      </c>
      <c r="N2664">
        <v>0</v>
      </c>
    </row>
    <row r="2665" spans="1:14" x14ac:dyDescent="0.25">
      <c r="A2665">
        <v>1737</v>
      </c>
      <c r="B2665" s="1">
        <f>DATE(2015,2,1) + TIME(0,0,0)</f>
        <v>42036</v>
      </c>
      <c r="C2665">
        <v>80</v>
      </c>
      <c r="D2665">
        <v>74.643180846999996</v>
      </c>
      <c r="E2665">
        <v>50</v>
      </c>
      <c r="F2665">
        <v>49.986160278</v>
      </c>
      <c r="G2665">
        <v>1326.8604736</v>
      </c>
      <c r="H2665">
        <v>1324.6195068</v>
      </c>
      <c r="I2665">
        <v>1338.8684082</v>
      </c>
      <c r="J2665">
        <v>1336.3881836</v>
      </c>
      <c r="K2665">
        <v>0</v>
      </c>
      <c r="L2665">
        <v>2750</v>
      </c>
      <c r="M2665">
        <v>2750</v>
      </c>
      <c r="N2665">
        <v>0</v>
      </c>
    </row>
    <row r="2666" spans="1:14" x14ac:dyDescent="0.25">
      <c r="A2666">
        <v>1739.7022810000001</v>
      </c>
      <c r="B2666" s="1">
        <f>DATE(2015,2,3) + TIME(16,51,17)</f>
        <v>42038.702280092592</v>
      </c>
      <c r="C2666">
        <v>80</v>
      </c>
      <c r="D2666">
        <v>74.529090881000002</v>
      </c>
      <c r="E2666">
        <v>50</v>
      </c>
      <c r="F2666">
        <v>49.986152648999997</v>
      </c>
      <c r="G2666">
        <v>1326.833374</v>
      </c>
      <c r="H2666">
        <v>1324.5798339999999</v>
      </c>
      <c r="I2666">
        <v>1338.8669434000001</v>
      </c>
      <c r="J2666">
        <v>1336.3879394999999</v>
      </c>
      <c r="K2666">
        <v>0</v>
      </c>
      <c r="L2666">
        <v>2750</v>
      </c>
      <c r="M2666">
        <v>2750</v>
      </c>
      <c r="N2666">
        <v>0</v>
      </c>
    </row>
    <row r="2667" spans="1:14" x14ac:dyDescent="0.25">
      <c r="A2667">
        <v>1742.5676739999999</v>
      </c>
      <c r="B2667" s="1">
        <f>DATE(2015,2,6) + TIME(13,37,27)</f>
        <v>42041.567673611113</v>
      </c>
      <c r="C2667">
        <v>80</v>
      </c>
      <c r="D2667">
        <v>74.362312317000004</v>
      </c>
      <c r="E2667">
        <v>50</v>
      </c>
      <c r="F2667">
        <v>49.986141205000003</v>
      </c>
      <c r="G2667">
        <v>1326.7939452999999</v>
      </c>
      <c r="H2667">
        <v>1324.5308838000001</v>
      </c>
      <c r="I2667">
        <v>1338.8635254000001</v>
      </c>
      <c r="J2667">
        <v>1336.387207</v>
      </c>
      <c r="K2667">
        <v>0</v>
      </c>
      <c r="L2667">
        <v>2750</v>
      </c>
      <c r="M2667">
        <v>2750</v>
      </c>
      <c r="N2667">
        <v>0</v>
      </c>
    </row>
    <row r="2668" spans="1:14" x14ac:dyDescent="0.25">
      <c r="A2668">
        <v>1745.5596849999999</v>
      </c>
      <c r="B2668" s="1">
        <f>DATE(2015,2,9) + TIME(13,25,56)</f>
        <v>42044.559675925928</v>
      </c>
      <c r="C2668">
        <v>80</v>
      </c>
      <c r="D2668">
        <v>74.177665709999999</v>
      </c>
      <c r="E2668">
        <v>50</v>
      </c>
      <c r="F2668">
        <v>49.986129761000001</v>
      </c>
      <c r="G2668">
        <v>1326.7491454999999</v>
      </c>
      <c r="H2668">
        <v>1324.4730225000001</v>
      </c>
      <c r="I2668">
        <v>1338.8598632999999</v>
      </c>
      <c r="J2668">
        <v>1336.3863524999999</v>
      </c>
      <c r="K2668">
        <v>0</v>
      </c>
      <c r="L2668">
        <v>2750</v>
      </c>
      <c r="M2668">
        <v>2750</v>
      </c>
      <c r="N2668">
        <v>0</v>
      </c>
    </row>
    <row r="2669" spans="1:14" x14ac:dyDescent="0.25">
      <c r="A2669">
        <v>1748.662732</v>
      </c>
      <c r="B2669" s="1">
        <f>DATE(2015,2,12) + TIME(15,54,20)</f>
        <v>42047.662731481483</v>
      </c>
      <c r="C2669">
        <v>80</v>
      </c>
      <c r="D2669">
        <v>73.982406616000006</v>
      </c>
      <c r="E2669">
        <v>50</v>
      </c>
      <c r="F2669">
        <v>49.986118316999999</v>
      </c>
      <c r="G2669">
        <v>1326.7026367000001</v>
      </c>
      <c r="H2669">
        <v>1324.4127197</v>
      </c>
      <c r="I2669">
        <v>1338.8562012</v>
      </c>
      <c r="J2669">
        <v>1336.3854980000001</v>
      </c>
      <c r="K2669">
        <v>0</v>
      </c>
      <c r="L2669">
        <v>2750</v>
      </c>
      <c r="M2669">
        <v>2750</v>
      </c>
      <c r="N2669">
        <v>0</v>
      </c>
    </row>
    <row r="2670" spans="1:14" x14ac:dyDescent="0.25">
      <c r="A2670">
        <v>1751.896471</v>
      </c>
      <c r="B2670" s="1">
        <f>DATE(2015,2,15) + TIME(21,30,55)</f>
        <v>42050.896469907406</v>
      </c>
      <c r="C2670">
        <v>80</v>
      </c>
      <c r="D2670">
        <v>73.777885436999995</v>
      </c>
      <c r="E2670">
        <v>50</v>
      </c>
      <c r="F2670">
        <v>49.986106872999997</v>
      </c>
      <c r="G2670">
        <v>1326.6552733999999</v>
      </c>
      <c r="H2670">
        <v>1324.3511963000001</v>
      </c>
      <c r="I2670">
        <v>1338.8524170000001</v>
      </c>
      <c r="J2670">
        <v>1336.3846435999999</v>
      </c>
      <c r="K2670">
        <v>0</v>
      </c>
      <c r="L2670">
        <v>2750</v>
      </c>
      <c r="M2670">
        <v>2750</v>
      </c>
      <c r="N2670">
        <v>0</v>
      </c>
    </row>
    <row r="2671" spans="1:14" x14ac:dyDescent="0.25">
      <c r="A2671">
        <v>1755.1637310000001</v>
      </c>
      <c r="B2671" s="1">
        <f>DATE(2015,2,19) + TIME(3,55,46)</f>
        <v>42054.163726851853</v>
      </c>
      <c r="C2671">
        <v>80</v>
      </c>
      <c r="D2671">
        <v>73.564300536999994</v>
      </c>
      <c r="E2671">
        <v>50</v>
      </c>
      <c r="F2671">
        <v>49.986095427999999</v>
      </c>
      <c r="G2671">
        <v>1326.6071777</v>
      </c>
      <c r="H2671">
        <v>1324.2888184000001</v>
      </c>
      <c r="I2671">
        <v>1338.8486327999999</v>
      </c>
      <c r="J2671">
        <v>1336.3836670000001</v>
      </c>
      <c r="K2671">
        <v>0</v>
      </c>
      <c r="L2671">
        <v>2750</v>
      </c>
      <c r="M2671">
        <v>2750</v>
      </c>
      <c r="N2671">
        <v>0</v>
      </c>
    </row>
    <row r="2672" spans="1:14" x14ac:dyDescent="0.25">
      <c r="A2672">
        <v>1758.490528</v>
      </c>
      <c r="B2672" s="1">
        <f>DATE(2015,2,22) + TIME(11,46,21)</f>
        <v>42057.490520833337</v>
      </c>
      <c r="C2672">
        <v>80</v>
      </c>
      <c r="D2672">
        <v>73.345840453999998</v>
      </c>
      <c r="E2672">
        <v>50</v>
      </c>
      <c r="F2672">
        <v>49.986083983999997</v>
      </c>
      <c r="G2672">
        <v>1326.5593262</v>
      </c>
      <c r="H2672">
        <v>1324.2265625</v>
      </c>
      <c r="I2672">
        <v>1338.8448486</v>
      </c>
      <c r="J2672">
        <v>1336.3828125</v>
      </c>
      <c r="K2672">
        <v>0</v>
      </c>
      <c r="L2672">
        <v>2750</v>
      </c>
      <c r="M2672">
        <v>2750</v>
      </c>
      <c r="N2672">
        <v>0</v>
      </c>
    </row>
    <row r="2673" spans="1:14" x14ac:dyDescent="0.25">
      <c r="A2673">
        <v>1761.8734159999999</v>
      </c>
      <c r="B2673" s="1">
        <f>DATE(2015,2,25) + TIME(20,57,43)</f>
        <v>42060.873414351852</v>
      </c>
      <c r="C2673">
        <v>80</v>
      </c>
      <c r="D2673">
        <v>73.122230529999996</v>
      </c>
      <c r="E2673">
        <v>50</v>
      </c>
      <c r="F2673">
        <v>49.986072540000002</v>
      </c>
      <c r="G2673">
        <v>1326.5118408000001</v>
      </c>
      <c r="H2673">
        <v>1324.1649170000001</v>
      </c>
      <c r="I2673">
        <v>1338.8410644999999</v>
      </c>
      <c r="J2673">
        <v>1336.3818358999999</v>
      </c>
      <c r="K2673">
        <v>0</v>
      </c>
      <c r="L2673">
        <v>2750</v>
      </c>
      <c r="M2673">
        <v>2750</v>
      </c>
      <c r="N2673">
        <v>0</v>
      </c>
    </row>
    <row r="2674" spans="1:14" x14ac:dyDescent="0.25">
      <c r="A2674">
        <v>1765</v>
      </c>
      <c r="B2674" s="1">
        <f>DATE(2015,3,1) + TIME(0,0,0)</f>
        <v>42064</v>
      </c>
      <c r="C2674">
        <v>80</v>
      </c>
      <c r="D2674">
        <v>72.895751953000001</v>
      </c>
      <c r="E2674">
        <v>50</v>
      </c>
      <c r="F2674">
        <v>49.986061096</v>
      </c>
      <c r="G2674">
        <v>1326.4648437999999</v>
      </c>
      <c r="H2674">
        <v>1324.1038818</v>
      </c>
      <c r="I2674">
        <v>1338.8372803</v>
      </c>
      <c r="J2674">
        <v>1336.3808594</v>
      </c>
      <c r="K2674">
        <v>0</v>
      </c>
      <c r="L2674">
        <v>2750</v>
      </c>
      <c r="M2674">
        <v>2750</v>
      </c>
      <c r="N2674">
        <v>0</v>
      </c>
    </row>
    <row r="2675" spans="1:14" x14ac:dyDescent="0.25">
      <c r="A2675">
        <v>1768.4365560000001</v>
      </c>
      <c r="B2675" s="1">
        <f>DATE(2015,3,4) + TIME(10,28,38)</f>
        <v>42067.436550925922</v>
      </c>
      <c r="C2675">
        <v>80</v>
      </c>
      <c r="D2675">
        <v>72.678253174000005</v>
      </c>
      <c r="E2675">
        <v>50</v>
      </c>
      <c r="F2675">
        <v>49.986049651999998</v>
      </c>
      <c r="G2675">
        <v>1326.4210204999999</v>
      </c>
      <c r="H2675">
        <v>1324.0461425999999</v>
      </c>
      <c r="I2675">
        <v>1338.8337402</v>
      </c>
      <c r="J2675">
        <v>1336.3798827999999</v>
      </c>
      <c r="K2675">
        <v>0</v>
      </c>
      <c r="L2675">
        <v>2750</v>
      </c>
      <c r="M2675">
        <v>2750</v>
      </c>
      <c r="N2675">
        <v>0</v>
      </c>
    </row>
    <row r="2676" spans="1:14" x14ac:dyDescent="0.25">
      <c r="A2676">
        <v>1772.0821229999999</v>
      </c>
      <c r="B2676" s="1">
        <f>DATE(2015,3,8) + TIME(1,58,15)</f>
        <v>42071.082118055558</v>
      </c>
      <c r="C2676">
        <v>80</v>
      </c>
      <c r="D2676">
        <v>72.442558289000004</v>
      </c>
      <c r="E2676">
        <v>50</v>
      </c>
      <c r="F2676">
        <v>49.986042023000003</v>
      </c>
      <c r="G2676">
        <v>1326.3762207</v>
      </c>
      <c r="H2676">
        <v>1323.9885254000001</v>
      </c>
      <c r="I2676">
        <v>1338.8300781</v>
      </c>
      <c r="J2676">
        <v>1336.3789062000001</v>
      </c>
      <c r="K2676">
        <v>0</v>
      </c>
      <c r="L2676">
        <v>2750</v>
      </c>
      <c r="M2676">
        <v>2750</v>
      </c>
      <c r="N2676">
        <v>0</v>
      </c>
    </row>
    <row r="2677" spans="1:14" x14ac:dyDescent="0.25">
      <c r="A2677">
        <v>1775.9432320000001</v>
      </c>
      <c r="B2677" s="1">
        <f>DATE(2015,3,11) + TIME(22,38,15)</f>
        <v>42074.943229166667</v>
      </c>
      <c r="C2677">
        <v>80</v>
      </c>
      <c r="D2677">
        <v>72.191612243999998</v>
      </c>
      <c r="E2677">
        <v>50</v>
      </c>
      <c r="F2677">
        <v>49.986030579000001</v>
      </c>
      <c r="G2677">
        <v>1326.3298339999999</v>
      </c>
      <c r="H2677">
        <v>1323.9285889</v>
      </c>
      <c r="I2677">
        <v>1338.8261719</v>
      </c>
      <c r="J2677">
        <v>1336.3778076000001</v>
      </c>
      <c r="K2677">
        <v>0</v>
      </c>
      <c r="L2677">
        <v>2750</v>
      </c>
      <c r="M2677">
        <v>2750</v>
      </c>
      <c r="N2677">
        <v>0</v>
      </c>
    </row>
    <row r="2678" spans="1:14" x14ac:dyDescent="0.25">
      <c r="A2678">
        <v>1779.951924</v>
      </c>
      <c r="B2678" s="1">
        <f>DATE(2015,3,15) + TIME(22,50,46)</f>
        <v>42078.951921296299</v>
      </c>
      <c r="C2678">
        <v>80</v>
      </c>
      <c r="D2678">
        <v>71.923362732000001</v>
      </c>
      <c r="E2678">
        <v>50</v>
      </c>
      <c r="F2678">
        <v>49.986022949000002</v>
      </c>
      <c r="G2678">
        <v>1326.2818603999999</v>
      </c>
      <c r="H2678">
        <v>1323.8666992000001</v>
      </c>
      <c r="I2678">
        <v>1338.8220214999999</v>
      </c>
      <c r="J2678">
        <v>1336.3765868999999</v>
      </c>
      <c r="K2678">
        <v>0</v>
      </c>
      <c r="L2678">
        <v>2750</v>
      </c>
      <c r="M2678">
        <v>2750</v>
      </c>
      <c r="N2678">
        <v>0</v>
      </c>
    </row>
    <row r="2679" spans="1:14" x14ac:dyDescent="0.25">
      <c r="A2679">
        <v>1784.0301239999999</v>
      </c>
      <c r="B2679" s="1">
        <f>DATE(2015,3,20) + TIME(0,43,22)</f>
        <v>42083.030115740738</v>
      </c>
      <c r="C2679">
        <v>80</v>
      </c>
      <c r="D2679">
        <v>71.645515442000004</v>
      </c>
      <c r="E2679">
        <v>50</v>
      </c>
      <c r="F2679">
        <v>49.986011505</v>
      </c>
      <c r="G2679">
        <v>1326.2331543</v>
      </c>
      <c r="H2679">
        <v>1323.8038329999999</v>
      </c>
      <c r="I2679">
        <v>1338.8178711</v>
      </c>
      <c r="J2679">
        <v>1336.3752440999999</v>
      </c>
      <c r="K2679">
        <v>0</v>
      </c>
      <c r="L2679">
        <v>2750</v>
      </c>
      <c r="M2679">
        <v>2750</v>
      </c>
      <c r="N2679">
        <v>0</v>
      </c>
    </row>
    <row r="2680" spans="1:14" x14ac:dyDescent="0.25">
      <c r="A2680">
        <v>1788.1494889999999</v>
      </c>
      <c r="B2680" s="1">
        <f>DATE(2015,3,24) + TIME(3,35,15)</f>
        <v>42087.14947916667</v>
      </c>
      <c r="C2680">
        <v>80</v>
      </c>
      <c r="D2680">
        <v>71.356277465999995</v>
      </c>
      <c r="E2680">
        <v>50</v>
      </c>
      <c r="F2680">
        <v>49.986003875999998</v>
      </c>
      <c r="G2680">
        <v>1326.1845702999999</v>
      </c>
      <c r="H2680">
        <v>1323.7407227000001</v>
      </c>
      <c r="I2680">
        <v>1338.8135986</v>
      </c>
      <c r="J2680">
        <v>1336.3740233999999</v>
      </c>
      <c r="K2680">
        <v>0</v>
      </c>
      <c r="L2680">
        <v>2750</v>
      </c>
      <c r="M2680">
        <v>2750</v>
      </c>
      <c r="N2680">
        <v>0</v>
      </c>
    </row>
    <row r="2681" spans="1:14" x14ac:dyDescent="0.25">
      <c r="A2681">
        <v>1792.3599079999999</v>
      </c>
      <c r="B2681" s="1">
        <f>DATE(2015,3,28) + TIME(8,38,16)</f>
        <v>42091.359907407408</v>
      </c>
      <c r="C2681">
        <v>80</v>
      </c>
      <c r="D2681">
        <v>71.069236755000006</v>
      </c>
      <c r="E2681">
        <v>50</v>
      </c>
      <c r="F2681">
        <v>49.985992432000003</v>
      </c>
      <c r="G2681">
        <v>1326.1367187999999</v>
      </c>
      <c r="H2681">
        <v>1323.6787108999999</v>
      </c>
      <c r="I2681">
        <v>1338.8094481999999</v>
      </c>
      <c r="J2681">
        <v>1336.3725586</v>
      </c>
      <c r="K2681">
        <v>0</v>
      </c>
      <c r="L2681">
        <v>2750</v>
      </c>
      <c r="M2681">
        <v>2750</v>
      </c>
      <c r="N2681">
        <v>0</v>
      </c>
    </row>
    <row r="2682" spans="1:14" x14ac:dyDescent="0.25">
      <c r="A2682">
        <v>1794.179954</v>
      </c>
      <c r="B2682" s="1">
        <f>DATE(2015,3,30) + TIME(4,19,8)</f>
        <v>42093.1799537037</v>
      </c>
      <c r="C2682">
        <v>80</v>
      </c>
      <c r="D2682">
        <v>70.796539307000003</v>
      </c>
      <c r="E2682">
        <v>50</v>
      </c>
      <c r="F2682">
        <v>49.985980988000001</v>
      </c>
      <c r="G2682">
        <v>1326.0889893000001</v>
      </c>
      <c r="H2682">
        <v>1323.6177978999999</v>
      </c>
      <c r="I2682">
        <v>1338.8051757999999</v>
      </c>
      <c r="J2682">
        <v>1336.3710937999999</v>
      </c>
      <c r="K2682">
        <v>0</v>
      </c>
      <c r="L2682">
        <v>2750</v>
      </c>
      <c r="M2682">
        <v>2750</v>
      </c>
      <c r="N2682">
        <v>0</v>
      </c>
    </row>
    <row r="2683" spans="1:14" x14ac:dyDescent="0.25">
      <c r="A2683">
        <v>1796</v>
      </c>
      <c r="B2683" s="1">
        <f>DATE(2015,4,1) + TIME(0,0,0)</f>
        <v>42095</v>
      </c>
      <c r="C2683">
        <v>80</v>
      </c>
      <c r="D2683">
        <v>70.644165039000001</v>
      </c>
      <c r="E2683">
        <v>50</v>
      </c>
      <c r="F2683">
        <v>49.985977173000002</v>
      </c>
      <c r="G2683">
        <v>1326.0626221</v>
      </c>
      <c r="H2683">
        <v>1323.5795897999999</v>
      </c>
      <c r="I2683">
        <v>1338.8033447</v>
      </c>
      <c r="J2683">
        <v>1336.3704834</v>
      </c>
      <c r="K2683">
        <v>0</v>
      </c>
      <c r="L2683">
        <v>2750</v>
      </c>
      <c r="M2683">
        <v>2750</v>
      </c>
      <c r="N268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2022-06-27T11:59:22Z</dcterms:created>
  <dcterms:modified xsi:type="dcterms:W3CDTF">2022-06-27T12:00:05Z</dcterms:modified>
</cp:coreProperties>
</file>