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perm_storV_dT/"/>
    </mc:Choice>
  </mc:AlternateContent>
  <xr:revisionPtr revIDLastSave="0" documentId="8_{6414C8F8-2D02-4770-9613-F8E5F8FCFC93}" xr6:coauthVersionLast="47" xr6:coauthVersionMax="47" xr10:uidLastSave="{00000000-0000-0000-0000-000000000000}"/>
  <bookViews>
    <workbookView xWindow="1515" yWindow="3210" windowWidth="21600" windowHeight="11385" xr2:uid="{C0F5055B-D265-4CD2-BCFF-96ACC603E37E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89" i="1" l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<sst xmlns="http://schemas.openxmlformats.org/spreadsheetml/2006/main" count="15" uniqueCount="15">
  <si>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MODEL\SCENARIOS\2022\Parameterstudy_perm_storV_dT\perm100_V1000_dt40.sr3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</si>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</sst>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BE7A30-0966-45E4-9E6C-7BC2F391FC32}" name="Table1" displayName="Table1" ref="A3:N2689" totalsRowShown="0">
  <autoFilter ref="A3:N2689" xr:uid="{04BE7A30-0966-45E4-9E6C-7BC2F391FC32}"/>
  <tableColumns count="14">
    <tableColumn id="1" xr3:uid="{C96F9976-6A3F-4F2C-A4BB-95D435134020}" name="Time (day)"/>
    <tableColumn id="2" xr3:uid="{601CA4D7-0E70-4D2D-8D72-BD18CE93DBE7}" name="Date" dataDxfId="0"/>
    <tableColumn id="3" xr3:uid="{B14F6775-503A-4133-A120-90BDB2ABFC0C}" name="Hot well INJ-Well bottom hole temperature (C)"/>
    <tableColumn id="4" xr3:uid="{DCC0EB04-89AB-4BB1-8C35-2AE2441EADB3}" name="Hot well PROD-Well bottom hole temperature (C)"/>
    <tableColumn id="5" xr3:uid="{096D1424-6C3C-420D-85C8-7B10D89BABA5}" name="Warm well INJ-Well bottom hole temperature (C)"/>
    <tableColumn id="6" xr3:uid="{380C87F8-E53B-4620-AB43-09192A5A9E89}" name="Warm well PROD-Well bottom hole temperature (C)"/>
    <tableColumn id="7" xr3:uid="{33E6B64E-C309-45FA-8D09-4DA23B1F68A7}" name="Hot well INJ-Well Bottom-hole Pressure (kPa)"/>
    <tableColumn id="8" xr3:uid="{8770CC50-7E3E-4831-9B65-1037110DF04A}" name="Hot well PROD-Well Bottom-hole Pressure (kPa)"/>
    <tableColumn id="9" xr3:uid="{30F9CC8B-888C-4976-9396-88418EA37672}" name="Warm well INJ-Well Bottom-hole Pressure (kPa)"/>
    <tableColumn id="10" xr3:uid="{511C23B9-80E3-4969-A709-D35090F14AC7}" name="Warm well PROD-Well Bottom-hole Pressure (kPa)"/>
    <tableColumn id="11" xr3:uid="{170C1492-FF01-478D-9EF4-C55EB66927B6}" name="Hot well INJ-Fluid Rate SC (m³/day)"/>
    <tableColumn id="12" xr3:uid="{3B9A7006-E290-4EB7-B04F-632052A07531}" name="Hot well PROD-Fluid Rate SC (m³/day)"/>
    <tableColumn id="13" xr3:uid="{4CBF26AE-D5C3-4ACF-9C50-8DB7D1D34F7D}" name="Warm well INJ-Fluid Rate SC (m³/day)"/>
    <tableColumn id="14" xr3:uid="{DB88FECD-7E4D-4FB5-A373-48CAB3ADD3C5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8BB80-5958-4483-9123-009226AE2F1B}">
  <dimension ref="A1:N2689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15.000127792000001</v>
      </c>
      <c r="E4">
        <v>40</v>
      </c>
      <c r="F4">
        <v>14.999956130999999</v>
      </c>
      <c r="G4">
        <v>1334.3566894999999</v>
      </c>
      <c r="H4">
        <v>1329.8388672000001</v>
      </c>
      <c r="I4">
        <v>1328.9821777</v>
      </c>
      <c r="J4">
        <v>1324.4637451000001</v>
      </c>
      <c r="K4">
        <v>2750</v>
      </c>
      <c r="L4">
        <v>0</v>
      </c>
      <c r="M4">
        <v>0</v>
      </c>
      <c r="N4">
        <v>2750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15.000468253999999</v>
      </c>
      <c r="E5">
        <v>40</v>
      </c>
      <c r="F5">
        <v>14.999868393</v>
      </c>
      <c r="G5">
        <v>1335.2095947</v>
      </c>
      <c r="H5">
        <v>1330.6918945</v>
      </c>
      <c r="I5">
        <v>1328.1328125</v>
      </c>
      <c r="J5">
        <v>1323.6145019999999</v>
      </c>
      <c r="K5">
        <v>2750</v>
      </c>
      <c r="L5">
        <v>0</v>
      </c>
      <c r="M5">
        <v>0</v>
      </c>
      <c r="N5">
        <v>2750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15.001349448999999</v>
      </c>
      <c r="E6">
        <v>40</v>
      </c>
      <c r="F6">
        <v>14.999744415</v>
      </c>
      <c r="G6">
        <v>1336.4263916</v>
      </c>
      <c r="H6">
        <v>1331.9088135</v>
      </c>
      <c r="I6">
        <v>1326.9211425999999</v>
      </c>
      <c r="J6">
        <v>1322.4029541</v>
      </c>
      <c r="K6">
        <v>2750</v>
      </c>
      <c r="L6">
        <v>0</v>
      </c>
      <c r="M6">
        <v>0</v>
      </c>
      <c r="N6">
        <v>2750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15.003754616</v>
      </c>
      <c r="E7">
        <v>40</v>
      </c>
      <c r="F7">
        <v>14.999608994000001</v>
      </c>
      <c r="G7">
        <v>1337.7486572</v>
      </c>
      <c r="H7">
        <v>1333.2314452999999</v>
      </c>
      <c r="I7">
        <v>1325.604126</v>
      </c>
      <c r="J7">
        <v>1321.0860596</v>
      </c>
      <c r="K7">
        <v>2750</v>
      </c>
      <c r="L7">
        <v>0</v>
      </c>
      <c r="M7">
        <v>0</v>
      </c>
      <c r="N7">
        <v>2750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15.010694504</v>
      </c>
      <c r="E8">
        <v>40</v>
      </c>
      <c r="F8">
        <v>14.999474525</v>
      </c>
      <c r="G8">
        <v>1339.0566406</v>
      </c>
      <c r="H8">
        <v>1334.5401611</v>
      </c>
      <c r="I8">
        <v>1324.3006591999999</v>
      </c>
      <c r="J8">
        <v>1319.7827147999999</v>
      </c>
      <c r="K8">
        <v>2750</v>
      </c>
      <c r="L8">
        <v>0</v>
      </c>
      <c r="M8">
        <v>0</v>
      </c>
      <c r="N8">
        <v>2750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15.031238556</v>
      </c>
      <c r="E9">
        <v>40</v>
      </c>
      <c r="F9">
        <v>14.999341964999999</v>
      </c>
      <c r="G9">
        <v>1340.3469238</v>
      </c>
      <c r="H9">
        <v>1335.8328856999999</v>
      </c>
      <c r="I9">
        <v>1323.0123291</v>
      </c>
      <c r="J9">
        <v>1318.4943848</v>
      </c>
      <c r="K9">
        <v>2750</v>
      </c>
      <c r="L9">
        <v>0</v>
      </c>
      <c r="M9">
        <v>0</v>
      </c>
      <c r="N9">
        <v>2750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15.092547417</v>
      </c>
      <c r="E10">
        <v>40</v>
      </c>
      <c r="F10">
        <v>14.99921608</v>
      </c>
      <c r="G10">
        <v>1341.5744629000001</v>
      </c>
      <c r="H10">
        <v>1337.0673827999999</v>
      </c>
      <c r="I10">
        <v>1321.7797852000001</v>
      </c>
      <c r="J10">
        <v>1317.2618408000001</v>
      </c>
      <c r="K10">
        <v>2750</v>
      </c>
      <c r="L10">
        <v>0</v>
      </c>
      <c r="M10">
        <v>0</v>
      </c>
      <c r="N10">
        <v>2750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15.275732039999999</v>
      </c>
      <c r="E11">
        <v>40</v>
      </c>
      <c r="F11">
        <v>14.999115944</v>
      </c>
      <c r="G11">
        <v>1342.5412598</v>
      </c>
      <c r="H11">
        <v>1338.0550536999999</v>
      </c>
      <c r="I11">
        <v>1320.7930908000001</v>
      </c>
      <c r="J11">
        <v>1316.2751464999999</v>
      </c>
      <c r="K11">
        <v>2750</v>
      </c>
      <c r="L11">
        <v>0</v>
      </c>
      <c r="M11">
        <v>0</v>
      </c>
      <c r="N11">
        <v>2750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15.821274756999999</v>
      </c>
      <c r="E12">
        <v>40</v>
      </c>
      <c r="F12">
        <v>14.999063491999999</v>
      </c>
      <c r="G12">
        <v>1343.0231934000001</v>
      </c>
      <c r="H12">
        <v>1338.5982666</v>
      </c>
      <c r="I12">
        <v>1320.2624512</v>
      </c>
      <c r="J12">
        <v>1315.7446289</v>
      </c>
      <c r="K12">
        <v>2750</v>
      </c>
      <c r="L12">
        <v>0</v>
      </c>
      <c r="M12">
        <v>0</v>
      </c>
      <c r="N12">
        <v>2750</v>
      </c>
    </row>
    <row r="13" spans="1:14" x14ac:dyDescent="0.25">
      <c r="A13">
        <v>2.1867999999999999E-2</v>
      </c>
      <c r="B13" s="1">
        <f>DATE(2010,5,1) + TIME(0,31,29)</f>
        <v>40299.021863425929</v>
      </c>
      <c r="C13">
        <v>80</v>
      </c>
      <c r="D13">
        <v>16.809078217</v>
      </c>
      <c r="E13">
        <v>40</v>
      </c>
      <c r="F13">
        <v>14.999053955000001</v>
      </c>
      <c r="G13">
        <v>1343.0513916</v>
      </c>
      <c r="H13">
        <v>1338.7304687999999</v>
      </c>
      <c r="I13">
        <v>1320.1318358999999</v>
      </c>
      <c r="J13">
        <v>1315.6138916</v>
      </c>
      <c r="K13">
        <v>2750</v>
      </c>
      <c r="L13">
        <v>0</v>
      </c>
      <c r="M13">
        <v>0</v>
      </c>
      <c r="N13">
        <v>2750</v>
      </c>
    </row>
    <row r="14" spans="1:14" x14ac:dyDescent="0.25">
      <c r="A14">
        <v>3.4042999999999997E-2</v>
      </c>
      <c r="B14" s="1">
        <f>DATE(2010,5,1) + TIME(0,49,1)</f>
        <v>40299.034039351849</v>
      </c>
      <c r="C14">
        <v>80</v>
      </c>
      <c r="D14">
        <v>17.798984527999998</v>
      </c>
      <c r="E14">
        <v>40</v>
      </c>
      <c r="F14">
        <v>14.999056816</v>
      </c>
      <c r="G14">
        <v>1342.9639893000001</v>
      </c>
      <c r="H14">
        <v>1338.7355957</v>
      </c>
      <c r="I14">
        <v>1320.1157227000001</v>
      </c>
      <c r="J14">
        <v>1315.5977783000001</v>
      </c>
      <c r="K14">
        <v>2750</v>
      </c>
      <c r="L14">
        <v>0</v>
      </c>
      <c r="M14">
        <v>0</v>
      </c>
      <c r="N14">
        <v>2750</v>
      </c>
    </row>
    <row r="15" spans="1:14" x14ac:dyDescent="0.25">
      <c r="A15">
        <v>4.6342000000000001E-2</v>
      </c>
      <c r="B15" s="1">
        <f>DATE(2010,5,1) + TIME(1,6,43)</f>
        <v>40299.046331018515</v>
      </c>
      <c r="C15">
        <v>80</v>
      </c>
      <c r="D15">
        <v>18.788957595999999</v>
      </c>
      <c r="E15">
        <v>40</v>
      </c>
      <c r="F15">
        <v>14.999060631000001</v>
      </c>
      <c r="G15">
        <v>1342.8568115</v>
      </c>
      <c r="H15">
        <v>1338.7160644999999</v>
      </c>
      <c r="I15">
        <v>1320.1154785000001</v>
      </c>
      <c r="J15">
        <v>1315.5974120999999</v>
      </c>
      <c r="K15">
        <v>2750</v>
      </c>
      <c r="L15">
        <v>0</v>
      </c>
      <c r="M15">
        <v>0</v>
      </c>
      <c r="N15">
        <v>2750</v>
      </c>
    </row>
    <row r="16" spans="1:14" x14ac:dyDescent="0.25">
      <c r="A16">
        <v>5.8765999999999999E-2</v>
      </c>
      <c r="B16" s="1">
        <f>DATE(2010,5,1) + TIME(1,24,37)</f>
        <v>40299.058761574073</v>
      </c>
      <c r="C16">
        <v>80</v>
      </c>
      <c r="D16">
        <v>19.778976440000001</v>
      </c>
      <c r="E16">
        <v>40</v>
      </c>
      <c r="F16">
        <v>14.999064445</v>
      </c>
      <c r="G16">
        <v>1342.7515868999999</v>
      </c>
      <c r="H16">
        <v>1338.6933594</v>
      </c>
      <c r="I16">
        <v>1320.1165771000001</v>
      </c>
      <c r="J16">
        <v>1315.5985106999999</v>
      </c>
      <c r="K16">
        <v>2750</v>
      </c>
      <c r="L16">
        <v>0</v>
      </c>
      <c r="M16">
        <v>0</v>
      </c>
      <c r="N16">
        <v>2750</v>
      </c>
    </row>
    <row r="17" spans="1:14" x14ac:dyDescent="0.25">
      <c r="A17">
        <v>7.1315000000000003E-2</v>
      </c>
      <c r="B17" s="1">
        <f>DATE(2010,5,1) + TIME(1,42,41)</f>
        <v>40299.07130787037</v>
      </c>
      <c r="C17">
        <v>80</v>
      </c>
      <c r="D17">
        <v>20.769718170000001</v>
      </c>
      <c r="E17">
        <v>40</v>
      </c>
      <c r="F17">
        <v>14.99906826</v>
      </c>
      <c r="G17">
        <v>1342.6527100000001</v>
      </c>
      <c r="H17">
        <v>1338.6726074000001</v>
      </c>
      <c r="I17">
        <v>1320.1174315999999</v>
      </c>
      <c r="J17">
        <v>1315.5993652</v>
      </c>
      <c r="K17">
        <v>2750</v>
      </c>
      <c r="L17">
        <v>0</v>
      </c>
      <c r="M17">
        <v>0</v>
      </c>
      <c r="N17">
        <v>2750</v>
      </c>
    </row>
    <row r="18" spans="1:14" x14ac:dyDescent="0.25">
      <c r="A18">
        <v>8.3981E-2</v>
      </c>
      <c r="B18" s="1">
        <f>DATE(2010,5,1) + TIME(2,0,55)</f>
        <v>40299.083969907406</v>
      </c>
      <c r="C18">
        <v>80</v>
      </c>
      <c r="D18">
        <v>21.760021210000001</v>
      </c>
      <c r="E18">
        <v>40</v>
      </c>
      <c r="F18">
        <v>14.999072075000001</v>
      </c>
      <c r="G18">
        <v>1342.5611572</v>
      </c>
      <c r="H18">
        <v>1338.6549072</v>
      </c>
      <c r="I18">
        <v>1320.1181641000001</v>
      </c>
      <c r="J18">
        <v>1315.5999756000001</v>
      </c>
      <c r="K18">
        <v>2750</v>
      </c>
      <c r="L18">
        <v>0</v>
      </c>
      <c r="M18">
        <v>0</v>
      </c>
      <c r="N18">
        <v>2750</v>
      </c>
    </row>
    <row r="19" spans="1:14" x14ac:dyDescent="0.25">
      <c r="A19">
        <v>9.6770999999999996E-2</v>
      </c>
      <c r="B19" s="1">
        <f>DATE(2010,5,1) + TIME(2,19,21)</f>
        <v>40299.096770833334</v>
      </c>
      <c r="C19">
        <v>80</v>
      </c>
      <c r="D19">
        <v>22.750139235999999</v>
      </c>
      <c r="E19">
        <v>40</v>
      </c>
      <c r="F19">
        <v>14.99907589</v>
      </c>
      <c r="G19">
        <v>1342.4769286999999</v>
      </c>
      <c r="H19">
        <v>1338.6403809000001</v>
      </c>
      <c r="I19">
        <v>1320.1186522999999</v>
      </c>
      <c r="J19">
        <v>1315.6004639</v>
      </c>
      <c r="K19">
        <v>2750</v>
      </c>
      <c r="L19">
        <v>0</v>
      </c>
      <c r="M19">
        <v>0</v>
      </c>
      <c r="N19">
        <v>2750</v>
      </c>
    </row>
    <row r="20" spans="1:14" x14ac:dyDescent="0.25">
      <c r="A20">
        <v>0.10968899999999999</v>
      </c>
      <c r="B20" s="1">
        <f>DATE(2010,5,1) + TIME(2,37,57)</f>
        <v>40299.1096875</v>
      </c>
      <c r="C20">
        <v>80</v>
      </c>
      <c r="D20">
        <v>23.740251540999999</v>
      </c>
      <c r="E20">
        <v>40</v>
      </c>
      <c r="F20">
        <v>14.999079704</v>
      </c>
      <c r="G20">
        <v>1342.3997803</v>
      </c>
      <c r="H20">
        <v>1338.6291504000001</v>
      </c>
      <c r="I20">
        <v>1320.1191406</v>
      </c>
      <c r="J20">
        <v>1315.6009521000001</v>
      </c>
      <c r="K20">
        <v>2750</v>
      </c>
      <c r="L20">
        <v>0</v>
      </c>
      <c r="M20">
        <v>0</v>
      </c>
      <c r="N20">
        <v>2750</v>
      </c>
    </row>
    <row r="21" spans="1:14" x14ac:dyDescent="0.25">
      <c r="A21">
        <v>0.122736</v>
      </c>
      <c r="B21" s="1">
        <f>DATE(2010,5,1) + TIME(2,56,44)</f>
        <v>40299.122731481482</v>
      </c>
      <c r="C21">
        <v>80</v>
      </c>
      <c r="D21">
        <v>24.730340957999999</v>
      </c>
      <c r="E21">
        <v>40</v>
      </c>
      <c r="F21">
        <v>14.999083518999999</v>
      </c>
      <c r="G21">
        <v>1342.3293457</v>
      </c>
      <c r="H21">
        <v>1338.6209716999999</v>
      </c>
      <c r="I21">
        <v>1320.1195068</v>
      </c>
      <c r="J21">
        <v>1315.6013184000001</v>
      </c>
      <c r="K21">
        <v>2750</v>
      </c>
      <c r="L21">
        <v>0</v>
      </c>
      <c r="M21">
        <v>0</v>
      </c>
      <c r="N21">
        <v>2750</v>
      </c>
    </row>
    <row r="22" spans="1:14" x14ac:dyDescent="0.25">
      <c r="A22">
        <v>0.13591400000000001</v>
      </c>
      <c r="B22" s="1">
        <f>DATE(2010,5,1) + TIME(3,15,42)</f>
        <v>40299.13590277778</v>
      </c>
      <c r="C22">
        <v>80</v>
      </c>
      <c r="D22">
        <v>25.720878600999999</v>
      </c>
      <c r="E22">
        <v>40</v>
      </c>
      <c r="F22">
        <v>14.999087334</v>
      </c>
      <c r="G22">
        <v>1342.2653809000001</v>
      </c>
      <c r="H22">
        <v>1338.6157227000001</v>
      </c>
      <c r="I22">
        <v>1320.1199951000001</v>
      </c>
      <c r="J22">
        <v>1315.6016846</v>
      </c>
      <c r="K22">
        <v>2750</v>
      </c>
      <c r="L22">
        <v>0</v>
      </c>
      <c r="M22">
        <v>0</v>
      </c>
      <c r="N22">
        <v>2750</v>
      </c>
    </row>
    <row r="23" spans="1:14" x14ac:dyDescent="0.25">
      <c r="A23">
        <v>0.14921699999999999</v>
      </c>
      <c r="B23" s="1">
        <f>DATE(2010,5,1) + TIME(3,34,52)</f>
        <v>40299.149212962962</v>
      </c>
      <c r="C23">
        <v>80</v>
      </c>
      <c r="D23">
        <v>26.711074829000001</v>
      </c>
      <c r="E23">
        <v>40</v>
      </c>
      <c r="F23">
        <v>14.999091148</v>
      </c>
      <c r="G23">
        <v>1342.2075195</v>
      </c>
      <c r="H23">
        <v>1338.6135254000001</v>
      </c>
      <c r="I23">
        <v>1320.1203613</v>
      </c>
      <c r="J23">
        <v>1315.6020507999999</v>
      </c>
      <c r="K23">
        <v>2750</v>
      </c>
      <c r="L23">
        <v>0</v>
      </c>
      <c r="M23">
        <v>0</v>
      </c>
      <c r="N23">
        <v>2750</v>
      </c>
    </row>
    <row r="24" spans="1:14" x14ac:dyDescent="0.25">
      <c r="A24">
        <v>0.16265199999999999</v>
      </c>
      <c r="B24" s="1">
        <f>DATE(2010,5,1) + TIME(3,54,13)</f>
        <v>40299.16265046296</v>
      </c>
      <c r="C24">
        <v>80</v>
      </c>
      <c r="D24">
        <v>27.701015472000002</v>
      </c>
      <c r="E24">
        <v>40</v>
      </c>
      <c r="F24">
        <v>14.999094962999999</v>
      </c>
      <c r="G24">
        <v>1342.1555175999999</v>
      </c>
      <c r="H24">
        <v>1338.6140137</v>
      </c>
      <c r="I24">
        <v>1320.1207274999999</v>
      </c>
      <c r="J24">
        <v>1315.6024170000001</v>
      </c>
      <c r="K24">
        <v>2750</v>
      </c>
      <c r="L24">
        <v>0</v>
      </c>
      <c r="M24">
        <v>0</v>
      </c>
      <c r="N24">
        <v>2750</v>
      </c>
    </row>
    <row r="25" spans="1:14" x14ac:dyDescent="0.25">
      <c r="A25">
        <v>0.17622399999999999</v>
      </c>
      <c r="B25" s="1">
        <f>DATE(2010,5,1) + TIME(4,13,45)</f>
        <v>40299.176215277781</v>
      </c>
      <c r="C25">
        <v>80</v>
      </c>
      <c r="D25">
        <v>28.690856933999999</v>
      </c>
      <c r="E25">
        <v>40</v>
      </c>
      <c r="F25">
        <v>14.999098778</v>
      </c>
      <c r="G25">
        <v>1342.1090088000001</v>
      </c>
      <c r="H25">
        <v>1338.6171875</v>
      </c>
      <c r="I25">
        <v>1320.1210937999999</v>
      </c>
      <c r="J25">
        <v>1315.6027832</v>
      </c>
      <c r="K25">
        <v>2750</v>
      </c>
      <c r="L25">
        <v>0</v>
      </c>
      <c r="M25">
        <v>0</v>
      </c>
      <c r="N25">
        <v>2750</v>
      </c>
    </row>
    <row r="26" spans="1:14" x14ac:dyDescent="0.25">
      <c r="A26">
        <v>0.18993499999999999</v>
      </c>
      <c r="B26" s="1">
        <f>DATE(2010,5,1) + TIME(4,33,30)</f>
        <v>40299.189930555556</v>
      </c>
      <c r="C26">
        <v>80</v>
      </c>
      <c r="D26">
        <v>29.680576324</v>
      </c>
      <c r="E26">
        <v>40</v>
      </c>
      <c r="F26">
        <v>14.999101638999999</v>
      </c>
      <c r="G26">
        <v>1342.0678711</v>
      </c>
      <c r="H26">
        <v>1338.6229248</v>
      </c>
      <c r="I26">
        <v>1320.1214600000001</v>
      </c>
      <c r="J26">
        <v>1315.6030272999999</v>
      </c>
      <c r="K26">
        <v>2750</v>
      </c>
      <c r="L26">
        <v>0</v>
      </c>
      <c r="M26">
        <v>0</v>
      </c>
      <c r="N26">
        <v>2750</v>
      </c>
    </row>
    <row r="27" spans="1:14" x14ac:dyDescent="0.25">
      <c r="A27">
        <v>0.203788</v>
      </c>
      <c r="B27" s="1">
        <f>DATE(2010,5,1) + TIME(4,53,27)</f>
        <v>40299.203784722224</v>
      </c>
      <c r="C27">
        <v>80</v>
      </c>
      <c r="D27">
        <v>30.670303345000001</v>
      </c>
      <c r="E27">
        <v>40</v>
      </c>
      <c r="F27">
        <v>14.999105453</v>
      </c>
      <c r="G27">
        <v>1342.0316161999999</v>
      </c>
      <c r="H27">
        <v>1338.6309814000001</v>
      </c>
      <c r="I27">
        <v>1320.1218262</v>
      </c>
      <c r="J27">
        <v>1315.6032714999999</v>
      </c>
      <c r="K27">
        <v>2750</v>
      </c>
      <c r="L27">
        <v>0</v>
      </c>
      <c r="M27">
        <v>0</v>
      </c>
      <c r="N27">
        <v>2750</v>
      </c>
    </row>
    <row r="28" spans="1:14" x14ac:dyDescent="0.25">
      <c r="A28">
        <v>0.21778600000000001</v>
      </c>
      <c r="B28" s="1">
        <f>DATE(2010,5,1) + TIME(5,13,36)</f>
        <v>40299.217777777776</v>
      </c>
      <c r="C28">
        <v>80</v>
      </c>
      <c r="D28">
        <v>31.659791945999999</v>
      </c>
      <c r="E28">
        <v>40</v>
      </c>
      <c r="F28">
        <v>14.999109268</v>
      </c>
      <c r="G28">
        <v>1342.0002440999999</v>
      </c>
      <c r="H28">
        <v>1338.6414795000001</v>
      </c>
      <c r="I28">
        <v>1320.1221923999999</v>
      </c>
      <c r="J28">
        <v>1315.6036377</v>
      </c>
      <c r="K28">
        <v>2750</v>
      </c>
      <c r="L28">
        <v>0</v>
      </c>
      <c r="M28">
        <v>0</v>
      </c>
      <c r="N28">
        <v>2750</v>
      </c>
    </row>
    <row r="29" spans="1:14" x14ac:dyDescent="0.25">
      <c r="A29">
        <v>0.231931</v>
      </c>
      <c r="B29" s="1">
        <f>DATE(2010,5,1) + TIME(5,33,58)</f>
        <v>40299.231921296298</v>
      </c>
      <c r="C29">
        <v>80</v>
      </c>
      <c r="D29">
        <v>32.649013519</v>
      </c>
      <c r="E29">
        <v>40</v>
      </c>
      <c r="F29">
        <v>14.999113082999999</v>
      </c>
      <c r="G29">
        <v>1341.9732666</v>
      </c>
      <c r="H29">
        <v>1338.6541748</v>
      </c>
      <c r="I29">
        <v>1320.1224365</v>
      </c>
      <c r="J29">
        <v>1315.6038818</v>
      </c>
      <c r="K29">
        <v>2750</v>
      </c>
      <c r="L29">
        <v>0</v>
      </c>
      <c r="M29">
        <v>0</v>
      </c>
      <c r="N29">
        <v>2750</v>
      </c>
    </row>
    <row r="30" spans="1:14" x14ac:dyDescent="0.25">
      <c r="A30">
        <v>0.24623100000000001</v>
      </c>
      <c r="B30" s="1">
        <f>DATE(2010,5,1) + TIME(5,54,34)</f>
        <v>40299.24622685185</v>
      </c>
      <c r="C30">
        <v>80</v>
      </c>
      <c r="D30">
        <v>33.638019561999997</v>
      </c>
      <c r="E30">
        <v>40</v>
      </c>
      <c r="F30">
        <v>14.999116898</v>
      </c>
      <c r="G30">
        <v>1341.9508057</v>
      </c>
      <c r="H30">
        <v>1338.6689452999999</v>
      </c>
      <c r="I30">
        <v>1320.1228027</v>
      </c>
      <c r="J30">
        <v>1315.604126</v>
      </c>
      <c r="K30">
        <v>2750</v>
      </c>
      <c r="L30">
        <v>0</v>
      </c>
      <c r="M30">
        <v>0</v>
      </c>
      <c r="N30">
        <v>2750</v>
      </c>
    </row>
    <row r="31" spans="1:14" x14ac:dyDescent="0.25">
      <c r="A31">
        <v>0.26068999999999998</v>
      </c>
      <c r="B31" s="1">
        <f>DATE(2010,5,1) + TIME(6,15,23)</f>
        <v>40299.260682870372</v>
      </c>
      <c r="C31">
        <v>80</v>
      </c>
      <c r="D31">
        <v>34.626777648999997</v>
      </c>
      <c r="E31">
        <v>40</v>
      </c>
      <c r="F31">
        <v>14.999120712</v>
      </c>
      <c r="G31">
        <v>1341.932251</v>
      </c>
      <c r="H31">
        <v>1338.6857910000001</v>
      </c>
      <c r="I31">
        <v>1320.1230469</v>
      </c>
      <c r="J31">
        <v>1315.6042480000001</v>
      </c>
      <c r="K31">
        <v>2750</v>
      </c>
      <c r="L31">
        <v>0</v>
      </c>
      <c r="M31">
        <v>0</v>
      </c>
      <c r="N31">
        <v>2750</v>
      </c>
    </row>
    <row r="32" spans="1:14" x14ac:dyDescent="0.25">
      <c r="A32">
        <v>0.275314</v>
      </c>
      <c r="B32" s="1">
        <f>DATE(2010,5,1) + TIME(6,36,27)</f>
        <v>40299.275312500002</v>
      </c>
      <c r="C32">
        <v>80</v>
      </c>
      <c r="D32">
        <v>35.615261078000003</v>
      </c>
      <c r="E32">
        <v>40</v>
      </c>
      <c r="F32">
        <v>14.999123573</v>
      </c>
      <c r="G32">
        <v>1341.9177245999999</v>
      </c>
      <c r="H32">
        <v>1338.7045897999999</v>
      </c>
      <c r="I32">
        <v>1320.1232910000001</v>
      </c>
      <c r="J32">
        <v>1315.6044922000001</v>
      </c>
      <c r="K32">
        <v>2750</v>
      </c>
      <c r="L32">
        <v>0</v>
      </c>
      <c r="M32">
        <v>0</v>
      </c>
      <c r="N32">
        <v>2750</v>
      </c>
    </row>
    <row r="33" spans="1:14" x14ac:dyDescent="0.25">
      <c r="A33">
        <v>0.29010799999999998</v>
      </c>
      <c r="B33" s="1">
        <f>DATE(2010,5,1) + TIME(6,57,45)</f>
        <v>40299.29010416667</v>
      </c>
      <c r="C33">
        <v>80</v>
      </c>
      <c r="D33">
        <v>36.603439330999997</v>
      </c>
      <c r="E33">
        <v>40</v>
      </c>
      <c r="F33">
        <v>14.999127388</v>
      </c>
      <c r="G33">
        <v>1341.9068603999999</v>
      </c>
      <c r="H33">
        <v>1338.7253418</v>
      </c>
      <c r="I33">
        <v>1320.1236572</v>
      </c>
      <c r="J33">
        <v>1315.6047363</v>
      </c>
      <c r="K33">
        <v>2750</v>
      </c>
      <c r="L33">
        <v>0</v>
      </c>
      <c r="M33">
        <v>0</v>
      </c>
      <c r="N33">
        <v>2750</v>
      </c>
    </row>
    <row r="34" spans="1:14" x14ac:dyDescent="0.25">
      <c r="A34">
        <v>0.30507800000000002</v>
      </c>
      <c r="B34" s="1">
        <f>DATE(2010,5,1) + TIME(7,19,18)</f>
        <v>40299.305069444446</v>
      </c>
      <c r="C34">
        <v>80</v>
      </c>
      <c r="D34">
        <v>37.591281891000001</v>
      </c>
      <c r="E34">
        <v>40</v>
      </c>
      <c r="F34">
        <v>14.999131202999999</v>
      </c>
      <c r="G34">
        <v>1341.8995361</v>
      </c>
      <c r="H34">
        <v>1338.7476807</v>
      </c>
      <c r="I34">
        <v>1320.1239014</v>
      </c>
      <c r="J34">
        <v>1315.6048584</v>
      </c>
      <c r="K34">
        <v>2750</v>
      </c>
      <c r="L34">
        <v>0</v>
      </c>
      <c r="M34">
        <v>0</v>
      </c>
      <c r="N34">
        <v>2750</v>
      </c>
    </row>
    <row r="35" spans="1:14" x14ac:dyDescent="0.25">
      <c r="A35">
        <v>0.32023299999999999</v>
      </c>
      <c r="B35" s="1">
        <f>DATE(2010,5,1) + TIME(7,41,8)</f>
        <v>40299.320231481484</v>
      </c>
      <c r="C35">
        <v>80</v>
      </c>
      <c r="D35">
        <v>38.578762054000002</v>
      </c>
      <c r="E35">
        <v>40</v>
      </c>
      <c r="F35">
        <v>14.999135017</v>
      </c>
      <c r="G35">
        <v>1341.8955077999999</v>
      </c>
      <c r="H35">
        <v>1338.7718506000001</v>
      </c>
      <c r="I35">
        <v>1320.1241454999999</v>
      </c>
      <c r="J35">
        <v>1315.6051024999999</v>
      </c>
      <c r="K35">
        <v>2750</v>
      </c>
      <c r="L35">
        <v>0</v>
      </c>
      <c r="M35">
        <v>0</v>
      </c>
      <c r="N35">
        <v>2750</v>
      </c>
    </row>
    <row r="36" spans="1:14" x14ac:dyDescent="0.25">
      <c r="A36">
        <v>0.33557999999999999</v>
      </c>
      <c r="B36" s="1">
        <f>DATE(2010,5,1) + TIME(8,3,14)</f>
        <v>40299.335578703707</v>
      </c>
      <c r="C36">
        <v>80</v>
      </c>
      <c r="D36">
        <v>39.565845490000001</v>
      </c>
      <c r="E36">
        <v>40</v>
      </c>
      <c r="F36">
        <v>14.999137878000001</v>
      </c>
      <c r="G36">
        <v>1341.8946533000001</v>
      </c>
      <c r="H36">
        <v>1338.7974853999999</v>
      </c>
      <c r="I36">
        <v>1320.1243896000001</v>
      </c>
      <c r="J36">
        <v>1315.6052245999999</v>
      </c>
      <c r="K36">
        <v>2750</v>
      </c>
      <c r="L36">
        <v>0</v>
      </c>
      <c r="M36">
        <v>0</v>
      </c>
      <c r="N36">
        <v>2750</v>
      </c>
    </row>
    <row r="37" spans="1:14" x14ac:dyDescent="0.25">
      <c r="A37">
        <v>0.351128</v>
      </c>
      <c r="B37" s="1">
        <f>DATE(2010,5,1) + TIME(8,25,37)</f>
        <v>40299.351122685184</v>
      </c>
      <c r="C37">
        <v>80</v>
      </c>
      <c r="D37">
        <v>40.552623748999999</v>
      </c>
      <c r="E37">
        <v>40</v>
      </c>
      <c r="F37">
        <v>14.999141693</v>
      </c>
      <c r="G37">
        <v>1341.8969727000001</v>
      </c>
      <c r="H37">
        <v>1338.8248291</v>
      </c>
      <c r="I37">
        <v>1320.1245117000001</v>
      </c>
      <c r="J37">
        <v>1315.6053466999999</v>
      </c>
      <c r="K37">
        <v>2750</v>
      </c>
      <c r="L37">
        <v>0</v>
      </c>
      <c r="M37">
        <v>0</v>
      </c>
      <c r="N37">
        <v>2750</v>
      </c>
    </row>
    <row r="38" spans="1:14" x14ac:dyDescent="0.25">
      <c r="A38">
        <v>0.36688500000000002</v>
      </c>
      <c r="B38" s="1">
        <f>DATE(2010,5,1) + TIME(8,48,18)</f>
        <v>40299.366875</v>
      </c>
      <c r="C38">
        <v>80</v>
      </c>
      <c r="D38">
        <v>41.538909912000001</v>
      </c>
      <c r="E38">
        <v>40</v>
      </c>
      <c r="F38">
        <v>14.999145508</v>
      </c>
      <c r="G38">
        <v>1341.9020995999999</v>
      </c>
      <c r="H38">
        <v>1338.8535156</v>
      </c>
      <c r="I38">
        <v>1320.1247559000001</v>
      </c>
      <c r="J38">
        <v>1315.6054687999999</v>
      </c>
      <c r="K38">
        <v>2750</v>
      </c>
      <c r="L38">
        <v>0</v>
      </c>
      <c r="M38">
        <v>0</v>
      </c>
      <c r="N38">
        <v>2750</v>
      </c>
    </row>
    <row r="39" spans="1:14" x14ac:dyDescent="0.25">
      <c r="A39">
        <v>0.38285999999999998</v>
      </c>
      <c r="B39" s="1">
        <f>DATE(2010,5,1) + TIME(9,11,19)</f>
        <v>40299.3828587963</v>
      </c>
      <c r="C39">
        <v>80</v>
      </c>
      <c r="D39">
        <v>42.524597168</v>
      </c>
      <c r="E39">
        <v>40</v>
      </c>
      <c r="F39">
        <v>14.999149322999999</v>
      </c>
      <c r="G39">
        <v>1341.9100341999999</v>
      </c>
      <c r="H39">
        <v>1338.8835449000001</v>
      </c>
      <c r="I39">
        <v>1320.125</v>
      </c>
      <c r="J39">
        <v>1315.6055908000001</v>
      </c>
      <c r="K39">
        <v>2750</v>
      </c>
      <c r="L39">
        <v>0</v>
      </c>
      <c r="M39">
        <v>0</v>
      </c>
      <c r="N39">
        <v>2750</v>
      </c>
    </row>
    <row r="40" spans="1:14" x14ac:dyDescent="0.25">
      <c r="A40">
        <v>0.39906700000000001</v>
      </c>
      <c r="B40" s="1">
        <f>DATE(2010,5,1) + TIME(9,34,39)</f>
        <v>40299.399062500001</v>
      </c>
      <c r="C40">
        <v>80</v>
      </c>
      <c r="D40">
        <v>43.509738921999997</v>
      </c>
      <c r="E40">
        <v>40</v>
      </c>
      <c r="F40">
        <v>14.999152184</v>
      </c>
      <c r="G40">
        <v>1341.9205322</v>
      </c>
      <c r="H40">
        <v>1338.9150391000001</v>
      </c>
      <c r="I40">
        <v>1320.1252440999999</v>
      </c>
      <c r="J40">
        <v>1315.6057129000001</v>
      </c>
      <c r="K40">
        <v>2750</v>
      </c>
      <c r="L40">
        <v>0</v>
      </c>
      <c r="M40">
        <v>0</v>
      </c>
      <c r="N40">
        <v>2750</v>
      </c>
    </row>
    <row r="41" spans="1:14" x14ac:dyDescent="0.25">
      <c r="A41">
        <v>0.41551900000000003</v>
      </c>
      <c r="B41" s="1">
        <f>DATE(2010,5,1) + TIME(9,58,20)</f>
        <v>40299.415509259263</v>
      </c>
      <c r="C41">
        <v>80</v>
      </c>
      <c r="D41">
        <v>44.494297027999998</v>
      </c>
      <c r="E41">
        <v>40</v>
      </c>
      <c r="F41">
        <v>14.999155998000001</v>
      </c>
      <c r="G41">
        <v>1341.9335937999999</v>
      </c>
      <c r="H41">
        <v>1338.9477539</v>
      </c>
      <c r="I41">
        <v>1320.1253661999999</v>
      </c>
      <c r="J41">
        <v>1315.6058350000001</v>
      </c>
      <c r="K41">
        <v>2750</v>
      </c>
      <c r="L41">
        <v>0</v>
      </c>
      <c r="M41">
        <v>0</v>
      </c>
      <c r="N41">
        <v>2750</v>
      </c>
    </row>
    <row r="42" spans="1:14" x14ac:dyDescent="0.25">
      <c r="A42">
        <v>0.43222899999999997</v>
      </c>
      <c r="B42" s="1">
        <f>DATE(2010,5,1) + TIME(10,22,24)</f>
        <v>40299.432222222225</v>
      </c>
      <c r="C42">
        <v>80</v>
      </c>
      <c r="D42">
        <v>45.478221892999997</v>
      </c>
      <c r="E42">
        <v>40</v>
      </c>
      <c r="F42">
        <v>14.999159813</v>
      </c>
      <c r="G42">
        <v>1341.9489745999999</v>
      </c>
      <c r="H42">
        <v>1338.9815673999999</v>
      </c>
      <c r="I42">
        <v>1320.1256103999999</v>
      </c>
      <c r="J42">
        <v>1315.605957</v>
      </c>
      <c r="K42">
        <v>2750</v>
      </c>
      <c r="L42">
        <v>0</v>
      </c>
      <c r="M42">
        <v>0</v>
      </c>
      <c r="N42">
        <v>2750</v>
      </c>
    </row>
    <row r="43" spans="1:14" x14ac:dyDescent="0.25">
      <c r="A43">
        <v>0.449212</v>
      </c>
      <c r="B43" s="1">
        <f>DATE(2010,5,1) + TIME(10,46,51)</f>
        <v>40299.449201388888</v>
      </c>
      <c r="C43">
        <v>80</v>
      </c>
      <c r="D43">
        <v>46.461471558</v>
      </c>
      <c r="E43">
        <v>40</v>
      </c>
      <c r="F43">
        <v>14.999162674000001</v>
      </c>
      <c r="G43">
        <v>1341.9665527</v>
      </c>
      <c r="H43">
        <v>1339.0166016000001</v>
      </c>
      <c r="I43">
        <v>1320.1258545000001</v>
      </c>
      <c r="J43">
        <v>1315.6060791</v>
      </c>
      <c r="K43">
        <v>2750</v>
      </c>
      <c r="L43">
        <v>0</v>
      </c>
      <c r="M43">
        <v>0</v>
      </c>
      <c r="N43">
        <v>2750</v>
      </c>
    </row>
    <row r="44" spans="1:14" x14ac:dyDescent="0.25">
      <c r="A44">
        <v>0.46648400000000001</v>
      </c>
      <c r="B44" s="1">
        <f>DATE(2010,5,1) + TIME(11,11,44)</f>
        <v>40299.466481481482</v>
      </c>
      <c r="C44">
        <v>80</v>
      </c>
      <c r="D44">
        <v>47.443992614999999</v>
      </c>
      <c r="E44">
        <v>40</v>
      </c>
      <c r="F44">
        <v>14.999166489</v>
      </c>
      <c r="G44">
        <v>1341.9864502</v>
      </c>
      <c r="H44">
        <v>1339.0526123</v>
      </c>
      <c r="I44">
        <v>1320.1259766000001</v>
      </c>
      <c r="J44">
        <v>1315.6062012</v>
      </c>
      <c r="K44">
        <v>2750</v>
      </c>
      <c r="L44">
        <v>0</v>
      </c>
      <c r="M44">
        <v>0</v>
      </c>
      <c r="N44">
        <v>2750</v>
      </c>
    </row>
    <row r="45" spans="1:14" x14ac:dyDescent="0.25">
      <c r="A45">
        <v>0.48406300000000002</v>
      </c>
      <c r="B45" s="1">
        <f>DATE(2010,5,1) + TIME(11,37,3)</f>
        <v>40299.4840625</v>
      </c>
      <c r="C45">
        <v>80</v>
      </c>
      <c r="D45">
        <v>48.425735474</v>
      </c>
      <c r="E45">
        <v>40</v>
      </c>
      <c r="F45">
        <v>14.999170303</v>
      </c>
      <c r="G45">
        <v>1342.0083007999999</v>
      </c>
      <c r="H45">
        <v>1339.0897216999999</v>
      </c>
      <c r="I45">
        <v>1320.1262207</v>
      </c>
      <c r="J45">
        <v>1315.6063231999999</v>
      </c>
      <c r="K45">
        <v>2750</v>
      </c>
      <c r="L45">
        <v>0</v>
      </c>
      <c r="M45">
        <v>0</v>
      </c>
      <c r="N45">
        <v>2750</v>
      </c>
    </row>
    <row r="46" spans="1:14" x14ac:dyDescent="0.25">
      <c r="A46">
        <v>0.501969</v>
      </c>
      <c r="B46" s="1">
        <f>DATE(2010,5,1) + TIME(12,2,50)</f>
        <v>40299.501967592594</v>
      </c>
      <c r="C46">
        <v>80</v>
      </c>
      <c r="D46">
        <v>49.406642914000003</v>
      </c>
      <c r="E46">
        <v>40</v>
      </c>
      <c r="F46">
        <v>14.999173164</v>
      </c>
      <c r="G46">
        <v>1342.0322266000001</v>
      </c>
      <c r="H46">
        <v>1339.1278076000001</v>
      </c>
      <c r="I46">
        <v>1320.1263428</v>
      </c>
      <c r="J46">
        <v>1315.6063231999999</v>
      </c>
      <c r="K46">
        <v>2750</v>
      </c>
      <c r="L46">
        <v>0</v>
      </c>
      <c r="M46">
        <v>0</v>
      </c>
      <c r="N46">
        <v>2750</v>
      </c>
    </row>
    <row r="47" spans="1:14" x14ac:dyDescent="0.25">
      <c r="A47">
        <v>0.52022400000000002</v>
      </c>
      <c r="B47" s="1">
        <f>DATE(2010,5,1) + TIME(12,29,7)</f>
        <v>40299.520219907405</v>
      </c>
      <c r="C47">
        <v>80</v>
      </c>
      <c r="D47">
        <v>50.386470795000001</v>
      </c>
      <c r="E47">
        <v>40</v>
      </c>
      <c r="F47">
        <v>14.999176979</v>
      </c>
      <c r="G47">
        <v>1342.0579834</v>
      </c>
      <c r="H47">
        <v>1339.1668701000001</v>
      </c>
      <c r="I47">
        <v>1320.1265868999999</v>
      </c>
      <c r="J47">
        <v>1315.6064452999999</v>
      </c>
      <c r="K47">
        <v>2750</v>
      </c>
      <c r="L47">
        <v>0</v>
      </c>
      <c r="M47">
        <v>0</v>
      </c>
      <c r="N47">
        <v>2750</v>
      </c>
    </row>
    <row r="48" spans="1:14" x14ac:dyDescent="0.25">
      <c r="A48">
        <v>0.53885499999999997</v>
      </c>
      <c r="B48" s="1">
        <f>DATE(2010,5,1) + TIME(12,55,57)</f>
        <v>40299.538854166669</v>
      </c>
      <c r="C48">
        <v>80</v>
      </c>
      <c r="D48">
        <v>51.365222930999998</v>
      </c>
      <c r="E48">
        <v>40</v>
      </c>
      <c r="F48">
        <v>14.999180794000001</v>
      </c>
      <c r="G48">
        <v>1342.0854492000001</v>
      </c>
      <c r="H48">
        <v>1339.2066649999999</v>
      </c>
      <c r="I48">
        <v>1320.1267089999999</v>
      </c>
      <c r="J48">
        <v>1315.6065673999999</v>
      </c>
      <c r="K48">
        <v>2750</v>
      </c>
      <c r="L48">
        <v>0</v>
      </c>
      <c r="M48">
        <v>0</v>
      </c>
      <c r="N48">
        <v>2750</v>
      </c>
    </row>
    <row r="49" spans="1:14" x14ac:dyDescent="0.25">
      <c r="A49">
        <v>0.55789</v>
      </c>
      <c r="B49" s="1">
        <f>DATE(2010,5,1) + TIME(13,23,21)</f>
        <v>40299.557881944442</v>
      </c>
      <c r="C49">
        <v>80</v>
      </c>
      <c r="D49">
        <v>52.343204497999999</v>
      </c>
      <c r="E49">
        <v>40</v>
      </c>
      <c r="F49">
        <v>14.999183655</v>
      </c>
      <c r="G49">
        <v>1342.1147461</v>
      </c>
      <c r="H49">
        <v>1339.2474365</v>
      </c>
      <c r="I49">
        <v>1320.1268310999999</v>
      </c>
      <c r="J49">
        <v>1315.6065673999999</v>
      </c>
      <c r="K49">
        <v>2750</v>
      </c>
      <c r="L49">
        <v>0</v>
      </c>
      <c r="M49">
        <v>0</v>
      </c>
      <c r="N49">
        <v>2750</v>
      </c>
    </row>
    <row r="50" spans="1:14" x14ac:dyDescent="0.25">
      <c r="A50">
        <v>0.57735300000000001</v>
      </c>
      <c r="B50" s="1">
        <f>DATE(2010,5,1) + TIME(13,51,23)</f>
        <v>40299.577349537038</v>
      </c>
      <c r="C50">
        <v>80</v>
      </c>
      <c r="D50">
        <v>53.320072174000003</v>
      </c>
      <c r="E50">
        <v>40</v>
      </c>
      <c r="F50">
        <v>14.999187469000001</v>
      </c>
      <c r="G50">
        <v>1342.1457519999999</v>
      </c>
      <c r="H50">
        <v>1339.2888184000001</v>
      </c>
      <c r="I50">
        <v>1320.1270752</v>
      </c>
      <c r="J50">
        <v>1315.6066894999999</v>
      </c>
      <c r="K50">
        <v>2750</v>
      </c>
      <c r="L50">
        <v>0</v>
      </c>
      <c r="M50">
        <v>0</v>
      </c>
      <c r="N50">
        <v>2750</v>
      </c>
    </row>
    <row r="51" spans="1:14" x14ac:dyDescent="0.25">
      <c r="A51">
        <v>0.59727799999999998</v>
      </c>
      <c r="B51" s="1">
        <f>DATE(2010,5,1) + TIME(14,20,4)</f>
        <v>40299.597268518519</v>
      </c>
      <c r="C51">
        <v>80</v>
      </c>
      <c r="D51">
        <v>54.295742035000004</v>
      </c>
      <c r="E51">
        <v>40</v>
      </c>
      <c r="F51">
        <v>14.999191284</v>
      </c>
      <c r="G51">
        <v>1342.1782227000001</v>
      </c>
      <c r="H51">
        <v>1339.3310547000001</v>
      </c>
      <c r="I51">
        <v>1320.1271973</v>
      </c>
      <c r="J51">
        <v>1315.6068115</v>
      </c>
      <c r="K51">
        <v>2750</v>
      </c>
      <c r="L51">
        <v>0</v>
      </c>
      <c r="M51">
        <v>0</v>
      </c>
      <c r="N51">
        <v>2750</v>
      </c>
    </row>
    <row r="52" spans="1:14" x14ac:dyDescent="0.25">
      <c r="A52">
        <v>0.617699</v>
      </c>
      <c r="B52" s="1">
        <f>DATE(2010,5,1) + TIME(14,49,29)</f>
        <v>40299.617696759262</v>
      </c>
      <c r="C52">
        <v>80</v>
      </c>
      <c r="D52">
        <v>55.270118713000002</v>
      </c>
      <c r="E52">
        <v>40</v>
      </c>
      <c r="F52">
        <v>14.999195099</v>
      </c>
      <c r="G52">
        <v>1342.2122803</v>
      </c>
      <c r="H52">
        <v>1339.3740233999999</v>
      </c>
      <c r="I52">
        <v>1320.1273193</v>
      </c>
      <c r="J52">
        <v>1315.6068115</v>
      </c>
      <c r="K52">
        <v>2750</v>
      </c>
      <c r="L52">
        <v>0</v>
      </c>
      <c r="M52">
        <v>0</v>
      </c>
      <c r="N52">
        <v>2750</v>
      </c>
    </row>
    <row r="53" spans="1:14" x14ac:dyDescent="0.25">
      <c r="A53">
        <v>0.63865799999999995</v>
      </c>
      <c r="B53" s="1">
        <f>DATE(2010,5,1) + TIME(15,19,40)</f>
        <v>40299.638657407406</v>
      </c>
      <c r="C53">
        <v>80</v>
      </c>
      <c r="D53">
        <v>56.243099213000001</v>
      </c>
      <c r="E53">
        <v>40</v>
      </c>
      <c r="F53">
        <v>14.99919796</v>
      </c>
      <c r="G53">
        <v>1342.2478027</v>
      </c>
      <c r="H53">
        <v>1339.4176024999999</v>
      </c>
      <c r="I53">
        <v>1320.1275635</v>
      </c>
      <c r="J53">
        <v>1315.6069336</v>
      </c>
      <c r="K53">
        <v>2750</v>
      </c>
      <c r="L53">
        <v>0</v>
      </c>
      <c r="M53">
        <v>0</v>
      </c>
      <c r="N53">
        <v>2750</v>
      </c>
    </row>
    <row r="54" spans="1:14" x14ac:dyDescent="0.25">
      <c r="A54">
        <v>0.66019799999999995</v>
      </c>
      <c r="B54" s="1">
        <f>DATE(2010,5,1) + TIME(15,50,41)</f>
        <v>40299.660196759258</v>
      </c>
      <c r="C54">
        <v>80</v>
      </c>
      <c r="D54">
        <v>57.214569091999998</v>
      </c>
      <c r="E54">
        <v>40</v>
      </c>
      <c r="F54">
        <v>14.999201775</v>
      </c>
      <c r="G54">
        <v>1342.2847899999999</v>
      </c>
      <c r="H54">
        <v>1339.4617920000001</v>
      </c>
      <c r="I54">
        <v>1320.1276855000001</v>
      </c>
      <c r="J54">
        <v>1315.6069336</v>
      </c>
      <c r="K54">
        <v>2750</v>
      </c>
      <c r="L54">
        <v>0</v>
      </c>
      <c r="M54">
        <v>0</v>
      </c>
      <c r="N54">
        <v>2750</v>
      </c>
    </row>
    <row r="55" spans="1:14" x14ac:dyDescent="0.25">
      <c r="A55">
        <v>0.68237099999999995</v>
      </c>
      <c r="B55" s="1">
        <f>DATE(2010,5,1) + TIME(16,22,36)</f>
        <v>40299.68236111111</v>
      </c>
      <c r="C55">
        <v>80</v>
      </c>
      <c r="D55">
        <v>58.184402466000002</v>
      </c>
      <c r="E55">
        <v>40</v>
      </c>
      <c r="F55">
        <v>14.999205589000001</v>
      </c>
      <c r="G55">
        <v>1342.3229980000001</v>
      </c>
      <c r="H55">
        <v>1339.5065918</v>
      </c>
      <c r="I55">
        <v>1320.1279297000001</v>
      </c>
      <c r="J55">
        <v>1315.6070557</v>
      </c>
      <c r="K55">
        <v>2750</v>
      </c>
      <c r="L55">
        <v>0</v>
      </c>
      <c r="M55">
        <v>0</v>
      </c>
      <c r="N55">
        <v>2750</v>
      </c>
    </row>
    <row r="56" spans="1:14" x14ac:dyDescent="0.25">
      <c r="A56">
        <v>0.70523400000000003</v>
      </c>
      <c r="B56" s="1">
        <f>DATE(2010,5,1) + TIME(16,55,32)</f>
        <v>40299.705231481479</v>
      </c>
      <c r="C56">
        <v>80</v>
      </c>
      <c r="D56">
        <v>59.152454376000001</v>
      </c>
      <c r="E56">
        <v>40</v>
      </c>
      <c r="F56">
        <v>14.999209404</v>
      </c>
      <c r="G56">
        <v>1342.3626709</v>
      </c>
      <c r="H56">
        <v>1339.5518798999999</v>
      </c>
      <c r="I56">
        <v>1320.1280518000001</v>
      </c>
      <c r="J56">
        <v>1315.6070557</v>
      </c>
      <c r="K56">
        <v>2750</v>
      </c>
      <c r="L56">
        <v>0</v>
      </c>
      <c r="M56">
        <v>0</v>
      </c>
      <c r="N56">
        <v>2750</v>
      </c>
    </row>
    <row r="57" spans="1:14" x14ac:dyDescent="0.25">
      <c r="A57">
        <v>0.72885100000000003</v>
      </c>
      <c r="B57" s="1">
        <f>DATE(2010,5,1) + TIME(17,29,32)</f>
        <v>40299.728842592594</v>
      </c>
      <c r="C57">
        <v>80</v>
      </c>
      <c r="D57">
        <v>60.118480681999998</v>
      </c>
      <c r="E57">
        <v>40</v>
      </c>
      <c r="F57">
        <v>14.999213219</v>
      </c>
      <c r="G57">
        <v>1342.4034423999999</v>
      </c>
      <c r="H57">
        <v>1339.5977783000001</v>
      </c>
      <c r="I57">
        <v>1320.1281738</v>
      </c>
      <c r="J57">
        <v>1315.6071777</v>
      </c>
      <c r="K57">
        <v>2750</v>
      </c>
      <c r="L57">
        <v>0</v>
      </c>
      <c r="M57">
        <v>0</v>
      </c>
      <c r="N57">
        <v>2750</v>
      </c>
    </row>
    <row r="58" spans="1:14" x14ac:dyDescent="0.25">
      <c r="A58">
        <v>0.75329900000000005</v>
      </c>
      <c r="B58" s="1">
        <f>DATE(2010,5,1) + TIME(18,4,45)</f>
        <v>40299.753298611111</v>
      </c>
      <c r="C58">
        <v>80</v>
      </c>
      <c r="D58">
        <v>61.081836699999997</v>
      </c>
      <c r="E58">
        <v>40</v>
      </c>
      <c r="F58">
        <v>14.999217033000001</v>
      </c>
      <c r="G58">
        <v>1342.4455565999999</v>
      </c>
      <c r="H58">
        <v>1339.644043</v>
      </c>
      <c r="I58">
        <v>1320.128418</v>
      </c>
      <c r="J58">
        <v>1315.6071777</v>
      </c>
      <c r="K58">
        <v>2750</v>
      </c>
      <c r="L58">
        <v>0</v>
      </c>
      <c r="M58">
        <v>0</v>
      </c>
      <c r="N58">
        <v>2750</v>
      </c>
    </row>
    <row r="59" spans="1:14" x14ac:dyDescent="0.25">
      <c r="A59">
        <v>0.77867699999999995</v>
      </c>
      <c r="B59" s="1">
        <f>DATE(2010,5,1) + TIME(18,41,17)</f>
        <v>40299.778668981482</v>
      </c>
      <c r="C59">
        <v>80</v>
      </c>
      <c r="D59">
        <v>62.043422698999997</v>
      </c>
      <c r="E59">
        <v>40</v>
      </c>
      <c r="F59">
        <v>14.999220848</v>
      </c>
      <c r="G59">
        <v>1342.4888916</v>
      </c>
      <c r="H59">
        <v>1339.6907959</v>
      </c>
      <c r="I59">
        <v>1320.1285399999999</v>
      </c>
      <c r="J59">
        <v>1315.6072998</v>
      </c>
      <c r="K59">
        <v>2750</v>
      </c>
      <c r="L59">
        <v>0</v>
      </c>
      <c r="M59">
        <v>0</v>
      </c>
      <c r="N59">
        <v>2750</v>
      </c>
    </row>
    <row r="60" spans="1:14" x14ac:dyDescent="0.25">
      <c r="A60">
        <v>0.80506900000000003</v>
      </c>
      <c r="B60" s="1">
        <f>DATE(2010,5,1) + TIME(19,19,17)</f>
        <v>40299.80505787037</v>
      </c>
      <c r="C60">
        <v>80</v>
      </c>
      <c r="D60">
        <v>63.002441406000003</v>
      </c>
      <c r="E60">
        <v>40</v>
      </c>
      <c r="F60">
        <v>14.999224663</v>
      </c>
      <c r="G60">
        <v>1342.5333252</v>
      </c>
      <c r="H60">
        <v>1339.7379149999999</v>
      </c>
      <c r="I60">
        <v>1320.1287841999999</v>
      </c>
      <c r="J60">
        <v>1315.6072998</v>
      </c>
      <c r="K60">
        <v>2750</v>
      </c>
      <c r="L60">
        <v>0</v>
      </c>
      <c r="M60">
        <v>0</v>
      </c>
      <c r="N60">
        <v>2750</v>
      </c>
    </row>
    <row r="61" spans="1:14" x14ac:dyDescent="0.25">
      <c r="A61">
        <v>0.83258799999999999</v>
      </c>
      <c r="B61" s="1">
        <f>DATE(2010,5,1) + TIME(19,58,55)</f>
        <v>40299.83258101852</v>
      </c>
      <c r="C61">
        <v>80</v>
      </c>
      <c r="D61">
        <v>63.958610534999998</v>
      </c>
      <c r="E61">
        <v>40</v>
      </c>
      <c r="F61">
        <v>14.999228477000001</v>
      </c>
      <c r="G61">
        <v>1342.5789795000001</v>
      </c>
      <c r="H61">
        <v>1339.7855225000001</v>
      </c>
      <c r="I61">
        <v>1320.1289062000001</v>
      </c>
      <c r="J61">
        <v>1315.6074219</v>
      </c>
      <c r="K61">
        <v>2750</v>
      </c>
      <c r="L61">
        <v>0</v>
      </c>
      <c r="M61">
        <v>0</v>
      </c>
      <c r="N61">
        <v>2750</v>
      </c>
    </row>
    <row r="62" spans="1:14" x14ac:dyDescent="0.25">
      <c r="A62">
        <v>0.86136900000000005</v>
      </c>
      <c r="B62" s="1">
        <f>DATE(2010,5,1) + TIME(20,40,22)</f>
        <v>40299.86136574074</v>
      </c>
      <c r="C62">
        <v>80</v>
      </c>
      <c r="D62">
        <v>64.911621093999997</v>
      </c>
      <c r="E62">
        <v>40</v>
      </c>
      <c r="F62">
        <v>14.999232292</v>
      </c>
      <c r="G62">
        <v>1342.6256103999999</v>
      </c>
      <c r="H62">
        <v>1339.833374</v>
      </c>
      <c r="I62">
        <v>1320.1291504000001</v>
      </c>
      <c r="J62">
        <v>1315.6074219</v>
      </c>
      <c r="K62">
        <v>2750</v>
      </c>
      <c r="L62">
        <v>0</v>
      </c>
      <c r="M62">
        <v>0</v>
      </c>
      <c r="N62">
        <v>2750</v>
      </c>
    </row>
    <row r="63" spans="1:14" x14ac:dyDescent="0.25">
      <c r="A63">
        <v>0.89156899999999994</v>
      </c>
      <c r="B63" s="1">
        <f>DATE(2010,5,1) + TIME(21,23,51)</f>
        <v>40299.891562500001</v>
      </c>
      <c r="C63">
        <v>80</v>
      </c>
      <c r="D63">
        <v>65.861312866000006</v>
      </c>
      <c r="E63">
        <v>40</v>
      </c>
      <c r="F63">
        <v>14.999236107</v>
      </c>
      <c r="G63">
        <v>1342.6733397999999</v>
      </c>
      <c r="H63">
        <v>1339.8815918</v>
      </c>
      <c r="I63">
        <v>1320.1292725000001</v>
      </c>
      <c r="J63">
        <v>1315.6075439000001</v>
      </c>
      <c r="K63">
        <v>2750</v>
      </c>
      <c r="L63">
        <v>0</v>
      </c>
      <c r="M63">
        <v>0</v>
      </c>
      <c r="N63">
        <v>2750</v>
      </c>
    </row>
    <row r="64" spans="1:14" x14ac:dyDescent="0.25">
      <c r="A64">
        <v>0.92336799999999997</v>
      </c>
      <c r="B64" s="1">
        <f>DATE(2010,5,1) + TIME(22,9,39)</f>
        <v>40299.923368055555</v>
      </c>
      <c r="C64">
        <v>80</v>
      </c>
      <c r="D64">
        <v>66.806877135999997</v>
      </c>
      <c r="E64">
        <v>40</v>
      </c>
      <c r="F64">
        <v>14.999240875</v>
      </c>
      <c r="G64">
        <v>1342.722168</v>
      </c>
      <c r="H64">
        <v>1339.9300536999999</v>
      </c>
      <c r="I64">
        <v>1320.1295166</v>
      </c>
      <c r="J64">
        <v>1315.6075439000001</v>
      </c>
      <c r="K64">
        <v>2750</v>
      </c>
      <c r="L64">
        <v>0</v>
      </c>
      <c r="M64">
        <v>0</v>
      </c>
      <c r="N64">
        <v>2750</v>
      </c>
    </row>
    <row r="65" spans="1:14" x14ac:dyDescent="0.25">
      <c r="A65">
        <v>0.93952500000000005</v>
      </c>
      <c r="B65" s="1">
        <f>DATE(2010,5,1) + TIME(22,32,54)</f>
        <v>40299.939513888887</v>
      </c>
      <c r="C65">
        <v>80</v>
      </c>
      <c r="D65">
        <v>67.276382446</v>
      </c>
      <c r="E65">
        <v>40</v>
      </c>
      <c r="F65">
        <v>14.999242783</v>
      </c>
      <c r="G65">
        <v>1342.7886963000001</v>
      </c>
      <c r="H65">
        <v>1339.9782714999999</v>
      </c>
      <c r="I65">
        <v>1320.1297606999999</v>
      </c>
      <c r="J65">
        <v>1315.6076660000001</v>
      </c>
      <c r="K65">
        <v>2750</v>
      </c>
      <c r="L65">
        <v>0</v>
      </c>
      <c r="M65">
        <v>0</v>
      </c>
      <c r="N65">
        <v>2750</v>
      </c>
    </row>
    <row r="66" spans="1:14" x14ac:dyDescent="0.25">
      <c r="A66">
        <v>0.955681</v>
      </c>
      <c r="B66" s="1">
        <f>DATE(2010,5,1) + TIME(22,56,10)</f>
        <v>40299.955671296295</v>
      </c>
      <c r="C66">
        <v>80</v>
      </c>
      <c r="D66">
        <v>67.732055664000001</v>
      </c>
      <c r="E66">
        <v>40</v>
      </c>
      <c r="F66">
        <v>14.999244689999999</v>
      </c>
      <c r="G66">
        <v>1342.8140868999999</v>
      </c>
      <c r="H66">
        <v>1340.0025635</v>
      </c>
      <c r="I66">
        <v>1320.1298827999999</v>
      </c>
      <c r="J66">
        <v>1315.6076660000001</v>
      </c>
      <c r="K66">
        <v>2750</v>
      </c>
      <c r="L66">
        <v>0</v>
      </c>
      <c r="M66">
        <v>0</v>
      </c>
      <c r="N66">
        <v>2750</v>
      </c>
    </row>
    <row r="67" spans="1:14" x14ac:dyDescent="0.25">
      <c r="A67">
        <v>0.97183699999999995</v>
      </c>
      <c r="B67" s="1">
        <f>DATE(2010,5,1) + TIME(23,19,26)</f>
        <v>40299.971828703703</v>
      </c>
      <c r="C67">
        <v>80</v>
      </c>
      <c r="D67">
        <v>68.174140929999993</v>
      </c>
      <c r="E67">
        <v>40</v>
      </c>
      <c r="F67">
        <v>14.999246597000001</v>
      </c>
      <c r="G67">
        <v>1342.8392334</v>
      </c>
      <c r="H67">
        <v>1340.0263672000001</v>
      </c>
      <c r="I67">
        <v>1320.1300048999999</v>
      </c>
      <c r="J67">
        <v>1315.6077881000001</v>
      </c>
      <c r="K67">
        <v>2750</v>
      </c>
      <c r="L67">
        <v>0</v>
      </c>
      <c r="M67">
        <v>0</v>
      </c>
      <c r="N67">
        <v>2750</v>
      </c>
    </row>
    <row r="68" spans="1:14" x14ac:dyDescent="0.25">
      <c r="A68">
        <v>0.98799400000000004</v>
      </c>
      <c r="B68" s="1">
        <f>DATE(2010,5,1) + TIME(23,42,42)</f>
        <v>40299.987986111111</v>
      </c>
      <c r="C68">
        <v>80</v>
      </c>
      <c r="D68">
        <v>68.602874756000006</v>
      </c>
      <c r="E68">
        <v>40</v>
      </c>
      <c r="F68">
        <v>14.999248505000001</v>
      </c>
      <c r="G68">
        <v>1342.8637695</v>
      </c>
      <c r="H68">
        <v>1340.0494385</v>
      </c>
      <c r="I68">
        <v>1320.1300048999999</v>
      </c>
      <c r="J68">
        <v>1315.6077881000001</v>
      </c>
      <c r="K68">
        <v>2750</v>
      </c>
      <c r="L68">
        <v>0</v>
      </c>
      <c r="M68">
        <v>0</v>
      </c>
      <c r="N68">
        <v>2750</v>
      </c>
    </row>
    <row r="69" spans="1:14" x14ac:dyDescent="0.25">
      <c r="A69">
        <v>1.0040830000000001</v>
      </c>
      <c r="B69" s="1">
        <f>DATE(2010,5,2) + TIME(0,5,52)</f>
        <v>40300.004074074073</v>
      </c>
      <c r="C69">
        <v>80</v>
      </c>
      <c r="D69">
        <v>69.016845703000001</v>
      </c>
      <c r="E69">
        <v>40</v>
      </c>
      <c r="F69">
        <v>14.999250412</v>
      </c>
      <c r="G69">
        <v>1342.8879394999999</v>
      </c>
      <c r="H69">
        <v>1340.0720214999999</v>
      </c>
      <c r="I69">
        <v>1320.1301269999999</v>
      </c>
      <c r="J69">
        <v>1315.6077881000001</v>
      </c>
      <c r="K69">
        <v>2750</v>
      </c>
      <c r="L69">
        <v>0</v>
      </c>
      <c r="M69">
        <v>0</v>
      </c>
      <c r="N69">
        <v>2750</v>
      </c>
    </row>
    <row r="70" spans="1:14" x14ac:dyDescent="0.25">
      <c r="A70">
        <v>1.020103</v>
      </c>
      <c r="B70" s="1">
        <f>DATE(2010,5,2) + TIME(0,28,56)</f>
        <v>40300.020092592589</v>
      </c>
      <c r="C70">
        <v>80</v>
      </c>
      <c r="D70">
        <v>69.416366577000005</v>
      </c>
      <c r="E70">
        <v>40</v>
      </c>
      <c r="F70">
        <v>14.999252319</v>
      </c>
      <c r="G70">
        <v>1342.9116211</v>
      </c>
      <c r="H70">
        <v>1340.09375</v>
      </c>
      <c r="I70">
        <v>1320.130249</v>
      </c>
      <c r="J70">
        <v>1315.6079102000001</v>
      </c>
      <c r="K70">
        <v>2750</v>
      </c>
      <c r="L70">
        <v>0</v>
      </c>
      <c r="M70">
        <v>0</v>
      </c>
      <c r="N70">
        <v>2750</v>
      </c>
    </row>
    <row r="71" spans="1:14" x14ac:dyDescent="0.25">
      <c r="A71">
        <v>1.036062</v>
      </c>
      <c r="B71" s="1">
        <f>DATE(2010,5,2) + TIME(0,51,55)</f>
        <v>40300.036053240743</v>
      </c>
      <c r="C71">
        <v>80</v>
      </c>
      <c r="D71">
        <v>69.802085876000007</v>
      </c>
      <c r="E71">
        <v>40</v>
      </c>
      <c r="F71">
        <v>14.99925518</v>
      </c>
      <c r="G71">
        <v>1342.9346923999999</v>
      </c>
      <c r="H71">
        <v>1340.1148682</v>
      </c>
      <c r="I71">
        <v>1320.1303711</v>
      </c>
      <c r="J71">
        <v>1315.6079102000001</v>
      </c>
      <c r="K71">
        <v>2750</v>
      </c>
      <c r="L71">
        <v>0</v>
      </c>
      <c r="M71">
        <v>0</v>
      </c>
      <c r="N71">
        <v>2750</v>
      </c>
    </row>
    <row r="72" spans="1:14" x14ac:dyDescent="0.25">
      <c r="A72">
        <v>1.0519700000000001</v>
      </c>
      <c r="B72" s="1">
        <f>DATE(2010,5,2) + TIME(1,14,50)</f>
        <v>40300.05196759259</v>
      </c>
      <c r="C72">
        <v>80</v>
      </c>
      <c r="D72">
        <v>70.174453735</v>
      </c>
      <c r="E72">
        <v>40</v>
      </c>
      <c r="F72">
        <v>14.999256133999999</v>
      </c>
      <c r="G72">
        <v>1342.9571533000001</v>
      </c>
      <c r="H72">
        <v>1340.135376</v>
      </c>
      <c r="I72">
        <v>1320.1304932</v>
      </c>
      <c r="J72">
        <v>1315.6079102000001</v>
      </c>
      <c r="K72">
        <v>2750</v>
      </c>
      <c r="L72">
        <v>0</v>
      </c>
      <c r="M72">
        <v>0</v>
      </c>
      <c r="N72">
        <v>2750</v>
      </c>
    </row>
    <row r="73" spans="1:14" x14ac:dyDescent="0.25">
      <c r="A73">
        <v>1.0678369999999999</v>
      </c>
      <c r="B73" s="1">
        <f>DATE(2010,5,2) + TIME(1,37,41)</f>
        <v>40300.067835648151</v>
      </c>
      <c r="C73">
        <v>80</v>
      </c>
      <c r="D73">
        <v>70.534034728999998</v>
      </c>
      <c r="E73">
        <v>40</v>
      </c>
      <c r="F73">
        <v>14.999258040999999</v>
      </c>
      <c r="G73">
        <v>1342.9790039</v>
      </c>
      <c r="H73">
        <v>1340.1551514</v>
      </c>
      <c r="I73">
        <v>1320.1306152</v>
      </c>
      <c r="J73">
        <v>1315.6080322</v>
      </c>
      <c r="K73">
        <v>2750</v>
      </c>
      <c r="L73">
        <v>0</v>
      </c>
      <c r="M73">
        <v>0</v>
      </c>
      <c r="N73">
        <v>2750</v>
      </c>
    </row>
    <row r="74" spans="1:14" x14ac:dyDescent="0.25">
      <c r="A74">
        <v>1.0836710000000001</v>
      </c>
      <c r="B74" s="1">
        <f>DATE(2010,5,2) + TIME(2,0,29)</f>
        <v>40300.083668981482</v>
      </c>
      <c r="C74">
        <v>80</v>
      </c>
      <c r="D74">
        <v>70.881477356000005</v>
      </c>
      <c r="E74">
        <v>40</v>
      </c>
      <c r="F74">
        <v>14.999259949000001</v>
      </c>
      <c r="G74">
        <v>1343.0003661999999</v>
      </c>
      <c r="H74">
        <v>1340.1743164</v>
      </c>
      <c r="I74">
        <v>1320.1306152</v>
      </c>
      <c r="J74">
        <v>1315.6080322</v>
      </c>
      <c r="K74">
        <v>2750</v>
      </c>
      <c r="L74">
        <v>0</v>
      </c>
      <c r="M74">
        <v>0</v>
      </c>
      <c r="N74">
        <v>2750</v>
      </c>
    </row>
    <row r="75" spans="1:14" x14ac:dyDescent="0.25">
      <c r="A75">
        <v>1.0994809999999999</v>
      </c>
      <c r="B75" s="1">
        <f>DATE(2010,5,2) + TIME(2,23,15)</f>
        <v>40300.099479166667</v>
      </c>
      <c r="C75">
        <v>80</v>
      </c>
      <c r="D75">
        <v>71.217269896999994</v>
      </c>
      <c r="E75">
        <v>40</v>
      </c>
      <c r="F75">
        <v>14.999261856</v>
      </c>
      <c r="G75">
        <v>1343.0212402</v>
      </c>
      <c r="H75">
        <v>1340.1928711</v>
      </c>
      <c r="I75">
        <v>1320.1307373</v>
      </c>
      <c r="J75">
        <v>1315.6080322</v>
      </c>
      <c r="K75">
        <v>2750</v>
      </c>
      <c r="L75">
        <v>0</v>
      </c>
      <c r="M75">
        <v>0</v>
      </c>
      <c r="N75">
        <v>2750</v>
      </c>
    </row>
    <row r="76" spans="1:14" x14ac:dyDescent="0.25">
      <c r="A76">
        <v>1.115273</v>
      </c>
      <c r="B76" s="1">
        <f>DATE(2010,5,2) + TIME(2,45,59)</f>
        <v>40300.115266203706</v>
      </c>
      <c r="C76">
        <v>80</v>
      </c>
      <c r="D76">
        <v>71.541877747000001</v>
      </c>
      <c r="E76">
        <v>40</v>
      </c>
      <c r="F76">
        <v>14.999263763</v>
      </c>
      <c r="G76">
        <v>1343.041626</v>
      </c>
      <c r="H76">
        <v>1340.2108154</v>
      </c>
      <c r="I76">
        <v>1320.1308594</v>
      </c>
      <c r="J76">
        <v>1315.6081543</v>
      </c>
      <c r="K76">
        <v>2750</v>
      </c>
      <c r="L76">
        <v>0</v>
      </c>
      <c r="M76">
        <v>0</v>
      </c>
      <c r="N76">
        <v>2750</v>
      </c>
    </row>
    <row r="77" spans="1:14" x14ac:dyDescent="0.25">
      <c r="A77">
        <v>1.1310579999999999</v>
      </c>
      <c r="B77" s="1">
        <f>DATE(2010,5,2) + TIME(3,8,43)</f>
        <v>40300.131053240744</v>
      </c>
      <c r="C77">
        <v>80</v>
      </c>
      <c r="D77">
        <v>71.855735779</v>
      </c>
      <c r="E77">
        <v>40</v>
      </c>
      <c r="F77">
        <v>14.999265671</v>
      </c>
      <c r="G77">
        <v>1343.0614014</v>
      </c>
      <c r="H77">
        <v>1340.2282714999999</v>
      </c>
      <c r="I77">
        <v>1320.1309814000001</v>
      </c>
      <c r="J77">
        <v>1315.6081543</v>
      </c>
      <c r="K77">
        <v>2750</v>
      </c>
      <c r="L77">
        <v>0</v>
      </c>
      <c r="M77">
        <v>0</v>
      </c>
      <c r="N77">
        <v>2750</v>
      </c>
    </row>
    <row r="78" spans="1:14" x14ac:dyDescent="0.25">
      <c r="A78">
        <v>1.1468419999999999</v>
      </c>
      <c r="B78" s="1">
        <f>DATE(2010,5,2) + TIME(3,31,27)</f>
        <v>40300.146840277775</v>
      </c>
      <c r="C78">
        <v>80</v>
      </c>
      <c r="D78">
        <v>72.159248352000006</v>
      </c>
      <c r="E78">
        <v>40</v>
      </c>
      <c r="F78">
        <v>14.999267578</v>
      </c>
      <c r="G78">
        <v>1343.0808105000001</v>
      </c>
      <c r="H78">
        <v>1340.2451172000001</v>
      </c>
      <c r="I78">
        <v>1320.1311035000001</v>
      </c>
      <c r="J78">
        <v>1315.6081543</v>
      </c>
      <c r="K78">
        <v>2750</v>
      </c>
      <c r="L78">
        <v>0</v>
      </c>
      <c r="M78">
        <v>0</v>
      </c>
      <c r="N78">
        <v>2750</v>
      </c>
    </row>
    <row r="79" spans="1:14" x14ac:dyDescent="0.25">
      <c r="A79">
        <v>1.162625</v>
      </c>
      <c r="B79" s="1">
        <f>DATE(2010,5,2) + TIME(3,54,10)</f>
        <v>40300.162615740737</v>
      </c>
      <c r="C79">
        <v>80</v>
      </c>
      <c r="D79">
        <v>72.452682495000005</v>
      </c>
      <c r="E79">
        <v>40</v>
      </c>
      <c r="F79">
        <v>14.999269484999999</v>
      </c>
      <c r="G79">
        <v>1343.0996094</v>
      </c>
      <c r="H79">
        <v>1340.2614745999999</v>
      </c>
      <c r="I79">
        <v>1320.1311035000001</v>
      </c>
      <c r="J79">
        <v>1315.6082764</v>
      </c>
      <c r="K79">
        <v>2750</v>
      </c>
      <c r="L79">
        <v>0</v>
      </c>
      <c r="M79">
        <v>0</v>
      </c>
      <c r="N79">
        <v>2750</v>
      </c>
    </row>
    <row r="80" spans="1:14" x14ac:dyDescent="0.25">
      <c r="A80">
        <v>1.178409</v>
      </c>
      <c r="B80" s="1">
        <f>DATE(2010,5,2) + TIME(4,16,54)</f>
        <v>40300.178402777776</v>
      </c>
      <c r="C80">
        <v>80</v>
      </c>
      <c r="D80">
        <v>72.736289978000002</v>
      </c>
      <c r="E80">
        <v>40</v>
      </c>
      <c r="F80">
        <v>14.999270439</v>
      </c>
      <c r="G80">
        <v>1343.1180420000001</v>
      </c>
      <c r="H80">
        <v>1340.2772216999999</v>
      </c>
      <c r="I80">
        <v>1320.1312256000001</v>
      </c>
      <c r="J80">
        <v>1315.6082764</v>
      </c>
      <c r="K80">
        <v>2750</v>
      </c>
      <c r="L80">
        <v>0</v>
      </c>
      <c r="M80">
        <v>0</v>
      </c>
      <c r="N80">
        <v>2750</v>
      </c>
    </row>
    <row r="81" spans="1:14" x14ac:dyDescent="0.25">
      <c r="A81">
        <v>1.1941919999999999</v>
      </c>
      <c r="B81" s="1">
        <f>DATE(2010,5,2) + TIME(4,39,38)</f>
        <v>40300.194189814814</v>
      </c>
      <c r="C81">
        <v>80</v>
      </c>
      <c r="D81">
        <v>73.010322571000003</v>
      </c>
      <c r="E81">
        <v>40</v>
      </c>
      <c r="F81">
        <v>14.999272346</v>
      </c>
      <c r="G81">
        <v>1343.1359863</v>
      </c>
      <c r="H81">
        <v>1340.2924805</v>
      </c>
      <c r="I81">
        <v>1320.1313477000001</v>
      </c>
      <c r="J81">
        <v>1315.6082764</v>
      </c>
      <c r="K81">
        <v>2750</v>
      </c>
      <c r="L81">
        <v>0</v>
      </c>
      <c r="M81">
        <v>0</v>
      </c>
      <c r="N81">
        <v>2750</v>
      </c>
    </row>
    <row r="82" spans="1:14" x14ac:dyDescent="0.25">
      <c r="A82">
        <v>1.2099759999999999</v>
      </c>
      <c r="B82" s="1">
        <f>DATE(2010,5,2) + TIME(5,2,21)</f>
        <v>40300.209965277776</v>
      </c>
      <c r="C82">
        <v>80</v>
      </c>
      <c r="D82">
        <v>73.275016785000005</v>
      </c>
      <c r="E82">
        <v>40</v>
      </c>
      <c r="F82">
        <v>14.999274253999999</v>
      </c>
      <c r="G82">
        <v>1343.1535644999999</v>
      </c>
      <c r="H82">
        <v>1340.3073730000001</v>
      </c>
      <c r="I82">
        <v>1320.1314697</v>
      </c>
      <c r="J82">
        <v>1315.6083983999999</v>
      </c>
      <c r="K82">
        <v>2750</v>
      </c>
      <c r="L82">
        <v>0</v>
      </c>
      <c r="M82">
        <v>0</v>
      </c>
      <c r="N82">
        <v>2750</v>
      </c>
    </row>
    <row r="83" spans="1:14" x14ac:dyDescent="0.25">
      <c r="A83">
        <v>1.225759</v>
      </c>
      <c r="B83" s="1">
        <f>DATE(2010,5,2) + TIME(5,25,5)</f>
        <v>40300.225752314815</v>
      </c>
      <c r="C83">
        <v>80</v>
      </c>
      <c r="D83">
        <v>73.530632018999995</v>
      </c>
      <c r="E83">
        <v>40</v>
      </c>
      <c r="F83">
        <v>14.999276160999999</v>
      </c>
      <c r="G83">
        <v>1343.1705322</v>
      </c>
      <c r="H83">
        <v>1340.3216553</v>
      </c>
      <c r="I83">
        <v>1320.1314697</v>
      </c>
      <c r="J83">
        <v>1315.6083983999999</v>
      </c>
      <c r="K83">
        <v>2750</v>
      </c>
      <c r="L83">
        <v>0</v>
      </c>
      <c r="M83">
        <v>0</v>
      </c>
      <c r="N83">
        <v>2750</v>
      </c>
    </row>
    <row r="84" spans="1:14" x14ac:dyDescent="0.25">
      <c r="A84">
        <v>1.2415430000000001</v>
      </c>
      <c r="B84" s="1">
        <f>DATE(2010,5,2) + TIME(5,47,49)</f>
        <v>40300.241539351853</v>
      </c>
      <c r="C84">
        <v>80</v>
      </c>
      <c r="D84">
        <v>73.777404785000002</v>
      </c>
      <c r="E84">
        <v>40</v>
      </c>
      <c r="F84">
        <v>14.999277115</v>
      </c>
      <c r="G84">
        <v>1343.1871338000001</v>
      </c>
      <c r="H84">
        <v>1340.3354492000001</v>
      </c>
      <c r="I84">
        <v>1320.1315918</v>
      </c>
      <c r="J84">
        <v>1315.6083983999999</v>
      </c>
      <c r="K84">
        <v>2750</v>
      </c>
      <c r="L84">
        <v>0</v>
      </c>
      <c r="M84">
        <v>0</v>
      </c>
      <c r="N84">
        <v>2750</v>
      </c>
    </row>
    <row r="85" spans="1:14" x14ac:dyDescent="0.25">
      <c r="A85">
        <v>1.2573270000000001</v>
      </c>
      <c r="B85" s="1">
        <f>DATE(2010,5,2) + TIME(6,10,33)</f>
        <v>40300.257326388892</v>
      </c>
      <c r="C85">
        <v>80</v>
      </c>
      <c r="D85">
        <v>74.015579224000007</v>
      </c>
      <c r="E85">
        <v>40</v>
      </c>
      <c r="F85">
        <v>14.999279022</v>
      </c>
      <c r="G85">
        <v>1343.2032471</v>
      </c>
      <c r="H85">
        <v>1340.3487548999999</v>
      </c>
      <c r="I85">
        <v>1320.1317139</v>
      </c>
      <c r="J85">
        <v>1315.6085204999999</v>
      </c>
      <c r="K85">
        <v>2750</v>
      </c>
      <c r="L85">
        <v>0</v>
      </c>
      <c r="M85">
        <v>0</v>
      </c>
      <c r="N85">
        <v>2750</v>
      </c>
    </row>
    <row r="86" spans="1:14" x14ac:dyDescent="0.25">
      <c r="A86">
        <v>1.27311</v>
      </c>
      <c r="B86" s="1">
        <f>DATE(2010,5,2) + TIME(6,33,16)</f>
        <v>40300.273101851853</v>
      </c>
      <c r="C86">
        <v>80</v>
      </c>
      <c r="D86">
        <v>74.245391846000004</v>
      </c>
      <c r="E86">
        <v>40</v>
      </c>
      <c r="F86">
        <v>14.999280929999999</v>
      </c>
      <c r="G86">
        <v>1343.2189940999999</v>
      </c>
      <c r="H86">
        <v>1340.3616943</v>
      </c>
      <c r="I86">
        <v>1320.1318358999999</v>
      </c>
      <c r="J86">
        <v>1315.6085204999999</v>
      </c>
      <c r="K86">
        <v>2750</v>
      </c>
      <c r="L86">
        <v>0</v>
      </c>
      <c r="M86">
        <v>0</v>
      </c>
      <c r="N86">
        <v>2750</v>
      </c>
    </row>
    <row r="87" spans="1:14" x14ac:dyDescent="0.25">
      <c r="A87">
        <v>1.3046770000000001</v>
      </c>
      <c r="B87" s="1">
        <f>DATE(2010,5,2) + TIME(7,18,44)</f>
        <v>40300.304675925923</v>
      </c>
      <c r="C87">
        <v>80</v>
      </c>
      <c r="D87">
        <v>74.672004700000002</v>
      </c>
      <c r="E87">
        <v>40</v>
      </c>
      <c r="F87">
        <v>14.999283791</v>
      </c>
      <c r="G87">
        <v>1343.2271728999999</v>
      </c>
      <c r="H87">
        <v>1340.3747559000001</v>
      </c>
      <c r="I87">
        <v>1320.1318358999999</v>
      </c>
      <c r="J87">
        <v>1315.6086425999999</v>
      </c>
      <c r="K87">
        <v>2750</v>
      </c>
      <c r="L87">
        <v>0</v>
      </c>
      <c r="M87">
        <v>0</v>
      </c>
      <c r="N87">
        <v>2750</v>
      </c>
    </row>
    <row r="88" spans="1:14" x14ac:dyDescent="0.25">
      <c r="A88">
        <v>1.3363259999999999</v>
      </c>
      <c r="B88" s="1">
        <f>DATE(2010,5,2) + TIME(8,4,18)</f>
        <v>40300.336319444446</v>
      </c>
      <c r="C88">
        <v>80</v>
      </c>
      <c r="D88">
        <v>75.070129394999995</v>
      </c>
      <c r="E88">
        <v>40</v>
      </c>
      <c r="F88">
        <v>14.999286652</v>
      </c>
      <c r="G88">
        <v>1343.2562256000001</v>
      </c>
      <c r="H88">
        <v>1340.3975829999999</v>
      </c>
      <c r="I88">
        <v>1320.1320800999999</v>
      </c>
      <c r="J88">
        <v>1315.6086425999999</v>
      </c>
      <c r="K88">
        <v>2750</v>
      </c>
      <c r="L88">
        <v>0</v>
      </c>
      <c r="M88">
        <v>0</v>
      </c>
      <c r="N88">
        <v>2750</v>
      </c>
    </row>
    <row r="89" spans="1:14" x14ac:dyDescent="0.25">
      <c r="A89">
        <v>1.368314</v>
      </c>
      <c r="B89" s="1">
        <f>DATE(2010,5,2) + TIME(8,50,22)</f>
        <v>40300.368310185186</v>
      </c>
      <c r="C89">
        <v>80</v>
      </c>
      <c r="D89">
        <v>75.443862914999997</v>
      </c>
      <c r="E89">
        <v>40</v>
      </c>
      <c r="F89">
        <v>14.999289513000001</v>
      </c>
      <c r="G89">
        <v>1343.2835693</v>
      </c>
      <c r="H89">
        <v>1340.4189452999999</v>
      </c>
      <c r="I89">
        <v>1320.1322021000001</v>
      </c>
      <c r="J89">
        <v>1315.6087646000001</v>
      </c>
      <c r="K89">
        <v>2750</v>
      </c>
      <c r="L89">
        <v>0</v>
      </c>
      <c r="M89">
        <v>0</v>
      </c>
      <c r="N89">
        <v>2750</v>
      </c>
    </row>
    <row r="90" spans="1:14" x14ac:dyDescent="0.25">
      <c r="A90">
        <v>1.400687</v>
      </c>
      <c r="B90" s="1">
        <f>DATE(2010,5,2) + TIME(9,36,59)</f>
        <v>40300.400682870371</v>
      </c>
      <c r="C90">
        <v>80</v>
      </c>
      <c r="D90">
        <v>75.794746399000005</v>
      </c>
      <c r="E90">
        <v>40</v>
      </c>
      <c r="F90">
        <v>14.999292373999999</v>
      </c>
      <c r="G90">
        <v>1343.3096923999999</v>
      </c>
      <c r="H90">
        <v>1340.4387207</v>
      </c>
      <c r="I90">
        <v>1320.1324463000001</v>
      </c>
      <c r="J90">
        <v>1315.6088867000001</v>
      </c>
      <c r="K90">
        <v>2750</v>
      </c>
      <c r="L90">
        <v>0</v>
      </c>
      <c r="M90">
        <v>0</v>
      </c>
      <c r="N90">
        <v>2750</v>
      </c>
    </row>
    <row r="91" spans="1:14" x14ac:dyDescent="0.25">
      <c r="A91">
        <v>1.4334960000000001</v>
      </c>
      <c r="B91" s="1">
        <f>DATE(2010,5,2) + TIME(10,24,14)</f>
        <v>40300.433495370373</v>
      </c>
      <c r="C91">
        <v>80</v>
      </c>
      <c r="D91">
        <v>76.124053954999994</v>
      </c>
      <c r="E91">
        <v>40</v>
      </c>
      <c r="F91">
        <v>14.999295235</v>
      </c>
      <c r="G91">
        <v>1343.3343506000001</v>
      </c>
      <c r="H91">
        <v>1340.4572754000001</v>
      </c>
      <c r="I91">
        <v>1320.1325684000001</v>
      </c>
      <c r="J91">
        <v>1315.6088867000001</v>
      </c>
      <c r="K91">
        <v>2750</v>
      </c>
      <c r="L91">
        <v>0</v>
      </c>
      <c r="M91">
        <v>0</v>
      </c>
      <c r="N91">
        <v>2750</v>
      </c>
    </row>
    <row r="92" spans="1:14" x14ac:dyDescent="0.25">
      <c r="A92">
        <v>1.466796</v>
      </c>
      <c r="B92" s="1">
        <f>DATE(2010,5,2) + TIME(11,12,11)</f>
        <v>40300.466793981483</v>
      </c>
      <c r="C92">
        <v>80</v>
      </c>
      <c r="D92">
        <v>76.432952881000006</v>
      </c>
      <c r="E92">
        <v>40</v>
      </c>
      <c r="F92">
        <v>14.999298096</v>
      </c>
      <c r="G92">
        <v>1343.3577881000001</v>
      </c>
      <c r="H92">
        <v>1340.4746094</v>
      </c>
      <c r="I92">
        <v>1320.1328125</v>
      </c>
      <c r="J92">
        <v>1315.6090088000001</v>
      </c>
      <c r="K92">
        <v>2750</v>
      </c>
      <c r="L92">
        <v>0</v>
      </c>
      <c r="M92">
        <v>0</v>
      </c>
      <c r="N92">
        <v>2750</v>
      </c>
    </row>
    <row r="93" spans="1:14" x14ac:dyDescent="0.25">
      <c r="A93">
        <v>1.5006429999999999</v>
      </c>
      <c r="B93" s="1">
        <f>DATE(2010,5,2) + TIME(12,0,55)</f>
        <v>40300.500636574077</v>
      </c>
      <c r="C93">
        <v>80</v>
      </c>
      <c r="D93">
        <v>76.722534179999997</v>
      </c>
      <c r="E93">
        <v>40</v>
      </c>
      <c r="F93">
        <v>14.999300957000001</v>
      </c>
      <c r="G93">
        <v>1343.3800048999999</v>
      </c>
      <c r="H93">
        <v>1340.4906006000001</v>
      </c>
      <c r="I93">
        <v>1320.1329346</v>
      </c>
      <c r="J93">
        <v>1315.6091309000001</v>
      </c>
      <c r="K93">
        <v>2750</v>
      </c>
      <c r="L93">
        <v>0</v>
      </c>
      <c r="M93">
        <v>0</v>
      </c>
      <c r="N93">
        <v>2750</v>
      </c>
    </row>
    <row r="94" spans="1:14" x14ac:dyDescent="0.25">
      <c r="A94">
        <v>1.535096</v>
      </c>
      <c r="B94" s="1">
        <f>DATE(2010,5,2) + TIME(12,50,32)</f>
        <v>40300.535092592596</v>
      </c>
      <c r="C94">
        <v>80</v>
      </c>
      <c r="D94">
        <v>76.993827820000007</v>
      </c>
      <c r="E94">
        <v>40</v>
      </c>
      <c r="F94">
        <v>14.999303818</v>
      </c>
      <c r="G94">
        <v>1343.401001</v>
      </c>
      <c r="H94">
        <v>1340.5053711</v>
      </c>
      <c r="I94">
        <v>1320.1331786999999</v>
      </c>
      <c r="J94">
        <v>1315.6092529</v>
      </c>
      <c r="K94">
        <v>2750</v>
      </c>
      <c r="L94">
        <v>0</v>
      </c>
      <c r="M94">
        <v>0</v>
      </c>
      <c r="N94">
        <v>2750</v>
      </c>
    </row>
    <row r="95" spans="1:14" x14ac:dyDescent="0.25">
      <c r="A95">
        <v>1.570217</v>
      </c>
      <c r="B95" s="1">
        <f>DATE(2010,5,2) + TIME(13,41,6)</f>
        <v>40300.570208333331</v>
      </c>
      <c r="C95">
        <v>80</v>
      </c>
      <c r="D95">
        <v>77.247772217000005</v>
      </c>
      <c r="E95">
        <v>40</v>
      </c>
      <c r="F95">
        <v>14.999306679</v>
      </c>
      <c r="G95">
        <v>1343.4208983999999</v>
      </c>
      <c r="H95">
        <v>1340.5189209</v>
      </c>
      <c r="I95">
        <v>1320.1333007999999</v>
      </c>
      <c r="J95">
        <v>1315.609375</v>
      </c>
      <c r="K95">
        <v>2750</v>
      </c>
      <c r="L95">
        <v>0</v>
      </c>
      <c r="M95">
        <v>0</v>
      </c>
      <c r="N95">
        <v>2750</v>
      </c>
    </row>
    <row r="96" spans="1:14" x14ac:dyDescent="0.25">
      <c r="A96">
        <v>1.6060920000000001</v>
      </c>
      <c r="B96" s="1">
        <f>DATE(2010,5,2) + TIME(14,32,46)</f>
        <v>40300.606087962966</v>
      </c>
      <c r="C96">
        <v>80</v>
      </c>
      <c r="D96">
        <v>77.485351562000005</v>
      </c>
      <c r="E96">
        <v>40</v>
      </c>
      <c r="F96">
        <v>14.99930954</v>
      </c>
      <c r="G96">
        <v>1343.4395752</v>
      </c>
      <c r="H96">
        <v>1340.5314940999999</v>
      </c>
      <c r="I96">
        <v>1320.1334228999999</v>
      </c>
      <c r="J96">
        <v>1315.609375</v>
      </c>
      <c r="K96">
        <v>2750</v>
      </c>
      <c r="L96">
        <v>0</v>
      </c>
      <c r="M96">
        <v>0</v>
      </c>
      <c r="N96">
        <v>2750</v>
      </c>
    </row>
    <row r="97" spans="1:14" x14ac:dyDescent="0.25">
      <c r="A97">
        <v>1.642776</v>
      </c>
      <c r="B97" s="1">
        <f>DATE(2010,5,2) + TIME(15,25,35)</f>
        <v>40300.642766203702</v>
      </c>
      <c r="C97">
        <v>80</v>
      </c>
      <c r="D97">
        <v>77.707290649000001</v>
      </c>
      <c r="E97">
        <v>40</v>
      </c>
      <c r="F97">
        <v>14.999312400999999</v>
      </c>
      <c r="G97">
        <v>1343.4571533000001</v>
      </c>
      <c r="H97">
        <v>1340.5428466999999</v>
      </c>
      <c r="I97">
        <v>1320.1336670000001</v>
      </c>
      <c r="J97">
        <v>1315.6094971</v>
      </c>
      <c r="K97">
        <v>2750</v>
      </c>
      <c r="L97">
        <v>0</v>
      </c>
      <c r="M97">
        <v>0</v>
      </c>
      <c r="N97">
        <v>2750</v>
      </c>
    </row>
    <row r="98" spans="1:14" x14ac:dyDescent="0.25">
      <c r="A98">
        <v>1.680348</v>
      </c>
      <c r="B98" s="1">
        <f>DATE(2010,5,2) + TIME(16,19,42)</f>
        <v>40300.680347222224</v>
      </c>
      <c r="C98">
        <v>80</v>
      </c>
      <c r="D98">
        <v>77.914375304999993</v>
      </c>
      <c r="E98">
        <v>40</v>
      </c>
      <c r="F98">
        <v>14.999314308000001</v>
      </c>
      <c r="G98">
        <v>1343.4735106999999</v>
      </c>
      <c r="H98">
        <v>1340.5531006000001</v>
      </c>
      <c r="I98">
        <v>1320.1337891000001</v>
      </c>
      <c r="J98">
        <v>1315.6096190999999</v>
      </c>
      <c r="K98">
        <v>2750</v>
      </c>
      <c r="L98">
        <v>0</v>
      </c>
      <c r="M98">
        <v>0</v>
      </c>
      <c r="N98">
        <v>2750</v>
      </c>
    </row>
    <row r="99" spans="1:14" x14ac:dyDescent="0.25">
      <c r="A99">
        <v>1.7188939999999999</v>
      </c>
      <c r="B99" s="1">
        <f>DATE(2010,5,2) + TIME(17,15,12)</f>
        <v>40300.718888888892</v>
      </c>
      <c r="C99">
        <v>80</v>
      </c>
      <c r="D99">
        <v>78.107345581000004</v>
      </c>
      <c r="E99">
        <v>40</v>
      </c>
      <c r="F99">
        <v>14.999317168999999</v>
      </c>
      <c r="G99">
        <v>1343.4888916</v>
      </c>
      <c r="H99">
        <v>1340.5622559000001</v>
      </c>
      <c r="I99">
        <v>1320.1340332</v>
      </c>
      <c r="J99">
        <v>1315.6097411999999</v>
      </c>
      <c r="K99">
        <v>2750</v>
      </c>
      <c r="L99">
        <v>0</v>
      </c>
      <c r="M99">
        <v>0</v>
      </c>
      <c r="N99">
        <v>2750</v>
      </c>
    </row>
    <row r="100" spans="1:14" x14ac:dyDescent="0.25">
      <c r="A100">
        <v>1.7585059999999999</v>
      </c>
      <c r="B100" s="1">
        <f>DATE(2010,5,2) + TIME(18,12,14)</f>
        <v>40300.75849537037</v>
      </c>
      <c r="C100">
        <v>80</v>
      </c>
      <c r="D100">
        <v>78.286903381000002</v>
      </c>
      <c r="E100">
        <v>40</v>
      </c>
      <c r="F100">
        <v>14.99932003</v>
      </c>
      <c r="G100">
        <v>1343.5031738</v>
      </c>
      <c r="H100">
        <v>1340.5704346</v>
      </c>
      <c r="I100">
        <v>1320.1341553</v>
      </c>
      <c r="J100">
        <v>1315.6098632999999</v>
      </c>
      <c r="K100">
        <v>2750</v>
      </c>
      <c r="L100">
        <v>0</v>
      </c>
      <c r="M100">
        <v>0</v>
      </c>
      <c r="N100">
        <v>2750</v>
      </c>
    </row>
    <row r="101" spans="1:14" x14ac:dyDescent="0.25">
      <c r="A101">
        <v>1.799291</v>
      </c>
      <c r="B101" s="1">
        <f>DATE(2010,5,2) + TIME(19,10,58)</f>
        <v>40300.79928240741</v>
      </c>
      <c r="C101">
        <v>80</v>
      </c>
      <c r="D101">
        <v>78.453712463000002</v>
      </c>
      <c r="E101">
        <v>40</v>
      </c>
      <c r="F101">
        <v>14.999322891</v>
      </c>
      <c r="G101">
        <v>1343.5163574000001</v>
      </c>
      <c r="H101">
        <v>1340.5775146000001</v>
      </c>
      <c r="I101">
        <v>1320.1343993999999</v>
      </c>
      <c r="J101">
        <v>1315.6099853999999</v>
      </c>
      <c r="K101">
        <v>2750</v>
      </c>
      <c r="L101">
        <v>0</v>
      </c>
      <c r="M101">
        <v>0</v>
      </c>
      <c r="N101">
        <v>2750</v>
      </c>
    </row>
    <row r="102" spans="1:14" x14ac:dyDescent="0.25">
      <c r="A102">
        <v>1.841369</v>
      </c>
      <c r="B102" s="1">
        <f>DATE(2010,5,2) + TIME(20,11,34)</f>
        <v>40300.841365740744</v>
      </c>
      <c r="C102">
        <v>80</v>
      </c>
      <c r="D102">
        <v>78.608421325999998</v>
      </c>
      <c r="E102">
        <v>40</v>
      </c>
      <c r="F102">
        <v>14.999325752000001</v>
      </c>
      <c r="G102">
        <v>1343.5284423999999</v>
      </c>
      <c r="H102">
        <v>1340.5834961</v>
      </c>
      <c r="I102">
        <v>1320.1345214999999</v>
      </c>
      <c r="J102">
        <v>1315.6099853999999</v>
      </c>
      <c r="K102">
        <v>2750</v>
      </c>
      <c r="L102">
        <v>0</v>
      </c>
      <c r="M102">
        <v>0</v>
      </c>
      <c r="N102">
        <v>2750</v>
      </c>
    </row>
    <row r="103" spans="1:14" x14ac:dyDescent="0.25">
      <c r="A103">
        <v>1.8848689999999999</v>
      </c>
      <c r="B103" s="1">
        <f>DATE(2010,5,2) + TIME(21,14,12)</f>
        <v>40300.88486111111</v>
      </c>
      <c r="C103">
        <v>80</v>
      </c>
      <c r="D103">
        <v>78.751625060999999</v>
      </c>
      <c r="E103">
        <v>40</v>
      </c>
      <c r="F103">
        <v>14.999328612999999</v>
      </c>
      <c r="G103">
        <v>1343.5394286999999</v>
      </c>
      <c r="H103">
        <v>1340.588501</v>
      </c>
      <c r="I103">
        <v>1320.1347656</v>
      </c>
      <c r="J103">
        <v>1315.6101074000001</v>
      </c>
      <c r="K103">
        <v>2750</v>
      </c>
      <c r="L103">
        <v>0</v>
      </c>
      <c r="M103">
        <v>0</v>
      </c>
      <c r="N103">
        <v>2750</v>
      </c>
    </row>
    <row r="104" spans="1:14" x14ac:dyDescent="0.25">
      <c r="A104">
        <v>1.9297089999999999</v>
      </c>
      <c r="B104" s="1">
        <f>DATE(2010,5,2) + TIME(22,18,46)</f>
        <v>40300.929699074077</v>
      </c>
      <c r="C104">
        <v>80</v>
      </c>
      <c r="D104">
        <v>78.883300781000003</v>
      </c>
      <c r="E104">
        <v>40</v>
      </c>
      <c r="F104">
        <v>14.999331474</v>
      </c>
      <c r="G104">
        <v>1343.5494385</v>
      </c>
      <c r="H104">
        <v>1340.5925293</v>
      </c>
      <c r="I104">
        <v>1320.1348877</v>
      </c>
      <c r="J104">
        <v>1315.6102295000001</v>
      </c>
      <c r="K104">
        <v>2750</v>
      </c>
      <c r="L104">
        <v>0</v>
      </c>
      <c r="M104">
        <v>0</v>
      </c>
      <c r="N104">
        <v>2750</v>
      </c>
    </row>
    <row r="105" spans="1:14" x14ac:dyDescent="0.25">
      <c r="A105">
        <v>1.9759</v>
      </c>
      <c r="B105" s="1">
        <f>DATE(2010,5,2) + TIME(23,25,17)</f>
        <v>40300.975891203707</v>
      </c>
      <c r="C105">
        <v>80</v>
      </c>
      <c r="D105">
        <v>79.003837584999999</v>
      </c>
      <c r="E105">
        <v>40</v>
      </c>
      <c r="F105">
        <v>14.999334335</v>
      </c>
      <c r="G105">
        <v>1343.5583495999999</v>
      </c>
      <c r="H105">
        <v>1340.5954589999999</v>
      </c>
      <c r="I105">
        <v>1320.1351318</v>
      </c>
      <c r="J105">
        <v>1315.6103516000001</v>
      </c>
      <c r="K105">
        <v>2750</v>
      </c>
      <c r="L105">
        <v>0</v>
      </c>
      <c r="M105">
        <v>0</v>
      </c>
      <c r="N105">
        <v>2750</v>
      </c>
    </row>
    <row r="106" spans="1:14" x14ac:dyDescent="0.25">
      <c r="A106">
        <v>2.0235300000000001</v>
      </c>
      <c r="B106" s="1">
        <f>DATE(2010,5,3) + TIME(0,33,52)</f>
        <v>40301.023518518516</v>
      </c>
      <c r="C106">
        <v>80</v>
      </c>
      <c r="D106">
        <v>79.113845824999999</v>
      </c>
      <c r="E106">
        <v>40</v>
      </c>
      <c r="F106">
        <v>14.999337196000001</v>
      </c>
      <c r="G106">
        <v>1343.5660399999999</v>
      </c>
      <c r="H106">
        <v>1340.5972899999999</v>
      </c>
      <c r="I106">
        <v>1320.1352539</v>
      </c>
      <c r="J106">
        <v>1315.6104736</v>
      </c>
      <c r="K106">
        <v>2750</v>
      </c>
      <c r="L106">
        <v>0</v>
      </c>
      <c r="M106">
        <v>0</v>
      </c>
      <c r="N106">
        <v>2750</v>
      </c>
    </row>
    <row r="107" spans="1:14" x14ac:dyDescent="0.25">
      <c r="A107">
        <v>2.0726810000000002</v>
      </c>
      <c r="B107" s="1">
        <f>DATE(2010,5,3) + TIME(1,44,39)</f>
        <v>40301.07267361111</v>
      </c>
      <c r="C107">
        <v>80</v>
      </c>
      <c r="D107">
        <v>79.213905334000003</v>
      </c>
      <c r="E107">
        <v>40</v>
      </c>
      <c r="F107">
        <v>14.999340057</v>
      </c>
      <c r="G107">
        <v>1343.5727539</v>
      </c>
      <c r="H107">
        <v>1340.5982666</v>
      </c>
      <c r="I107">
        <v>1320.1354980000001</v>
      </c>
      <c r="J107">
        <v>1315.6105957</v>
      </c>
      <c r="K107">
        <v>2750</v>
      </c>
      <c r="L107">
        <v>0</v>
      </c>
      <c r="M107">
        <v>0</v>
      </c>
      <c r="N107">
        <v>2750</v>
      </c>
    </row>
    <row r="108" spans="1:14" x14ac:dyDescent="0.25">
      <c r="A108">
        <v>2.1235019999999998</v>
      </c>
      <c r="B108" s="1">
        <f>DATE(2010,5,3) + TIME(2,57,50)</f>
        <v>40301.123495370368</v>
      </c>
      <c r="C108">
        <v>80</v>
      </c>
      <c r="D108">
        <v>79.304695128999995</v>
      </c>
      <c r="E108">
        <v>40</v>
      </c>
      <c r="F108">
        <v>14.999342918</v>
      </c>
      <c r="G108">
        <v>1343.5782471</v>
      </c>
      <c r="H108">
        <v>1340.5980225000001</v>
      </c>
      <c r="I108">
        <v>1320.1356201000001</v>
      </c>
      <c r="J108">
        <v>1315.6107178</v>
      </c>
      <c r="K108">
        <v>2750</v>
      </c>
      <c r="L108">
        <v>0</v>
      </c>
      <c r="M108">
        <v>0</v>
      </c>
      <c r="N108">
        <v>2750</v>
      </c>
    </row>
    <row r="109" spans="1:14" x14ac:dyDescent="0.25">
      <c r="A109">
        <v>2.1761590000000002</v>
      </c>
      <c r="B109" s="1">
        <f>DATE(2010,5,3) + TIME(4,13,40)</f>
        <v>40301.176157407404</v>
      </c>
      <c r="C109">
        <v>80</v>
      </c>
      <c r="D109">
        <v>79.386840820000003</v>
      </c>
      <c r="E109">
        <v>40</v>
      </c>
      <c r="F109">
        <v>14.999345779</v>
      </c>
      <c r="G109">
        <v>1343.5825195</v>
      </c>
      <c r="H109">
        <v>1340.5969238</v>
      </c>
      <c r="I109">
        <v>1320.1358643000001</v>
      </c>
      <c r="J109">
        <v>1315.6108397999999</v>
      </c>
      <c r="K109">
        <v>2750</v>
      </c>
      <c r="L109">
        <v>0</v>
      </c>
      <c r="M109">
        <v>0</v>
      </c>
      <c r="N109">
        <v>2750</v>
      </c>
    </row>
    <row r="110" spans="1:14" x14ac:dyDescent="0.25">
      <c r="A110">
        <v>2.2307000000000001</v>
      </c>
      <c r="B110" s="1">
        <f>DATE(2010,5,3) + TIME(5,32,12)</f>
        <v>40301.230694444443</v>
      </c>
      <c r="C110">
        <v>80</v>
      </c>
      <c r="D110">
        <v>79.460784911999994</v>
      </c>
      <c r="E110">
        <v>40</v>
      </c>
      <c r="F110">
        <v>14.999348639999999</v>
      </c>
      <c r="G110">
        <v>1343.5858154</v>
      </c>
      <c r="H110">
        <v>1340.5947266000001</v>
      </c>
      <c r="I110">
        <v>1320.1359863</v>
      </c>
      <c r="J110">
        <v>1315.6109618999999</v>
      </c>
      <c r="K110">
        <v>2750</v>
      </c>
      <c r="L110">
        <v>0</v>
      </c>
      <c r="M110">
        <v>0</v>
      </c>
      <c r="N110">
        <v>2750</v>
      </c>
    </row>
    <row r="111" spans="1:14" x14ac:dyDescent="0.25">
      <c r="A111">
        <v>2.258381</v>
      </c>
      <c r="B111" s="1">
        <f>DATE(2010,5,3) + TIME(6,12,4)</f>
        <v>40301.258379629631</v>
      </c>
      <c r="C111">
        <v>80</v>
      </c>
      <c r="D111">
        <v>79.495697020999998</v>
      </c>
      <c r="E111">
        <v>40</v>
      </c>
      <c r="F111">
        <v>14.999349594</v>
      </c>
      <c r="G111">
        <v>1343.5898437999999</v>
      </c>
      <c r="H111">
        <v>1340.5915527</v>
      </c>
      <c r="I111">
        <v>1320.1362305</v>
      </c>
      <c r="J111">
        <v>1315.6110839999999</v>
      </c>
      <c r="K111">
        <v>2750</v>
      </c>
      <c r="L111">
        <v>0</v>
      </c>
      <c r="M111">
        <v>0</v>
      </c>
      <c r="N111">
        <v>2750</v>
      </c>
    </row>
    <row r="112" spans="1:14" x14ac:dyDescent="0.25">
      <c r="A112">
        <v>2.2860619999999998</v>
      </c>
      <c r="B112" s="1">
        <f>DATE(2010,5,3) + TIME(6,51,55)</f>
        <v>40301.286053240743</v>
      </c>
      <c r="C112">
        <v>80</v>
      </c>
      <c r="D112">
        <v>79.528114318999997</v>
      </c>
      <c r="E112">
        <v>40</v>
      </c>
      <c r="F112">
        <v>14.999351501</v>
      </c>
      <c r="G112">
        <v>1343.5905762</v>
      </c>
      <c r="H112">
        <v>1340.5898437999999</v>
      </c>
      <c r="I112">
        <v>1320.1362305</v>
      </c>
      <c r="J112">
        <v>1315.6112060999999</v>
      </c>
      <c r="K112">
        <v>2750</v>
      </c>
      <c r="L112">
        <v>0</v>
      </c>
      <c r="M112">
        <v>0</v>
      </c>
      <c r="N112">
        <v>2750</v>
      </c>
    </row>
    <row r="113" spans="1:14" x14ac:dyDescent="0.25">
      <c r="A113">
        <v>2.3137430000000001</v>
      </c>
      <c r="B113" s="1">
        <f>DATE(2010,5,3) + TIME(7,31,47)</f>
        <v>40301.313738425924</v>
      </c>
      <c r="C113">
        <v>80</v>
      </c>
      <c r="D113">
        <v>79.558212280000006</v>
      </c>
      <c r="E113">
        <v>40</v>
      </c>
      <c r="F113">
        <v>14.999352455</v>
      </c>
      <c r="G113">
        <v>1343.5911865</v>
      </c>
      <c r="H113">
        <v>1340.5878906</v>
      </c>
      <c r="I113">
        <v>1320.1363524999999</v>
      </c>
      <c r="J113">
        <v>1315.6112060999999</v>
      </c>
      <c r="K113">
        <v>2750</v>
      </c>
      <c r="L113">
        <v>0</v>
      </c>
      <c r="M113">
        <v>0</v>
      </c>
      <c r="N113">
        <v>2750</v>
      </c>
    </row>
    <row r="114" spans="1:14" x14ac:dyDescent="0.25">
      <c r="A114">
        <v>2.3414239999999999</v>
      </c>
      <c r="B114" s="1">
        <f>DATE(2010,5,3) + TIME(8,11,39)</f>
        <v>40301.341423611113</v>
      </c>
      <c r="C114">
        <v>80</v>
      </c>
      <c r="D114">
        <v>79.586158752000003</v>
      </c>
      <c r="E114">
        <v>40</v>
      </c>
      <c r="F114">
        <v>14.999354362</v>
      </c>
      <c r="G114">
        <v>1343.5914307</v>
      </c>
      <c r="H114">
        <v>1340.5856934000001</v>
      </c>
      <c r="I114">
        <v>1320.1364745999999</v>
      </c>
      <c r="J114">
        <v>1315.6113281</v>
      </c>
      <c r="K114">
        <v>2750</v>
      </c>
      <c r="L114">
        <v>0</v>
      </c>
      <c r="M114">
        <v>0</v>
      </c>
      <c r="N114">
        <v>2750</v>
      </c>
    </row>
    <row r="115" spans="1:14" x14ac:dyDescent="0.25">
      <c r="A115">
        <v>2.3691049999999998</v>
      </c>
      <c r="B115" s="1">
        <f>DATE(2010,5,3) + TIME(8,51,30)</f>
        <v>40301.369097222225</v>
      </c>
      <c r="C115">
        <v>80</v>
      </c>
      <c r="D115">
        <v>79.612098693999997</v>
      </c>
      <c r="E115">
        <v>40</v>
      </c>
      <c r="F115">
        <v>14.999355316000001</v>
      </c>
      <c r="G115">
        <v>1343.5913086</v>
      </c>
      <c r="H115">
        <v>1340.583374</v>
      </c>
      <c r="I115">
        <v>1320.1365966999999</v>
      </c>
      <c r="J115">
        <v>1315.6113281</v>
      </c>
      <c r="K115">
        <v>2750</v>
      </c>
      <c r="L115">
        <v>0</v>
      </c>
      <c r="M115">
        <v>0</v>
      </c>
      <c r="N115">
        <v>2750</v>
      </c>
    </row>
    <row r="116" spans="1:14" x14ac:dyDescent="0.25">
      <c r="A116">
        <v>2.4244669999999999</v>
      </c>
      <c r="B116" s="1">
        <f>DATE(2010,5,3) + TIME(10,11,13)</f>
        <v>40301.424456018518</v>
      </c>
      <c r="C116">
        <v>80</v>
      </c>
      <c r="D116">
        <v>79.656990050999994</v>
      </c>
      <c r="E116">
        <v>40</v>
      </c>
      <c r="F116">
        <v>14.999358177</v>
      </c>
      <c r="G116">
        <v>1343.5897216999999</v>
      </c>
      <c r="H116">
        <v>1340.5809326000001</v>
      </c>
      <c r="I116">
        <v>1320.1367187999999</v>
      </c>
      <c r="J116">
        <v>1315.6114502</v>
      </c>
      <c r="K116">
        <v>2750</v>
      </c>
      <c r="L116">
        <v>0</v>
      </c>
      <c r="M116">
        <v>0</v>
      </c>
      <c r="N116">
        <v>2750</v>
      </c>
    </row>
    <row r="117" spans="1:14" x14ac:dyDescent="0.25">
      <c r="A117">
        <v>2.479914</v>
      </c>
      <c r="B117" s="1">
        <f>DATE(2010,5,3) + TIME(11,31,4)</f>
        <v>40301.479907407411</v>
      </c>
      <c r="C117">
        <v>80</v>
      </c>
      <c r="D117">
        <v>79.695945739999999</v>
      </c>
      <c r="E117">
        <v>40</v>
      </c>
      <c r="F117">
        <v>14.999361038</v>
      </c>
      <c r="G117">
        <v>1343.5882568</v>
      </c>
      <c r="H117">
        <v>1340.5751952999999</v>
      </c>
      <c r="I117">
        <v>1320.1369629000001</v>
      </c>
      <c r="J117">
        <v>1315.6115723</v>
      </c>
      <c r="K117">
        <v>2750</v>
      </c>
      <c r="L117">
        <v>0</v>
      </c>
      <c r="M117">
        <v>0</v>
      </c>
      <c r="N117">
        <v>2750</v>
      </c>
    </row>
    <row r="118" spans="1:14" x14ac:dyDescent="0.25">
      <c r="A118">
        <v>2.535501</v>
      </c>
      <c r="B118" s="1">
        <f>DATE(2010,5,3) + TIME(12,51,7)</f>
        <v>40301.535497685189</v>
      </c>
      <c r="C118">
        <v>80</v>
      </c>
      <c r="D118">
        <v>79.729759216000005</v>
      </c>
      <c r="E118">
        <v>40</v>
      </c>
      <c r="F118">
        <v>14.999363899</v>
      </c>
      <c r="G118">
        <v>1343.5860596</v>
      </c>
      <c r="H118">
        <v>1340.5689697</v>
      </c>
      <c r="I118">
        <v>1320.1370850000001</v>
      </c>
      <c r="J118">
        <v>1315.6116943</v>
      </c>
      <c r="K118">
        <v>2750</v>
      </c>
      <c r="L118">
        <v>0</v>
      </c>
      <c r="M118">
        <v>0</v>
      </c>
      <c r="N118">
        <v>2750</v>
      </c>
    </row>
    <row r="119" spans="1:14" x14ac:dyDescent="0.25">
      <c r="A119">
        <v>2.5912799999999998</v>
      </c>
      <c r="B119" s="1">
        <f>DATE(2010,5,3) + TIME(14,11,26)</f>
        <v>40301.591273148151</v>
      </c>
      <c r="C119">
        <v>80</v>
      </c>
      <c r="D119">
        <v>79.759124756000006</v>
      </c>
      <c r="E119">
        <v>40</v>
      </c>
      <c r="F119">
        <v>14.999365807</v>
      </c>
      <c r="G119">
        <v>1343.5830077999999</v>
      </c>
      <c r="H119">
        <v>1340.5622559000001</v>
      </c>
      <c r="I119">
        <v>1320.1373291</v>
      </c>
      <c r="J119">
        <v>1315.6118164</v>
      </c>
      <c r="K119">
        <v>2750</v>
      </c>
      <c r="L119">
        <v>0</v>
      </c>
      <c r="M119">
        <v>0</v>
      </c>
      <c r="N119">
        <v>2750</v>
      </c>
    </row>
    <row r="120" spans="1:14" x14ac:dyDescent="0.25">
      <c r="A120">
        <v>2.6473270000000002</v>
      </c>
      <c r="B120" s="1">
        <f>DATE(2010,5,3) + TIME(15,32,9)</f>
        <v>40301.647326388891</v>
      </c>
      <c r="C120">
        <v>80</v>
      </c>
      <c r="D120">
        <v>79.784652710000003</v>
      </c>
      <c r="E120">
        <v>40</v>
      </c>
      <c r="F120">
        <v>14.999368668000001</v>
      </c>
      <c r="G120">
        <v>1343.5793457</v>
      </c>
      <c r="H120">
        <v>1340.5549315999999</v>
      </c>
      <c r="I120">
        <v>1320.1374512</v>
      </c>
      <c r="J120">
        <v>1315.6119385</v>
      </c>
      <c r="K120">
        <v>2750</v>
      </c>
      <c r="L120">
        <v>0</v>
      </c>
      <c r="M120">
        <v>0</v>
      </c>
      <c r="N120">
        <v>2750</v>
      </c>
    </row>
    <row r="121" spans="1:14" x14ac:dyDescent="0.25">
      <c r="A121">
        <v>2.7037409999999999</v>
      </c>
      <c r="B121" s="1">
        <f>DATE(2010,5,3) + TIME(16,53,23)</f>
        <v>40301.703738425924</v>
      </c>
      <c r="C121">
        <v>80</v>
      </c>
      <c r="D121">
        <v>79.806854247999993</v>
      </c>
      <c r="E121">
        <v>40</v>
      </c>
      <c r="F121">
        <v>14.999370575</v>
      </c>
      <c r="G121">
        <v>1343.5749512</v>
      </c>
      <c r="H121">
        <v>1340.5473632999999</v>
      </c>
      <c r="I121">
        <v>1320.1375731999999</v>
      </c>
      <c r="J121">
        <v>1315.6120605000001</v>
      </c>
      <c r="K121">
        <v>2750</v>
      </c>
      <c r="L121">
        <v>0</v>
      </c>
      <c r="M121">
        <v>0</v>
      </c>
      <c r="N121">
        <v>2750</v>
      </c>
    </row>
    <row r="122" spans="1:14" x14ac:dyDescent="0.25">
      <c r="A122">
        <v>2.7606069999999998</v>
      </c>
      <c r="B122" s="1">
        <f>DATE(2010,5,3) + TIME(18,15,16)</f>
        <v>40301.760601851849</v>
      </c>
      <c r="C122">
        <v>80</v>
      </c>
      <c r="D122">
        <v>79.826187133999994</v>
      </c>
      <c r="E122">
        <v>40</v>
      </c>
      <c r="F122">
        <v>14.999373436000001</v>
      </c>
      <c r="G122">
        <v>1343.5699463000001</v>
      </c>
      <c r="H122">
        <v>1340.5394286999999</v>
      </c>
      <c r="I122">
        <v>1320.1378173999999</v>
      </c>
      <c r="J122">
        <v>1315.6121826000001</v>
      </c>
      <c r="K122">
        <v>2750</v>
      </c>
      <c r="L122">
        <v>0</v>
      </c>
      <c r="M122">
        <v>0</v>
      </c>
      <c r="N122">
        <v>2750</v>
      </c>
    </row>
    <row r="123" spans="1:14" x14ac:dyDescent="0.25">
      <c r="A123">
        <v>2.8180109999999998</v>
      </c>
      <c r="B123" s="1">
        <f>DATE(2010,5,3) + TIME(19,37,56)</f>
        <v>40301.818009259259</v>
      </c>
      <c r="C123">
        <v>80</v>
      </c>
      <c r="D123">
        <v>79.843017578000001</v>
      </c>
      <c r="E123">
        <v>40</v>
      </c>
      <c r="F123">
        <v>14.999375343000001</v>
      </c>
      <c r="G123">
        <v>1343.5644531</v>
      </c>
      <c r="H123">
        <v>1340.5311279</v>
      </c>
      <c r="I123">
        <v>1320.1379394999999</v>
      </c>
      <c r="J123">
        <v>1315.6123047000001</v>
      </c>
      <c r="K123">
        <v>2750</v>
      </c>
      <c r="L123">
        <v>0</v>
      </c>
      <c r="M123">
        <v>0</v>
      </c>
      <c r="N123">
        <v>2750</v>
      </c>
    </row>
    <row r="124" spans="1:14" x14ac:dyDescent="0.25">
      <c r="A124">
        <v>2.876039</v>
      </c>
      <c r="B124" s="1">
        <f>DATE(2010,5,3) + TIME(21,1,29)</f>
        <v>40301.876030092593</v>
      </c>
      <c r="C124">
        <v>80</v>
      </c>
      <c r="D124">
        <v>79.857673645000006</v>
      </c>
      <c r="E124">
        <v>40</v>
      </c>
      <c r="F124">
        <v>14.999378203999999</v>
      </c>
      <c r="G124">
        <v>1343.5584716999999</v>
      </c>
      <c r="H124">
        <v>1340.5224608999999</v>
      </c>
      <c r="I124">
        <v>1320.1381836</v>
      </c>
      <c r="J124">
        <v>1315.6124268000001</v>
      </c>
      <c r="K124">
        <v>2750</v>
      </c>
      <c r="L124">
        <v>0</v>
      </c>
      <c r="M124">
        <v>0</v>
      </c>
      <c r="N124">
        <v>2750</v>
      </c>
    </row>
    <row r="125" spans="1:14" x14ac:dyDescent="0.25">
      <c r="A125">
        <v>2.9347799999999999</v>
      </c>
      <c r="B125" s="1">
        <f>DATE(2010,5,3) + TIME(22,26,5)</f>
        <v>40301.93478009259</v>
      </c>
      <c r="C125">
        <v>80</v>
      </c>
      <c r="D125">
        <v>79.870445251000007</v>
      </c>
      <c r="E125">
        <v>40</v>
      </c>
      <c r="F125">
        <v>14.999380112000001</v>
      </c>
      <c r="G125">
        <v>1343.5520019999999</v>
      </c>
      <c r="H125">
        <v>1340.5135498</v>
      </c>
      <c r="I125">
        <v>1320.1383057</v>
      </c>
      <c r="J125">
        <v>1315.6125488</v>
      </c>
      <c r="K125">
        <v>2750</v>
      </c>
      <c r="L125">
        <v>0</v>
      </c>
      <c r="M125">
        <v>0</v>
      </c>
      <c r="N125">
        <v>2750</v>
      </c>
    </row>
    <row r="126" spans="1:14" x14ac:dyDescent="0.25">
      <c r="A126">
        <v>2.994326</v>
      </c>
      <c r="B126" s="1">
        <f>DATE(2010,5,3) + TIME(23,51,49)</f>
        <v>40301.994317129633</v>
      </c>
      <c r="C126">
        <v>80</v>
      </c>
      <c r="D126">
        <v>79.881561278999996</v>
      </c>
      <c r="E126">
        <v>40</v>
      </c>
      <c r="F126">
        <v>14.999382972999999</v>
      </c>
      <c r="G126">
        <v>1343.5451660000001</v>
      </c>
      <c r="H126">
        <v>1340.5043945</v>
      </c>
      <c r="I126">
        <v>1320.1384277</v>
      </c>
      <c r="J126">
        <v>1315.6126709</v>
      </c>
      <c r="K126">
        <v>2750</v>
      </c>
      <c r="L126">
        <v>0</v>
      </c>
      <c r="M126">
        <v>0</v>
      </c>
      <c r="N126">
        <v>2750</v>
      </c>
    </row>
    <row r="127" spans="1:14" x14ac:dyDescent="0.25">
      <c r="A127">
        <v>3.0547710000000001</v>
      </c>
      <c r="B127" s="1">
        <f>DATE(2010,5,4) + TIME(1,18,52)</f>
        <v>40302.054768518516</v>
      </c>
      <c r="C127">
        <v>80</v>
      </c>
      <c r="D127">
        <v>79.891242981000005</v>
      </c>
      <c r="E127">
        <v>40</v>
      </c>
      <c r="F127">
        <v>14.999384879999999</v>
      </c>
      <c r="G127">
        <v>1343.5378418</v>
      </c>
      <c r="H127">
        <v>1340.4949951000001</v>
      </c>
      <c r="I127">
        <v>1320.1386719</v>
      </c>
      <c r="J127">
        <v>1315.612793</v>
      </c>
      <c r="K127">
        <v>2750</v>
      </c>
      <c r="L127">
        <v>0</v>
      </c>
      <c r="M127">
        <v>0</v>
      </c>
      <c r="N127">
        <v>2750</v>
      </c>
    </row>
    <row r="128" spans="1:14" x14ac:dyDescent="0.25">
      <c r="A128">
        <v>3.1162160000000001</v>
      </c>
      <c r="B128" s="1">
        <f>DATE(2010,5,4) + TIME(2,47,21)</f>
        <v>40302.116215277776</v>
      </c>
      <c r="C128">
        <v>80</v>
      </c>
      <c r="D128">
        <v>79.899665833</v>
      </c>
      <c r="E128">
        <v>40</v>
      </c>
      <c r="F128">
        <v>14.999386787000001</v>
      </c>
      <c r="G128">
        <v>1343.5300293</v>
      </c>
      <c r="H128">
        <v>1340.4853516000001</v>
      </c>
      <c r="I128">
        <v>1320.1387939000001</v>
      </c>
      <c r="J128">
        <v>1315.6129149999999</v>
      </c>
      <c r="K128">
        <v>2750</v>
      </c>
      <c r="L128">
        <v>0</v>
      </c>
      <c r="M128">
        <v>0</v>
      </c>
      <c r="N128">
        <v>2750</v>
      </c>
    </row>
    <row r="129" spans="1:14" x14ac:dyDescent="0.25">
      <c r="A129">
        <v>3.1787640000000001</v>
      </c>
      <c r="B129" s="1">
        <f>DATE(2010,5,4) + TIME(4,17,25)</f>
        <v>40302.178761574076</v>
      </c>
      <c r="C129">
        <v>80</v>
      </c>
      <c r="D129">
        <v>79.906997681000007</v>
      </c>
      <c r="E129">
        <v>40</v>
      </c>
      <c r="F129">
        <v>14.999389647999999</v>
      </c>
      <c r="G129">
        <v>1343.5219727000001</v>
      </c>
      <c r="H129">
        <v>1340.4754639</v>
      </c>
      <c r="I129">
        <v>1320.1390381000001</v>
      </c>
      <c r="J129">
        <v>1315.6130370999999</v>
      </c>
      <c r="K129">
        <v>2750</v>
      </c>
      <c r="L129">
        <v>0</v>
      </c>
      <c r="M129">
        <v>0</v>
      </c>
      <c r="N129">
        <v>2750</v>
      </c>
    </row>
    <row r="130" spans="1:14" x14ac:dyDescent="0.25">
      <c r="A130">
        <v>3.2425579999999998</v>
      </c>
      <c r="B130" s="1">
        <f>DATE(2010,5,4) + TIME(5,49,17)</f>
        <v>40302.24255787037</v>
      </c>
      <c r="C130">
        <v>80</v>
      </c>
      <c r="D130">
        <v>79.913375853999995</v>
      </c>
      <c r="E130">
        <v>40</v>
      </c>
      <c r="F130">
        <v>14.999391556000001</v>
      </c>
      <c r="G130">
        <v>1343.5134277</v>
      </c>
      <c r="H130">
        <v>1340.4652100000001</v>
      </c>
      <c r="I130">
        <v>1320.1391602000001</v>
      </c>
      <c r="J130">
        <v>1315.6131591999999</v>
      </c>
      <c r="K130">
        <v>2750</v>
      </c>
      <c r="L130">
        <v>0</v>
      </c>
      <c r="M130">
        <v>0</v>
      </c>
      <c r="N130">
        <v>2750</v>
      </c>
    </row>
    <row r="131" spans="1:14" x14ac:dyDescent="0.25">
      <c r="A131">
        <v>3.307693</v>
      </c>
      <c r="B131" s="1">
        <f>DATE(2010,5,4) + TIME(7,23,4)</f>
        <v>40302.307685185187</v>
      </c>
      <c r="C131">
        <v>80</v>
      </c>
      <c r="D131">
        <v>79.918914795000006</v>
      </c>
      <c r="E131">
        <v>40</v>
      </c>
      <c r="F131">
        <v>14.999393463000001</v>
      </c>
      <c r="G131">
        <v>1343.5043945</v>
      </c>
      <c r="H131">
        <v>1340.4547118999999</v>
      </c>
      <c r="I131">
        <v>1320.1394043</v>
      </c>
      <c r="J131">
        <v>1315.6134033000001</v>
      </c>
      <c r="K131">
        <v>2750</v>
      </c>
      <c r="L131">
        <v>0</v>
      </c>
      <c r="M131">
        <v>0</v>
      </c>
      <c r="N131">
        <v>2750</v>
      </c>
    </row>
    <row r="132" spans="1:14" x14ac:dyDescent="0.25">
      <c r="A132">
        <v>3.3742990000000002</v>
      </c>
      <c r="B132" s="1">
        <f>DATE(2010,5,4) + TIME(8,58,59)</f>
        <v>40302.374293981484</v>
      </c>
      <c r="C132">
        <v>80</v>
      </c>
      <c r="D132">
        <v>79.923721313000001</v>
      </c>
      <c r="E132">
        <v>40</v>
      </c>
      <c r="F132">
        <v>14.999396323999999</v>
      </c>
      <c r="G132">
        <v>1343.4949951000001</v>
      </c>
      <c r="H132">
        <v>1340.4439697</v>
      </c>
      <c r="I132">
        <v>1320.1395264</v>
      </c>
      <c r="J132">
        <v>1315.6135254000001</v>
      </c>
      <c r="K132">
        <v>2750</v>
      </c>
      <c r="L132">
        <v>0</v>
      </c>
      <c r="M132">
        <v>0</v>
      </c>
      <c r="N132">
        <v>2750</v>
      </c>
    </row>
    <row r="133" spans="1:14" x14ac:dyDescent="0.25">
      <c r="A133">
        <v>3.442517</v>
      </c>
      <c r="B133" s="1">
        <f>DATE(2010,5,4) + TIME(10,37,13)</f>
        <v>40302.442511574074</v>
      </c>
      <c r="C133">
        <v>80</v>
      </c>
      <c r="D133">
        <v>79.927894592000001</v>
      </c>
      <c r="E133">
        <v>40</v>
      </c>
      <c r="F133">
        <v>14.999398232000001</v>
      </c>
      <c r="G133">
        <v>1343.4851074000001</v>
      </c>
      <c r="H133">
        <v>1340.4329834</v>
      </c>
      <c r="I133">
        <v>1320.1397704999999</v>
      </c>
      <c r="J133">
        <v>1315.6136475000001</v>
      </c>
      <c r="K133">
        <v>2750</v>
      </c>
      <c r="L133">
        <v>0</v>
      </c>
      <c r="M133">
        <v>0</v>
      </c>
      <c r="N133">
        <v>2750</v>
      </c>
    </row>
    <row r="134" spans="1:14" x14ac:dyDescent="0.25">
      <c r="A134">
        <v>3.512502</v>
      </c>
      <c r="B134" s="1">
        <f>DATE(2010,5,4) + TIME(12,18,0)</f>
        <v>40302.512499999997</v>
      </c>
      <c r="C134">
        <v>80</v>
      </c>
      <c r="D134">
        <v>79.931510924999998</v>
      </c>
      <c r="E134">
        <v>40</v>
      </c>
      <c r="F134">
        <v>14.999401092999999</v>
      </c>
      <c r="G134">
        <v>1343.4749756000001</v>
      </c>
      <c r="H134">
        <v>1340.4217529</v>
      </c>
      <c r="I134">
        <v>1320.1398925999999</v>
      </c>
      <c r="J134">
        <v>1315.6137695</v>
      </c>
      <c r="K134">
        <v>2750</v>
      </c>
      <c r="L134">
        <v>0</v>
      </c>
      <c r="M134">
        <v>0</v>
      </c>
      <c r="N134">
        <v>2750</v>
      </c>
    </row>
    <row r="135" spans="1:14" x14ac:dyDescent="0.25">
      <c r="A135">
        <v>3.5844230000000001</v>
      </c>
      <c r="B135" s="1">
        <f>DATE(2010,5,4) + TIME(14,1,34)</f>
        <v>40302.584421296298</v>
      </c>
      <c r="C135">
        <v>80</v>
      </c>
      <c r="D135">
        <v>79.934638977000006</v>
      </c>
      <c r="E135">
        <v>40</v>
      </c>
      <c r="F135">
        <v>14.999402999999999</v>
      </c>
      <c r="G135">
        <v>1343.4644774999999</v>
      </c>
      <c r="H135">
        <v>1340.4102783000001</v>
      </c>
      <c r="I135">
        <v>1320.1401367000001</v>
      </c>
      <c r="J135">
        <v>1315.6138916</v>
      </c>
      <c r="K135">
        <v>2750</v>
      </c>
      <c r="L135">
        <v>0</v>
      </c>
      <c r="M135">
        <v>0</v>
      </c>
      <c r="N135">
        <v>2750</v>
      </c>
    </row>
    <row r="136" spans="1:14" x14ac:dyDescent="0.25">
      <c r="A136">
        <v>3.6582530000000002</v>
      </c>
      <c r="B136" s="1">
        <f>DATE(2010,5,4) + TIME(15,47,53)</f>
        <v>40302.658252314817</v>
      </c>
      <c r="C136">
        <v>80</v>
      </c>
      <c r="D136">
        <v>79.937339782999999</v>
      </c>
      <c r="E136">
        <v>40</v>
      </c>
      <c r="F136">
        <v>14.999404907000001</v>
      </c>
      <c r="G136">
        <v>1343.4534911999999</v>
      </c>
      <c r="H136">
        <v>1340.3984375</v>
      </c>
      <c r="I136">
        <v>1320.1402588000001</v>
      </c>
      <c r="J136">
        <v>1315.6140137</v>
      </c>
      <c r="K136">
        <v>2750</v>
      </c>
      <c r="L136">
        <v>0</v>
      </c>
      <c r="M136">
        <v>0</v>
      </c>
      <c r="N136">
        <v>2750</v>
      </c>
    </row>
    <row r="137" spans="1:14" x14ac:dyDescent="0.25">
      <c r="A137">
        <v>3.734162</v>
      </c>
      <c r="B137" s="1">
        <f>DATE(2010,5,4) + TIME(17,37,11)</f>
        <v>40302.734155092592</v>
      </c>
      <c r="C137">
        <v>80</v>
      </c>
      <c r="D137">
        <v>79.939666747999993</v>
      </c>
      <c r="E137">
        <v>40</v>
      </c>
      <c r="F137">
        <v>14.999407767999999</v>
      </c>
      <c r="G137">
        <v>1343.4410399999999</v>
      </c>
      <c r="H137">
        <v>1340.3856201000001</v>
      </c>
      <c r="I137">
        <v>1320.1405029</v>
      </c>
      <c r="J137">
        <v>1315.6142577999999</v>
      </c>
      <c r="K137">
        <v>2750</v>
      </c>
      <c r="L137">
        <v>0</v>
      </c>
      <c r="M137">
        <v>0</v>
      </c>
      <c r="N137">
        <v>2750</v>
      </c>
    </row>
    <row r="138" spans="1:14" x14ac:dyDescent="0.25">
      <c r="A138">
        <v>3.8122180000000001</v>
      </c>
      <c r="B138" s="1">
        <f>DATE(2010,5,4) + TIME(19,29,35)</f>
        <v>40302.812210648146</v>
      </c>
      <c r="C138">
        <v>80</v>
      </c>
      <c r="D138">
        <v>79.941673279</v>
      </c>
      <c r="E138">
        <v>40</v>
      </c>
      <c r="F138">
        <v>14.999409676000001</v>
      </c>
      <c r="G138">
        <v>1343.4283447</v>
      </c>
      <c r="H138">
        <v>1340.3724365</v>
      </c>
      <c r="I138">
        <v>1320.140625</v>
      </c>
      <c r="J138">
        <v>1315.6143798999999</v>
      </c>
      <c r="K138">
        <v>2750</v>
      </c>
      <c r="L138">
        <v>0</v>
      </c>
      <c r="M138">
        <v>0</v>
      </c>
      <c r="N138">
        <v>2750</v>
      </c>
    </row>
    <row r="139" spans="1:14" x14ac:dyDescent="0.25">
      <c r="A139">
        <v>3.8919709999999998</v>
      </c>
      <c r="B139" s="1">
        <f>DATE(2010,5,4) + TIME(21,24,26)</f>
        <v>40302.891967592594</v>
      </c>
      <c r="C139">
        <v>80</v>
      </c>
      <c r="D139">
        <v>79.943382263000004</v>
      </c>
      <c r="E139">
        <v>40</v>
      </c>
      <c r="F139">
        <v>14.999412537</v>
      </c>
      <c r="G139">
        <v>1343.4151611</v>
      </c>
      <c r="H139">
        <v>1340.3591309000001</v>
      </c>
      <c r="I139">
        <v>1320.1408690999999</v>
      </c>
      <c r="J139">
        <v>1315.6145019999999</v>
      </c>
      <c r="K139">
        <v>2750</v>
      </c>
      <c r="L139">
        <v>0</v>
      </c>
      <c r="M139">
        <v>0</v>
      </c>
      <c r="N139">
        <v>2750</v>
      </c>
    </row>
    <row r="140" spans="1:14" x14ac:dyDescent="0.25">
      <c r="A140">
        <v>3.9735939999999998</v>
      </c>
      <c r="B140" s="1">
        <f>DATE(2010,5,4) + TIME(23,21,58)</f>
        <v>40302.973587962966</v>
      </c>
      <c r="C140">
        <v>80</v>
      </c>
      <c r="D140">
        <v>79.944839478000006</v>
      </c>
      <c r="E140">
        <v>40</v>
      </c>
      <c r="F140">
        <v>14.999414443999999</v>
      </c>
      <c r="G140">
        <v>1343.4018555</v>
      </c>
      <c r="H140">
        <v>1340.3455810999999</v>
      </c>
      <c r="I140">
        <v>1320.1411132999999</v>
      </c>
      <c r="J140">
        <v>1315.6147461</v>
      </c>
      <c r="K140">
        <v>2750</v>
      </c>
      <c r="L140">
        <v>0</v>
      </c>
      <c r="M140">
        <v>0</v>
      </c>
      <c r="N140">
        <v>2750</v>
      </c>
    </row>
    <row r="141" spans="1:14" x14ac:dyDescent="0.25">
      <c r="A141">
        <v>4.0151149999999998</v>
      </c>
      <c r="B141" s="1">
        <f>DATE(2010,5,5) + TIME(0,21,45)</f>
        <v>40303.015104166669</v>
      </c>
      <c r="C141">
        <v>80</v>
      </c>
      <c r="D141">
        <v>79.945510863999999</v>
      </c>
      <c r="E141">
        <v>40</v>
      </c>
      <c r="F141">
        <v>14.999415398</v>
      </c>
      <c r="G141">
        <v>1343.3883057</v>
      </c>
      <c r="H141">
        <v>1340.3316649999999</v>
      </c>
      <c r="I141">
        <v>1320.1412353999999</v>
      </c>
      <c r="J141">
        <v>1315.6148682</v>
      </c>
      <c r="K141">
        <v>2750</v>
      </c>
      <c r="L141">
        <v>0</v>
      </c>
      <c r="M141">
        <v>0</v>
      </c>
      <c r="N141">
        <v>2750</v>
      </c>
    </row>
    <row r="142" spans="1:14" x14ac:dyDescent="0.25">
      <c r="A142">
        <v>4.0566360000000001</v>
      </c>
      <c r="B142" s="1">
        <f>DATE(2010,5,5) + TIME(1,21,33)</f>
        <v>40303.056631944448</v>
      </c>
      <c r="C142">
        <v>80</v>
      </c>
      <c r="D142">
        <v>79.946128845000004</v>
      </c>
      <c r="E142">
        <v>40</v>
      </c>
      <c r="F142">
        <v>14.999417305</v>
      </c>
      <c r="G142">
        <v>1343.3814697</v>
      </c>
      <c r="H142">
        <v>1340.324707</v>
      </c>
      <c r="I142">
        <v>1320.1413574000001</v>
      </c>
      <c r="J142">
        <v>1315.6148682</v>
      </c>
      <c r="K142">
        <v>2750</v>
      </c>
      <c r="L142">
        <v>0</v>
      </c>
      <c r="M142">
        <v>0</v>
      </c>
      <c r="N142">
        <v>2750</v>
      </c>
    </row>
    <row r="143" spans="1:14" x14ac:dyDescent="0.25">
      <c r="A143">
        <v>4.0981579999999997</v>
      </c>
      <c r="B143" s="1">
        <f>DATE(2010,5,5) + TIME(2,21,20)</f>
        <v>40303.09814814815</v>
      </c>
      <c r="C143">
        <v>80</v>
      </c>
      <c r="D143">
        <v>79.946685790999993</v>
      </c>
      <c r="E143">
        <v>40</v>
      </c>
      <c r="F143">
        <v>14.999418259</v>
      </c>
      <c r="G143">
        <v>1343.3746338000001</v>
      </c>
      <c r="H143">
        <v>1340.3179932</v>
      </c>
      <c r="I143">
        <v>1320.1414795000001</v>
      </c>
      <c r="J143">
        <v>1315.6149902</v>
      </c>
      <c r="K143">
        <v>2750</v>
      </c>
      <c r="L143">
        <v>0</v>
      </c>
      <c r="M143">
        <v>0</v>
      </c>
      <c r="N143">
        <v>2750</v>
      </c>
    </row>
    <row r="144" spans="1:14" x14ac:dyDescent="0.25">
      <c r="A144">
        <v>4.1396790000000001</v>
      </c>
      <c r="B144" s="1">
        <f>DATE(2010,5,5) + TIME(3,21,8)</f>
        <v>40303.139675925922</v>
      </c>
      <c r="C144">
        <v>80</v>
      </c>
      <c r="D144">
        <v>79.947196959999999</v>
      </c>
      <c r="E144">
        <v>40</v>
      </c>
      <c r="F144">
        <v>14.999419211999999</v>
      </c>
      <c r="G144">
        <v>1343.3677978999999</v>
      </c>
      <c r="H144">
        <v>1340.3111572</v>
      </c>
      <c r="I144">
        <v>1320.1416016000001</v>
      </c>
      <c r="J144">
        <v>1315.6151123</v>
      </c>
      <c r="K144">
        <v>2750</v>
      </c>
      <c r="L144">
        <v>0</v>
      </c>
      <c r="M144">
        <v>0</v>
      </c>
      <c r="N144">
        <v>2750</v>
      </c>
    </row>
    <row r="145" spans="1:14" x14ac:dyDescent="0.25">
      <c r="A145">
        <v>4.1812009999999997</v>
      </c>
      <c r="B145" s="1">
        <f>DATE(2010,5,5) + TIME(4,20,55)</f>
        <v>40303.181192129632</v>
      </c>
      <c r="C145">
        <v>80</v>
      </c>
      <c r="D145">
        <v>79.947662354000002</v>
      </c>
      <c r="E145">
        <v>40</v>
      </c>
      <c r="F145">
        <v>14.999420166</v>
      </c>
      <c r="G145">
        <v>1343.3609618999999</v>
      </c>
      <c r="H145">
        <v>1340.3044434000001</v>
      </c>
      <c r="I145">
        <v>1320.1417236</v>
      </c>
      <c r="J145">
        <v>1315.6151123</v>
      </c>
      <c r="K145">
        <v>2750</v>
      </c>
      <c r="L145">
        <v>0</v>
      </c>
      <c r="M145">
        <v>0</v>
      </c>
      <c r="N145">
        <v>2750</v>
      </c>
    </row>
    <row r="146" spans="1:14" x14ac:dyDescent="0.25">
      <c r="A146">
        <v>4.2227220000000001</v>
      </c>
      <c r="B146" s="1">
        <f>DATE(2010,5,5) + TIME(5,20,43)</f>
        <v>40303.222719907404</v>
      </c>
      <c r="C146">
        <v>80</v>
      </c>
      <c r="D146">
        <v>79.948089600000003</v>
      </c>
      <c r="E146">
        <v>40</v>
      </c>
      <c r="F146">
        <v>14.999422073</v>
      </c>
      <c r="G146">
        <v>1343.3542480000001</v>
      </c>
      <c r="H146">
        <v>1340.2978516000001</v>
      </c>
      <c r="I146">
        <v>1320.1418457</v>
      </c>
      <c r="J146">
        <v>1315.6152344</v>
      </c>
      <c r="K146">
        <v>2750</v>
      </c>
      <c r="L146">
        <v>0</v>
      </c>
      <c r="M146">
        <v>0</v>
      </c>
      <c r="N146">
        <v>2750</v>
      </c>
    </row>
    <row r="147" spans="1:14" x14ac:dyDescent="0.25">
      <c r="A147">
        <v>4.2642429999999996</v>
      </c>
      <c r="B147" s="1">
        <f>DATE(2010,5,5) + TIME(6,20,30)</f>
        <v>40303.264236111114</v>
      </c>
      <c r="C147">
        <v>80</v>
      </c>
      <c r="D147">
        <v>79.948478699000006</v>
      </c>
      <c r="E147">
        <v>40</v>
      </c>
      <c r="F147">
        <v>14.999423027000001</v>
      </c>
      <c r="G147">
        <v>1343.3475341999999</v>
      </c>
      <c r="H147">
        <v>1340.2911377</v>
      </c>
      <c r="I147">
        <v>1320.1418457</v>
      </c>
      <c r="J147">
        <v>1315.6153564000001</v>
      </c>
      <c r="K147">
        <v>2750</v>
      </c>
      <c r="L147">
        <v>0</v>
      </c>
      <c r="M147">
        <v>0</v>
      </c>
      <c r="N147">
        <v>2750</v>
      </c>
    </row>
    <row r="148" spans="1:14" x14ac:dyDescent="0.25">
      <c r="A148">
        <v>4.3057650000000001</v>
      </c>
      <c r="B148" s="1">
        <f>DATE(2010,5,5) + TIME(7,20,18)</f>
        <v>40303.305763888886</v>
      </c>
      <c r="C148">
        <v>80</v>
      </c>
      <c r="D148">
        <v>79.948829650999997</v>
      </c>
      <c r="E148">
        <v>40</v>
      </c>
      <c r="F148">
        <v>14.999423981</v>
      </c>
      <c r="G148">
        <v>1343.3408202999999</v>
      </c>
      <c r="H148">
        <v>1340.284668</v>
      </c>
      <c r="I148">
        <v>1320.1419678</v>
      </c>
      <c r="J148">
        <v>1315.6153564000001</v>
      </c>
      <c r="K148">
        <v>2750</v>
      </c>
      <c r="L148">
        <v>0</v>
      </c>
      <c r="M148">
        <v>0</v>
      </c>
      <c r="N148">
        <v>2750</v>
      </c>
    </row>
    <row r="149" spans="1:14" x14ac:dyDescent="0.25">
      <c r="A149">
        <v>4.3472860000000004</v>
      </c>
      <c r="B149" s="1">
        <f>DATE(2010,5,5) + TIME(8,20,5)</f>
        <v>40303.347280092596</v>
      </c>
      <c r="C149">
        <v>80</v>
      </c>
      <c r="D149">
        <v>79.949157714999998</v>
      </c>
      <c r="E149">
        <v>40</v>
      </c>
      <c r="F149">
        <v>14.999424934</v>
      </c>
      <c r="G149">
        <v>1343.3341064000001</v>
      </c>
      <c r="H149">
        <v>1340.2780762</v>
      </c>
      <c r="I149">
        <v>1320.1420897999999</v>
      </c>
      <c r="J149">
        <v>1315.6154785000001</v>
      </c>
      <c r="K149">
        <v>2750</v>
      </c>
      <c r="L149">
        <v>0</v>
      </c>
      <c r="M149">
        <v>0</v>
      </c>
      <c r="N149">
        <v>2750</v>
      </c>
    </row>
    <row r="150" spans="1:14" x14ac:dyDescent="0.25">
      <c r="A150">
        <v>4.4303290000000004</v>
      </c>
      <c r="B150" s="1">
        <f>DATE(2010,5,5) + TIME(10,19,40)</f>
        <v>40303.430324074077</v>
      </c>
      <c r="C150">
        <v>80</v>
      </c>
      <c r="D150">
        <v>79.949707031000003</v>
      </c>
      <c r="E150">
        <v>40</v>
      </c>
      <c r="F150">
        <v>14.999427795000001</v>
      </c>
      <c r="G150">
        <v>1343.3276367000001</v>
      </c>
      <c r="H150">
        <v>1340.2719727000001</v>
      </c>
      <c r="I150">
        <v>1320.1422118999999</v>
      </c>
      <c r="J150">
        <v>1315.6156006000001</v>
      </c>
      <c r="K150">
        <v>2750</v>
      </c>
      <c r="L150">
        <v>0</v>
      </c>
      <c r="M150">
        <v>0</v>
      </c>
      <c r="N150">
        <v>2750</v>
      </c>
    </row>
    <row r="151" spans="1:14" x14ac:dyDescent="0.25">
      <c r="A151">
        <v>4.5135230000000002</v>
      </c>
      <c r="B151" s="1">
        <f>DATE(2010,5,5) + TIME(12,19,28)</f>
        <v>40303.513518518521</v>
      </c>
      <c r="C151">
        <v>80</v>
      </c>
      <c r="D151">
        <v>79.950180054</v>
      </c>
      <c r="E151">
        <v>40</v>
      </c>
      <c r="F151">
        <v>14.999429703000001</v>
      </c>
      <c r="G151">
        <v>1343.3143310999999</v>
      </c>
      <c r="H151">
        <v>1340.2592772999999</v>
      </c>
      <c r="I151">
        <v>1320.1424560999999</v>
      </c>
      <c r="J151">
        <v>1315.6158447</v>
      </c>
      <c r="K151">
        <v>2750</v>
      </c>
      <c r="L151">
        <v>0</v>
      </c>
      <c r="M151">
        <v>0</v>
      </c>
      <c r="N151">
        <v>2750</v>
      </c>
    </row>
    <row r="152" spans="1:14" x14ac:dyDescent="0.25">
      <c r="A152">
        <v>4.5972150000000003</v>
      </c>
      <c r="B152" s="1">
        <f>DATE(2010,5,5) + TIME(14,19,59)</f>
        <v>40303.597210648149</v>
      </c>
      <c r="C152">
        <v>80</v>
      </c>
      <c r="D152">
        <v>79.950592040999993</v>
      </c>
      <c r="E152">
        <v>40</v>
      </c>
      <c r="F152">
        <v>14.99943161</v>
      </c>
      <c r="G152">
        <v>1343.3011475000001</v>
      </c>
      <c r="H152">
        <v>1340.246582</v>
      </c>
      <c r="I152">
        <v>1320.1427002</v>
      </c>
      <c r="J152">
        <v>1315.6159668</v>
      </c>
      <c r="K152">
        <v>2750</v>
      </c>
      <c r="L152">
        <v>0</v>
      </c>
      <c r="M152">
        <v>0</v>
      </c>
      <c r="N152">
        <v>2750</v>
      </c>
    </row>
    <row r="153" spans="1:14" x14ac:dyDescent="0.25">
      <c r="A153">
        <v>4.6815329999999999</v>
      </c>
      <c r="B153" s="1">
        <f>DATE(2010,5,5) + TIME(16,21,24)</f>
        <v>40303.681527777779</v>
      </c>
      <c r="C153">
        <v>80</v>
      </c>
      <c r="D153">
        <v>79.950942992999998</v>
      </c>
      <c r="E153">
        <v>40</v>
      </c>
      <c r="F153">
        <v>14.999433517</v>
      </c>
      <c r="G153">
        <v>1343.2880858999999</v>
      </c>
      <c r="H153">
        <v>1340.2341309000001</v>
      </c>
      <c r="I153">
        <v>1320.1428223</v>
      </c>
      <c r="J153">
        <v>1315.6160889</v>
      </c>
      <c r="K153">
        <v>2750</v>
      </c>
      <c r="L153">
        <v>0</v>
      </c>
      <c r="M153">
        <v>0</v>
      </c>
      <c r="N153">
        <v>2750</v>
      </c>
    </row>
    <row r="154" spans="1:14" x14ac:dyDescent="0.25">
      <c r="A154">
        <v>4.7666079999999997</v>
      </c>
      <c r="B154" s="1">
        <f>DATE(2010,5,5) + TIME(18,23,54)</f>
        <v>40303.766597222224</v>
      </c>
      <c r="C154">
        <v>80</v>
      </c>
      <c r="D154">
        <v>79.951248168999996</v>
      </c>
      <c r="E154">
        <v>40</v>
      </c>
      <c r="F154">
        <v>14.999435425</v>
      </c>
      <c r="G154">
        <v>1343.2750243999999</v>
      </c>
      <c r="H154">
        <v>1340.2218018000001</v>
      </c>
      <c r="I154">
        <v>1320.1430664</v>
      </c>
      <c r="J154">
        <v>1315.6163329999999</v>
      </c>
      <c r="K154">
        <v>2750</v>
      </c>
      <c r="L154">
        <v>0</v>
      </c>
      <c r="M154">
        <v>0</v>
      </c>
      <c r="N154">
        <v>2750</v>
      </c>
    </row>
    <row r="155" spans="1:14" x14ac:dyDescent="0.25">
      <c r="A155">
        <v>4.8525720000000003</v>
      </c>
      <c r="B155" s="1">
        <f>DATE(2010,5,5) + TIME(20,27,42)</f>
        <v>40303.852569444447</v>
      </c>
      <c r="C155">
        <v>80</v>
      </c>
      <c r="D155">
        <v>79.951515197999996</v>
      </c>
      <c r="E155">
        <v>40</v>
      </c>
      <c r="F155">
        <v>14.999437331999999</v>
      </c>
      <c r="G155">
        <v>1343.2619629000001</v>
      </c>
      <c r="H155">
        <v>1340.2094727000001</v>
      </c>
      <c r="I155">
        <v>1320.1433105000001</v>
      </c>
      <c r="J155">
        <v>1315.6164550999999</v>
      </c>
      <c r="K155">
        <v>2750</v>
      </c>
      <c r="L155">
        <v>0</v>
      </c>
      <c r="M155">
        <v>0</v>
      </c>
      <c r="N155">
        <v>2750</v>
      </c>
    </row>
    <row r="156" spans="1:14" x14ac:dyDescent="0.25">
      <c r="A156">
        <v>4.9395610000000003</v>
      </c>
      <c r="B156" s="1">
        <f>DATE(2010,5,5) + TIME(22,32,58)</f>
        <v>40303.939560185187</v>
      </c>
      <c r="C156">
        <v>80</v>
      </c>
      <c r="D156">
        <v>79.951744079999997</v>
      </c>
      <c r="E156">
        <v>40</v>
      </c>
      <c r="F156">
        <v>14.999440193</v>
      </c>
      <c r="G156">
        <v>1343.2490233999999</v>
      </c>
      <c r="H156">
        <v>1340.1972656</v>
      </c>
      <c r="I156">
        <v>1320.1435547000001</v>
      </c>
      <c r="J156">
        <v>1315.6165771000001</v>
      </c>
      <c r="K156">
        <v>2750</v>
      </c>
      <c r="L156">
        <v>0</v>
      </c>
      <c r="M156">
        <v>0</v>
      </c>
      <c r="N156">
        <v>2750</v>
      </c>
    </row>
    <row r="157" spans="1:14" x14ac:dyDescent="0.25">
      <c r="A157">
        <v>5.0277149999999997</v>
      </c>
      <c r="B157" s="1">
        <f>DATE(2010,5,6) + TIME(0,39,54)</f>
        <v>40304.027708333335</v>
      </c>
      <c r="C157">
        <v>80</v>
      </c>
      <c r="D157">
        <v>79.951950073000006</v>
      </c>
      <c r="E157">
        <v>40</v>
      </c>
      <c r="F157">
        <v>14.999442101</v>
      </c>
      <c r="G157">
        <v>1343.2359618999999</v>
      </c>
      <c r="H157">
        <v>1340.1851807</v>
      </c>
      <c r="I157">
        <v>1320.1436768000001</v>
      </c>
      <c r="J157">
        <v>1315.6168213000001</v>
      </c>
      <c r="K157">
        <v>2750</v>
      </c>
      <c r="L157">
        <v>0</v>
      </c>
      <c r="M157">
        <v>0</v>
      </c>
      <c r="N157">
        <v>2750</v>
      </c>
    </row>
    <row r="158" spans="1:14" x14ac:dyDescent="0.25">
      <c r="A158">
        <v>5.1171829999999998</v>
      </c>
      <c r="B158" s="1">
        <f>DATE(2010,5,6) + TIME(2,48,44)</f>
        <v>40304.117175925923</v>
      </c>
      <c r="C158">
        <v>80</v>
      </c>
      <c r="D158">
        <v>79.952125549000002</v>
      </c>
      <c r="E158">
        <v>40</v>
      </c>
      <c r="F158">
        <v>14.999444007999999</v>
      </c>
      <c r="G158">
        <v>1343.2229004000001</v>
      </c>
      <c r="H158">
        <v>1340.1729736</v>
      </c>
      <c r="I158">
        <v>1320.1439209</v>
      </c>
      <c r="J158">
        <v>1315.6169434000001</v>
      </c>
      <c r="K158">
        <v>2750</v>
      </c>
      <c r="L158">
        <v>0</v>
      </c>
      <c r="M158">
        <v>0</v>
      </c>
      <c r="N158">
        <v>2750</v>
      </c>
    </row>
    <row r="159" spans="1:14" x14ac:dyDescent="0.25">
      <c r="A159">
        <v>5.2081169999999997</v>
      </c>
      <c r="B159" s="1">
        <f>DATE(2010,5,6) + TIME(4,59,41)</f>
        <v>40304.208113425928</v>
      </c>
      <c r="C159">
        <v>80</v>
      </c>
      <c r="D159">
        <v>79.952278136999993</v>
      </c>
      <c r="E159">
        <v>40</v>
      </c>
      <c r="F159">
        <v>14.999445915000001</v>
      </c>
      <c r="G159">
        <v>1343.2098389</v>
      </c>
      <c r="H159">
        <v>1340.1610106999999</v>
      </c>
      <c r="I159">
        <v>1320.1441649999999</v>
      </c>
      <c r="J159">
        <v>1315.6171875</v>
      </c>
      <c r="K159">
        <v>2750</v>
      </c>
      <c r="L159">
        <v>0</v>
      </c>
      <c r="M159">
        <v>0</v>
      </c>
      <c r="N159">
        <v>2750</v>
      </c>
    </row>
    <row r="160" spans="1:14" x14ac:dyDescent="0.25">
      <c r="A160">
        <v>5.300713</v>
      </c>
      <c r="B160" s="1">
        <f>DATE(2010,5,6) + TIME(7,13,1)</f>
        <v>40304.300706018519</v>
      </c>
      <c r="C160">
        <v>80</v>
      </c>
      <c r="D160">
        <v>79.952423096000004</v>
      </c>
      <c r="E160">
        <v>40</v>
      </c>
      <c r="F160">
        <v>14.999447823000001</v>
      </c>
      <c r="G160">
        <v>1343.1966553</v>
      </c>
      <c r="H160">
        <v>1340.1489257999999</v>
      </c>
      <c r="I160">
        <v>1320.1444091999999</v>
      </c>
      <c r="J160">
        <v>1315.6173096</v>
      </c>
      <c r="K160">
        <v>2750</v>
      </c>
      <c r="L160">
        <v>0</v>
      </c>
      <c r="M160">
        <v>0</v>
      </c>
      <c r="N160">
        <v>2750</v>
      </c>
    </row>
    <row r="161" spans="1:14" x14ac:dyDescent="0.25">
      <c r="A161">
        <v>5.3951269999999996</v>
      </c>
      <c r="B161" s="1">
        <f>DATE(2010,5,6) + TIME(9,28,58)</f>
        <v>40304.395115740743</v>
      </c>
      <c r="C161">
        <v>80</v>
      </c>
      <c r="D161">
        <v>79.952545165999993</v>
      </c>
      <c r="E161">
        <v>40</v>
      </c>
      <c r="F161">
        <v>14.99944973</v>
      </c>
      <c r="G161">
        <v>1343.1833495999999</v>
      </c>
      <c r="H161">
        <v>1340.1368408000001</v>
      </c>
      <c r="I161">
        <v>1320.1445312000001</v>
      </c>
      <c r="J161">
        <v>1315.6175536999999</v>
      </c>
      <c r="K161">
        <v>2750</v>
      </c>
      <c r="L161">
        <v>0</v>
      </c>
      <c r="M161">
        <v>0</v>
      </c>
      <c r="N161">
        <v>2750</v>
      </c>
    </row>
    <row r="162" spans="1:14" x14ac:dyDescent="0.25">
      <c r="A162">
        <v>5.4915390000000004</v>
      </c>
      <c r="B162" s="1">
        <f>DATE(2010,5,6) + TIME(11,47,48)</f>
        <v>40304.491527777776</v>
      </c>
      <c r="C162">
        <v>80</v>
      </c>
      <c r="D162">
        <v>79.952651978000006</v>
      </c>
      <c r="E162">
        <v>40</v>
      </c>
      <c r="F162">
        <v>14.999451637</v>
      </c>
      <c r="G162">
        <v>1343.1700439000001</v>
      </c>
      <c r="H162">
        <v>1340.1247559000001</v>
      </c>
      <c r="I162">
        <v>1320.1447754000001</v>
      </c>
      <c r="J162">
        <v>1315.6176757999999</v>
      </c>
      <c r="K162">
        <v>2750</v>
      </c>
      <c r="L162">
        <v>0</v>
      </c>
      <c r="M162">
        <v>0</v>
      </c>
      <c r="N162">
        <v>2750</v>
      </c>
    </row>
    <row r="163" spans="1:14" x14ac:dyDescent="0.25">
      <c r="A163">
        <v>5.5901529999999999</v>
      </c>
      <c r="B163" s="1">
        <f>DATE(2010,5,6) + TIME(14,9,49)</f>
        <v>40304.590150462966</v>
      </c>
      <c r="C163">
        <v>80</v>
      </c>
      <c r="D163">
        <v>79.952743530000006</v>
      </c>
      <c r="E163">
        <v>40</v>
      </c>
      <c r="F163">
        <v>14.999454498</v>
      </c>
      <c r="G163">
        <v>1343.1566161999999</v>
      </c>
      <c r="H163">
        <v>1340.1125488</v>
      </c>
      <c r="I163">
        <v>1320.1450195</v>
      </c>
      <c r="J163">
        <v>1315.6179199000001</v>
      </c>
      <c r="K163">
        <v>2750</v>
      </c>
      <c r="L163">
        <v>0</v>
      </c>
      <c r="M163">
        <v>0</v>
      </c>
      <c r="N163">
        <v>2750</v>
      </c>
    </row>
    <row r="164" spans="1:14" x14ac:dyDescent="0.25">
      <c r="A164">
        <v>5.6911930000000002</v>
      </c>
      <c r="B164" s="1">
        <f>DATE(2010,5,6) + TIME(16,35,19)</f>
        <v>40304.691192129627</v>
      </c>
      <c r="C164">
        <v>80</v>
      </c>
      <c r="D164">
        <v>79.952827454000001</v>
      </c>
      <c r="E164">
        <v>40</v>
      </c>
      <c r="F164">
        <v>14.999456406</v>
      </c>
      <c r="G164">
        <v>1343.1430664</v>
      </c>
      <c r="H164">
        <v>1340.1004639</v>
      </c>
      <c r="I164">
        <v>1320.1452637</v>
      </c>
      <c r="J164">
        <v>1315.6180420000001</v>
      </c>
      <c r="K164">
        <v>2750</v>
      </c>
      <c r="L164">
        <v>0</v>
      </c>
      <c r="M164">
        <v>0</v>
      </c>
      <c r="N164">
        <v>2750</v>
      </c>
    </row>
    <row r="165" spans="1:14" x14ac:dyDescent="0.25">
      <c r="A165">
        <v>5.7944789999999999</v>
      </c>
      <c r="B165" s="1">
        <f>DATE(2010,5,6) + TIME(19,4,3)</f>
        <v>40304.794479166667</v>
      </c>
      <c r="C165">
        <v>80</v>
      </c>
      <c r="D165">
        <v>79.952903747999997</v>
      </c>
      <c r="E165">
        <v>40</v>
      </c>
      <c r="F165">
        <v>14.999458313</v>
      </c>
      <c r="G165">
        <v>1343.1293945</v>
      </c>
      <c r="H165">
        <v>1340.0881348</v>
      </c>
      <c r="I165">
        <v>1320.1455077999999</v>
      </c>
      <c r="J165">
        <v>1315.6182861</v>
      </c>
      <c r="K165">
        <v>2750</v>
      </c>
      <c r="L165">
        <v>0</v>
      </c>
      <c r="M165">
        <v>0</v>
      </c>
      <c r="N165">
        <v>2750</v>
      </c>
    </row>
    <row r="166" spans="1:14" x14ac:dyDescent="0.25">
      <c r="A166">
        <v>5.9001150000000004</v>
      </c>
      <c r="B166" s="1">
        <f>DATE(2010,5,6) + TIME(21,36,9)</f>
        <v>40304.900104166663</v>
      </c>
      <c r="C166">
        <v>80</v>
      </c>
      <c r="D166">
        <v>79.952964782999999</v>
      </c>
      <c r="E166">
        <v>40</v>
      </c>
      <c r="F166">
        <v>14.99946022</v>
      </c>
      <c r="G166">
        <v>1343.1154785000001</v>
      </c>
      <c r="H166">
        <v>1340.0759277</v>
      </c>
      <c r="I166">
        <v>1320.1457519999999</v>
      </c>
      <c r="J166">
        <v>1315.6185303</v>
      </c>
      <c r="K166">
        <v>2750</v>
      </c>
      <c r="L166">
        <v>0</v>
      </c>
      <c r="M166">
        <v>0</v>
      </c>
      <c r="N166">
        <v>2750</v>
      </c>
    </row>
    <row r="167" spans="1:14" x14ac:dyDescent="0.25">
      <c r="A167">
        <v>6.0083399999999996</v>
      </c>
      <c r="B167" s="1">
        <f>DATE(2010,5,7) + TIME(0,12,0)</f>
        <v>40305.008333333331</v>
      </c>
      <c r="C167">
        <v>80</v>
      </c>
      <c r="D167">
        <v>79.953018188000001</v>
      </c>
      <c r="E167">
        <v>40</v>
      </c>
      <c r="F167">
        <v>14.999463081</v>
      </c>
      <c r="G167">
        <v>1343.1015625</v>
      </c>
      <c r="H167">
        <v>1340.0635986</v>
      </c>
      <c r="I167">
        <v>1320.1459961</v>
      </c>
      <c r="J167">
        <v>1315.6186522999999</v>
      </c>
      <c r="K167">
        <v>2750</v>
      </c>
      <c r="L167">
        <v>0</v>
      </c>
      <c r="M167">
        <v>0</v>
      </c>
      <c r="N167">
        <v>2750</v>
      </c>
    </row>
    <row r="168" spans="1:14" x14ac:dyDescent="0.25">
      <c r="A168">
        <v>6.0628820000000001</v>
      </c>
      <c r="B168" s="1">
        <f>DATE(2010,5,7) + TIME(1,30,32)</f>
        <v>40305.06287037037</v>
      </c>
      <c r="C168">
        <v>80</v>
      </c>
      <c r="D168">
        <v>79.953041076999995</v>
      </c>
      <c r="E168">
        <v>40</v>
      </c>
      <c r="F168">
        <v>14.999464035000001</v>
      </c>
      <c r="G168">
        <v>1343.0872803</v>
      </c>
      <c r="H168">
        <v>1340.0507812000001</v>
      </c>
      <c r="I168">
        <v>1320.1462402</v>
      </c>
      <c r="J168">
        <v>1315.6188964999999</v>
      </c>
      <c r="K168">
        <v>2750</v>
      </c>
      <c r="L168">
        <v>0</v>
      </c>
      <c r="M168">
        <v>0</v>
      </c>
      <c r="N168">
        <v>2750</v>
      </c>
    </row>
    <row r="169" spans="1:14" x14ac:dyDescent="0.25">
      <c r="A169">
        <v>6.1174239999999998</v>
      </c>
      <c r="B169" s="1">
        <f>DATE(2010,5,7) + TIME(2,49,5)</f>
        <v>40305.117418981485</v>
      </c>
      <c r="C169">
        <v>80</v>
      </c>
      <c r="D169">
        <v>79.953063964999998</v>
      </c>
      <c r="E169">
        <v>40</v>
      </c>
      <c r="F169">
        <v>14.999464989</v>
      </c>
      <c r="G169">
        <v>1343.0802002</v>
      </c>
      <c r="H169">
        <v>1340.0445557</v>
      </c>
      <c r="I169">
        <v>1320.1463623</v>
      </c>
      <c r="J169">
        <v>1315.6188964999999</v>
      </c>
      <c r="K169">
        <v>2750</v>
      </c>
      <c r="L169">
        <v>0</v>
      </c>
      <c r="M169">
        <v>0</v>
      </c>
      <c r="N169">
        <v>2750</v>
      </c>
    </row>
    <row r="170" spans="1:14" x14ac:dyDescent="0.25">
      <c r="A170">
        <v>6.1719650000000001</v>
      </c>
      <c r="B170" s="1">
        <f>DATE(2010,5,7) + TIME(4,7,37)</f>
        <v>40305.171956018516</v>
      </c>
      <c r="C170">
        <v>80</v>
      </c>
      <c r="D170">
        <v>79.953079224000007</v>
      </c>
      <c r="E170">
        <v>40</v>
      </c>
      <c r="F170">
        <v>14.999465942</v>
      </c>
      <c r="G170">
        <v>1343.0732422000001</v>
      </c>
      <c r="H170">
        <v>1340.0383300999999</v>
      </c>
      <c r="I170">
        <v>1320.1464844</v>
      </c>
      <c r="J170">
        <v>1315.6190185999999</v>
      </c>
      <c r="K170">
        <v>2750</v>
      </c>
      <c r="L170">
        <v>0</v>
      </c>
      <c r="M170">
        <v>0</v>
      </c>
      <c r="N170">
        <v>2750</v>
      </c>
    </row>
    <row r="171" spans="1:14" x14ac:dyDescent="0.25">
      <c r="A171">
        <v>6.2265069999999998</v>
      </c>
      <c r="B171" s="1">
        <f>DATE(2010,5,7) + TIME(5,26,10)</f>
        <v>40305.226504629631</v>
      </c>
      <c r="C171">
        <v>80</v>
      </c>
      <c r="D171">
        <v>79.953102111999996</v>
      </c>
      <c r="E171">
        <v>40</v>
      </c>
      <c r="F171">
        <v>14.999466895999999</v>
      </c>
      <c r="G171">
        <v>1343.0662841999999</v>
      </c>
      <c r="H171">
        <v>1340.0322266000001</v>
      </c>
      <c r="I171">
        <v>1320.1466064000001</v>
      </c>
      <c r="J171">
        <v>1315.6191406</v>
      </c>
      <c r="K171">
        <v>2750</v>
      </c>
      <c r="L171">
        <v>0</v>
      </c>
      <c r="M171">
        <v>0</v>
      </c>
      <c r="N171">
        <v>2750</v>
      </c>
    </row>
    <row r="172" spans="1:14" x14ac:dyDescent="0.25">
      <c r="A172">
        <v>6.2810490000000003</v>
      </c>
      <c r="B172" s="1">
        <f>DATE(2010,5,7) + TIME(6,44,42)</f>
        <v>40305.281041666669</v>
      </c>
      <c r="C172">
        <v>80</v>
      </c>
      <c r="D172">
        <v>79.953117371000005</v>
      </c>
      <c r="E172">
        <v>40</v>
      </c>
      <c r="F172">
        <v>14.99946785</v>
      </c>
      <c r="G172">
        <v>1343.0594481999999</v>
      </c>
      <c r="H172">
        <v>1340.0262451000001</v>
      </c>
      <c r="I172">
        <v>1320.1467285000001</v>
      </c>
      <c r="J172">
        <v>1315.6192627</v>
      </c>
      <c r="K172">
        <v>2750</v>
      </c>
      <c r="L172">
        <v>0</v>
      </c>
      <c r="M172">
        <v>0</v>
      </c>
      <c r="N172">
        <v>2750</v>
      </c>
    </row>
    <row r="173" spans="1:14" x14ac:dyDescent="0.25">
      <c r="A173">
        <v>6.335591</v>
      </c>
      <c r="B173" s="1">
        <f>DATE(2010,5,7) + TIME(8,3,15)</f>
        <v>40305.335590277777</v>
      </c>
      <c r="C173">
        <v>80</v>
      </c>
      <c r="D173">
        <v>79.953132628999995</v>
      </c>
      <c r="E173">
        <v>40</v>
      </c>
      <c r="F173">
        <v>14.999468802999999</v>
      </c>
      <c r="G173">
        <v>1343.0526123</v>
      </c>
      <c r="H173">
        <v>1340.0202637</v>
      </c>
      <c r="I173">
        <v>1320.1468506000001</v>
      </c>
      <c r="J173">
        <v>1315.6193848</v>
      </c>
      <c r="K173">
        <v>2750</v>
      </c>
      <c r="L173">
        <v>0</v>
      </c>
      <c r="M173">
        <v>0</v>
      </c>
      <c r="N173">
        <v>2750</v>
      </c>
    </row>
    <row r="174" spans="1:14" x14ac:dyDescent="0.25">
      <c r="A174">
        <v>6.3901329999999996</v>
      </c>
      <c r="B174" s="1">
        <f>DATE(2010,5,7) + TIME(9,21,47)</f>
        <v>40305.390127314815</v>
      </c>
      <c r="C174">
        <v>80</v>
      </c>
      <c r="D174">
        <v>79.953140258999994</v>
      </c>
      <c r="E174">
        <v>40</v>
      </c>
      <c r="F174">
        <v>14.999470711000001</v>
      </c>
      <c r="G174">
        <v>1343.0458983999999</v>
      </c>
      <c r="H174">
        <v>1340.0142822</v>
      </c>
      <c r="I174">
        <v>1320.1469727000001</v>
      </c>
      <c r="J174">
        <v>1315.6195068</v>
      </c>
      <c r="K174">
        <v>2750</v>
      </c>
      <c r="L174">
        <v>0</v>
      </c>
      <c r="M174">
        <v>0</v>
      </c>
      <c r="N174">
        <v>2750</v>
      </c>
    </row>
    <row r="175" spans="1:14" x14ac:dyDescent="0.25">
      <c r="A175">
        <v>6.4446750000000002</v>
      </c>
      <c r="B175" s="1">
        <f>DATE(2010,5,7) + TIME(10,40,19)</f>
        <v>40305.444664351853</v>
      </c>
      <c r="C175">
        <v>80</v>
      </c>
      <c r="D175">
        <v>79.953155518000003</v>
      </c>
      <c r="E175">
        <v>40</v>
      </c>
      <c r="F175">
        <v>14.999471664</v>
      </c>
      <c r="G175">
        <v>1343.0391846</v>
      </c>
      <c r="H175">
        <v>1340.0084228999999</v>
      </c>
      <c r="I175">
        <v>1320.1470947</v>
      </c>
      <c r="J175">
        <v>1315.6196289</v>
      </c>
      <c r="K175">
        <v>2750</v>
      </c>
      <c r="L175">
        <v>0</v>
      </c>
      <c r="M175">
        <v>0</v>
      </c>
      <c r="N175">
        <v>2750</v>
      </c>
    </row>
    <row r="176" spans="1:14" x14ac:dyDescent="0.25">
      <c r="A176">
        <v>6.4992169999999998</v>
      </c>
      <c r="B176" s="1">
        <f>DATE(2010,5,7) + TIME(11,58,52)</f>
        <v>40305.499212962961</v>
      </c>
      <c r="C176">
        <v>80</v>
      </c>
      <c r="D176">
        <v>79.953163146999998</v>
      </c>
      <c r="E176">
        <v>40</v>
      </c>
      <c r="F176">
        <v>14.999472618</v>
      </c>
      <c r="G176">
        <v>1343.0324707</v>
      </c>
      <c r="H176">
        <v>1340.0026855000001</v>
      </c>
      <c r="I176">
        <v>1320.1472168</v>
      </c>
      <c r="J176">
        <v>1315.6196289</v>
      </c>
      <c r="K176">
        <v>2750</v>
      </c>
      <c r="L176">
        <v>0</v>
      </c>
      <c r="M176">
        <v>0</v>
      </c>
      <c r="N176">
        <v>2750</v>
      </c>
    </row>
    <row r="177" spans="1:14" x14ac:dyDescent="0.25">
      <c r="A177">
        <v>6.5537590000000003</v>
      </c>
      <c r="B177" s="1">
        <f>DATE(2010,5,7) + TIME(13,17,24)</f>
        <v>40305.553749999999</v>
      </c>
      <c r="C177">
        <v>80</v>
      </c>
      <c r="D177">
        <v>79.953178406000006</v>
      </c>
      <c r="E177">
        <v>40</v>
      </c>
      <c r="F177">
        <v>14.999473571999999</v>
      </c>
      <c r="G177">
        <v>1343.0258789</v>
      </c>
      <c r="H177">
        <v>1339.9968262</v>
      </c>
      <c r="I177">
        <v>1320.1473389</v>
      </c>
      <c r="J177">
        <v>1315.619751</v>
      </c>
      <c r="K177">
        <v>2750</v>
      </c>
      <c r="L177">
        <v>0</v>
      </c>
      <c r="M177">
        <v>0</v>
      </c>
      <c r="N177">
        <v>2750</v>
      </c>
    </row>
    <row r="178" spans="1:14" x14ac:dyDescent="0.25">
      <c r="A178">
        <v>6.6628420000000004</v>
      </c>
      <c r="B178" s="1">
        <f>DATE(2010,5,7) + TIME(15,54,29)</f>
        <v>40305.662835648145</v>
      </c>
      <c r="C178">
        <v>80</v>
      </c>
      <c r="D178">
        <v>79.953193665000001</v>
      </c>
      <c r="E178">
        <v>40</v>
      </c>
      <c r="F178">
        <v>14.999475479000001</v>
      </c>
      <c r="G178">
        <v>1343.0194091999999</v>
      </c>
      <c r="H178">
        <v>1339.9914550999999</v>
      </c>
      <c r="I178">
        <v>1320.1475829999999</v>
      </c>
      <c r="J178">
        <v>1315.6198730000001</v>
      </c>
      <c r="K178">
        <v>2750</v>
      </c>
      <c r="L178">
        <v>0</v>
      </c>
      <c r="M178">
        <v>0</v>
      </c>
      <c r="N178">
        <v>2750</v>
      </c>
    </row>
    <row r="179" spans="1:14" x14ac:dyDescent="0.25">
      <c r="A179">
        <v>6.7720500000000001</v>
      </c>
      <c r="B179" s="1">
        <f>DATE(2010,5,7) + TIME(18,31,45)</f>
        <v>40305.772048611114</v>
      </c>
      <c r="C179">
        <v>80</v>
      </c>
      <c r="D179">
        <v>79.953208923000005</v>
      </c>
      <c r="E179">
        <v>40</v>
      </c>
      <c r="F179">
        <v>14.999477386000001</v>
      </c>
      <c r="G179">
        <v>1343.0064697</v>
      </c>
      <c r="H179">
        <v>1339.9802245999999</v>
      </c>
      <c r="I179">
        <v>1320.1478271000001</v>
      </c>
      <c r="J179">
        <v>1315.6201172000001</v>
      </c>
      <c r="K179">
        <v>2750</v>
      </c>
      <c r="L179">
        <v>0</v>
      </c>
      <c r="M179">
        <v>0</v>
      </c>
      <c r="N179">
        <v>2750</v>
      </c>
    </row>
    <row r="180" spans="1:14" x14ac:dyDescent="0.25">
      <c r="A180">
        <v>6.8819900000000001</v>
      </c>
      <c r="B180" s="1">
        <f>DATE(2010,5,7) + TIME(21,10,3)</f>
        <v>40305.881979166668</v>
      </c>
      <c r="C180">
        <v>80</v>
      </c>
      <c r="D180">
        <v>79.953216553000004</v>
      </c>
      <c r="E180">
        <v>40</v>
      </c>
      <c r="F180">
        <v>14.999479294</v>
      </c>
      <c r="G180">
        <v>1342.9935303</v>
      </c>
      <c r="H180">
        <v>1339.9691161999999</v>
      </c>
      <c r="I180">
        <v>1320.1480713000001</v>
      </c>
      <c r="J180">
        <v>1315.6203613</v>
      </c>
      <c r="K180">
        <v>2750</v>
      </c>
      <c r="L180">
        <v>0</v>
      </c>
      <c r="M180">
        <v>0</v>
      </c>
      <c r="N180">
        <v>2750</v>
      </c>
    </row>
    <row r="181" spans="1:14" x14ac:dyDescent="0.25">
      <c r="A181">
        <v>6.992839</v>
      </c>
      <c r="B181" s="1">
        <f>DATE(2010,5,7) + TIME(23,49,41)</f>
        <v>40305.992835648147</v>
      </c>
      <c r="C181">
        <v>80</v>
      </c>
      <c r="D181">
        <v>79.953224182</v>
      </c>
      <c r="E181">
        <v>40</v>
      </c>
      <c r="F181">
        <v>14.999481201</v>
      </c>
      <c r="G181">
        <v>1342.9807129000001</v>
      </c>
      <c r="H181">
        <v>1339.9581298999999</v>
      </c>
      <c r="I181">
        <v>1320.1483154</v>
      </c>
      <c r="J181">
        <v>1315.6206055</v>
      </c>
      <c r="K181">
        <v>2750</v>
      </c>
      <c r="L181">
        <v>0</v>
      </c>
      <c r="M181">
        <v>0</v>
      </c>
      <c r="N181">
        <v>2750</v>
      </c>
    </row>
    <row r="182" spans="1:14" x14ac:dyDescent="0.25">
      <c r="A182">
        <v>7.1047799999999999</v>
      </c>
      <c r="B182" s="1">
        <f>DATE(2010,5,8) + TIME(2,30,52)</f>
        <v>40306.104768518519</v>
      </c>
      <c r="C182">
        <v>80</v>
      </c>
      <c r="D182">
        <v>79.953224182</v>
      </c>
      <c r="E182">
        <v>40</v>
      </c>
      <c r="F182">
        <v>14.999483109</v>
      </c>
      <c r="G182">
        <v>1342.9680175999999</v>
      </c>
      <c r="H182">
        <v>1339.9472656</v>
      </c>
      <c r="I182">
        <v>1320.1485596</v>
      </c>
      <c r="J182">
        <v>1315.6207274999999</v>
      </c>
      <c r="K182">
        <v>2750</v>
      </c>
      <c r="L182">
        <v>0</v>
      </c>
      <c r="M182">
        <v>0</v>
      </c>
      <c r="N182">
        <v>2750</v>
      </c>
    </row>
    <row r="183" spans="1:14" x14ac:dyDescent="0.25">
      <c r="A183">
        <v>7.218</v>
      </c>
      <c r="B183" s="1">
        <f>DATE(2010,5,8) + TIME(5,13,55)</f>
        <v>40306.217997685184</v>
      </c>
      <c r="C183">
        <v>80</v>
      </c>
      <c r="D183">
        <v>79.953224182</v>
      </c>
      <c r="E183">
        <v>40</v>
      </c>
      <c r="F183">
        <v>14.999485016</v>
      </c>
      <c r="G183">
        <v>1342.9553223</v>
      </c>
      <c r="H183">
        <v>1339.9365233999999</v>
      </c>
      <c r="I183">
        <v>1320.1488036999999</v>
      </c>
      <c r="J183">
        <v>1315.6209716999999</v>
      </c>
      <c r="K183">
        <v>2750</v>
      </c>
      <c r="L183">
        <v>0</v>
      </c>
      <c r="M183">
        <v>0</v>
      </c>
      <c r="N183">
        <v>2750</v>
      </c>
    </row>
    <row r="184" spans="1:14" x14ac:dyDescent="0.25">
      <c r="A184">
        <v>7.3326929999999999</v>
      </c>
      <c r="B184" s="1">
        <f>DATE(2010,5,8) + TIME(7,59,4)</f>
        <v>40306.332685185182</v>
      </c>
      <c r="C184">
        <v>80</v>
      </c>
      <c r="D184">
        <v>79.953224182</v>
      </c>
      <c r="E184">
        <v>40</v>
      </c>
      <c r="F184">
        <v>14.999486922999999</v>
      </c>
      <c r="G184">
        <v>1342.9426269999999</v>
      </c>
      <c r="H184">
        <v>1339.9257812000001</v>
      </c>
      <c r="I184">
        <v>1320.1490478999999</v>
      </c>
      <c r="J184">
        <v>1315.6212158000001</v>
      </c>
      <c r="K184">
        <v>2750</v>
      </c>
      <c r="L184">
        <v>0</v>
      </c>
      <c r="M184">
        <v>0</v>
      </c>
      <c r="N184">
        <v>2750</v>
      </c>
    </row>
    <row r="185" spans="1:14" x14ac:dyDescent="0.25">
      <c r="A185">
        <v>7.4490610000000004</v>
      </c>
      <c r="B185" s="1">
        <f>DATE(2010,5,8) + TIME(10,46,38)</f>
        <v>40306.449050925927</v>
      </c>
      <c r="C185">
        <v>80</v>
      </c>
      <c r="D185">
        <v>79.953216553000004</v>
      </c>
      <c r="E185">
        <v>40</v>
      </c>
      <c r="F185">
        <v>14.999488831000001</v>
      </c>
      <c r="G185">
        <v>1342.9299315999999</v>
      </c>
      <c r="H185">
        <v>1339.9150391000001</v>
      </c>
      <c r="I185">
        <v>1320.1494141000001</v>
      </c>
      <c r="J185">
        <v>1315.6214600000001</v>
      </c>
      <c r="K185">
        <v>2750</v>
      </c>
      <c r="L185">
        <v>0</v>
      </c>
      <c r="M185">
        <v>0</v>
      </c>
      <c r="N185">
        <v>2750</v>
      </c>
    </row>
    <row r="186" spans="1:14" x14ac:dyDescent="0.25">
      <c r="A186">
        <v>7.5673320000000004</v>
      </c>
      <c r="B186" s="1">
        <f>DATE(2010,5,8) + TIME(13,36,57)</f>
        <v>40306.567326388889</v>
      </c>
      <c r="C186">
        <v>80</v>
      </c>
      <c r="D186">
        <v>79.953208923000005</v>
      </c>
      <c r="E186">
        <v>40</v>
      </c>
      <c r="F186">
        <v>14.999490738</v>
      </c>
      <c r="G186">
        <v>1342.9172363</v>
      </c>
      <c r="H186">
        <v>1339.9044189000001</v>
      </c>
      <c r="I186">
        <v>1320.1496582</v>
      </c>
      <c r="J186">
        <v>1315.621582</v>
      </c>
      <c r="K186">
        <v>2750</v>
      </c>
      <c r="L186">
        <v>0</v>
      </c>
      <c r="M186">
        <v>0</v>
      </c>
      <c r="N186">
        <v>2750</v>
      </c>
    </row>
    <row r="187" spans="1:14" x14ac:dyDescent="0.25">
      <c r="A187">
        <v>7.6877560000000003</v>
      </c>
      <c r="B187" s="1">
        <f>DATE(2010,5,8) + TIME(16,30,22)</f>
        <v>40306.687754629631</v>
      </c>
      <c r="C187">
        <v>80</v>
      </c>
      <c r="D187">
        <v>79.953201293999996</v>
      </c>
      <c r="E187">
        <v>40</v>
      </c>
      <c r="F187">
        <v>14.999492645</v>
      </c>
      <c r="G187">
        <v>1342.9045410000001</v>
      </c>
      <c r="H187">
        <v>1339.8936768000001</v>
      </c>
      <c r="I187">
        <v>1320.1499022999999</v>
      </c>
      <c r="J187">
        <v>1315.6218262</v>
      </c>
      <c r="K187">
        <v>2750</v>
      </c>
      <c r="L187">
        <v>0</v>
      </c>
      <c r="M187">
        <v>0</v>
      </c>
      <c r="N187">
        <v>2750</v>
      </c>
    </row>
    <row r="188" spans="1:14" x14ac:dyDescent="0.25">
      <c r="A188">
        <v>7.8105409999999997</v>
      </c>
      <c r="B188" s="1">
        <f>DATE(2010,5,8) + TIME(19,27,10)</f>
        <v>40306.810532407406</v>
      </c>
      <c r="C188">
        <v>80</v>
      </c>
      <c r="D188">
        <v>79.953193665000001</v>
      </c>
      <c r="E188">
        <v>40</v>
      </c>
      <c r="F188">
        <v>14.999494553</v>
      </c>
      <c r="G188">
        <v>1342.8918457</v>
      </c>
      <c r="H188">
        <v>1339.8830565999999</v>
      </c>
      <c r="I188">
        <v>1320.1501464999999</v>
      </c>
      <c r="J188">
        <v>1315.6220702999999</v>
      </c>
      <c r="K188">
        <v>2750</v>
      </c>
      <c r="L188">
        <v>0</v>
      </c>
      <c r="M188">
        <v>0</v>
      </c>
      <c r="N188">
        <v>2750</v>
      </c>
    </row>
    <row r="189" spans="1:14" x14ac:dyDescent="0.25">
      <c r="A189">
        <v>7.9359460000000004</v>
      </c>
      <c r="B189" s="1">
        <f>DATE(2010,5,8) + TIME(22,27,45)</f>
        <v>40306.935937499999</v>
      </c>
      <c r="C189">
        <v>80</v>
      </c>
      <c r="D189">
        <v>79.953178406000006</v>
      </c>
      <c r="E189">
        <v>40</v>
      </c>
      <c r="F189">
        <v>14.99949646</v>
      </c>
      <c r="G189">
        <v>1342.8789062000001</v>
      </c>
      <c r="H189">
        <v>1339.8724365</v>
      </c>
      <c r="I189">
        <v>1320.1505127</v>
      </c>
      <c r="J189">
        <v>1315.6223144999999</v>
      </c>
      <c r="K189">
        <v>2750</v>
      </c>
      <c r="L189">
        <v>0</v>
      </c>
      <c r="M189">
        <v>0</v>
      </c>
      <c r="N189">
        <v>2750</v>
      </c>
    </row>
    <row r="190" spans="1:14" x14ac:dyDescent="0.25">
      <c r="A190">
        <v>8.0639540000000007</v>
      </c>
      <c r="B190" s="1">
        <f>DATE(2010,5,9) + TIME(1,32,5)</f>
        <v>40307.063946759263</v>
      </c>
      <c r="C190">
        <v>80</v>
      </c>
      <c r="D190">
        <v>79.953163146999998</v>
      </c>
      <c r="E190">
        <v>40</v>
      </c>
      <c r="F190">
        <v>14.999498366999999</v>
      </c>
      <c r="G190">
        <v>1342.8660889</v>
      </c>
      <c r="H190">
        <v>1339.8616943</v>
      </c>
      <c r="I190">
        <v>1320.1507568</v>
      </c>
      <c r="J190">
        <v>1315.6225586</v>
      </c>
      <c r="K190">
        <v>2750</v>
      </c>
      <c r="L190">
        <v>0</v>
      </c>
      <c r="M190">
        <v>0</v>
      </c>
      <c r="N190">
        <v>2750</v>
      </c>
    </row>
    <row r="191" spans="1:14" x14ac:dyDescent="0.25">
      <c r="A191">
        <v>8.194331</v>
      </c>
      <c r="B191" s="1">
        <f>DATE(2010,5,9) + TIME(4,39,50)</f>
        <v>40307.194328703707</v>
      </c>
      <c r="C191">
        <v>80</v>
      </c>
      <c r="D191">
        <v>79.953147888000004</v>
      </c>
      <c r="E191">
        <v>40</v>
      </c>
      <c r="F191">
        <v>14.999500275000001</v>
      </c>
      <c r="G191">
        <v>1342.8530272999999</v>
      </c>
      <c r="H191">
        <v>1339.8509521000001</v>
      </c>
      <c r="I191">
        <v>1320.151001</v>
      </c>
      <c r="J191">
        <v>1315.6228027</v>
      </c>
      <c r="K191">
        <v>2750</v>
      </c>
      <c r="L191">
        <v>0</v>
      </c>
      <c r="M191">
        <v>0</v>
      </c>
      <c r="N191">
        <v>2750</v>
      </c>
    </row>
    <row r="192" spans="1:14" x14ac:dyDescent="0.25">
      <c r="A192">
        <v>8.3273279999999996</v>
      </c>
      <c r="B192" s="1">
        <f>DATE(2010,5,9) + TIME(7,51,21)</f>
        <v>40307.327326388891</v>
      </c>
      <c r="C192">
        <v>80</v>
      </c>
      <c r="D192">
        <v>79.953125</v>
      </c>
      <c r="E192">
        <v>40</v>
      </c>
      <c r="F192">
        <v>14.999502182000001</v>
      </c>
      <c r="G192">
        <v>1342.8399658000001</v>
      </c>
      <c r="H192">
        <v>1339.8402100000001</v>
      </c>
      <c r="I192">
        <v>1320.1513672000001</v>
      </c>
      <c r="J192">
        <v>1315.6230469</v>
      </c>
      <c r="K192">
        <v>2750</v>
      </c>
      <c r="L192">
        <v>0</v>
      </c>
      <c r="M192">
        <v>0</v>
      </c>
      <c r="N192">
        <v>2750</v>
      </c>
    </row>
    <row r="193" spans="1:14" x14ac:dyDescent="0.25">
      <c r="A193">
        <v>8.3952799999999996</v>
      </c>
      <c r="B193" s="1">
        <f>DATE(2010,5,9) + TIME(9,29,12)</f>
        <v>40307.395277777781</v>
      </c>
      <c r="C193">
        <v>80</v>
      </c>
      <c r="D193">
        <v>79.953117371000005</v>
      </c>
      <c r="E193">
        <v>40</v>
      </c>
      <c r="F193">
        <v>14.999503136</v>
      </c>
      <c r="G193">
        <v>1342.8265381000001</v>
      </c>
      <c r="H193">
        <v>1339.8291016000001</v>
      </c>
      <c r="I193">
        <v>1320.1516113</v>
      </c>
      <c r="J193">
        <v>1315.6232910000001</v>
      </c>
      <c r="K193">
        <v>2750</v>
      </c>
      <c r="L193">
        <v>0</v>
      </c>
      <c r="M193">
        <v>0</v>
      </c>
      <c r="N193">
        <v>2750</v>
      </c>
    </row>
    <row r="194" spans="1:14" x14ac:dyDescent="0.25">
      <c r="A194">
        <v>8.4632330000000007</v>
      </c>
      <c r="B194" s="1">
        <f>DATE(2010,5,9) + TIME(11,7,3)</f>
        <v>40307.463229166664</v>
      </c>
      <c r="C194">
        <v>80</v>
      </c>
      <c r="D194">
        <v>79.953102111999996</v>
      </c>
      <c r="E194">
        <v>40</v>
      </c>
      <c r="F194">
        <v>14.999504089</v>
      </c>
      <c r="G194">
        <v>1342.8198242000001</v>
      </c>
      <c r="H194">
        <v>1339.8236084</v>
      </c>
      <c r="I194">
        <v>1320.1517334</v>
      </c>
      <c r="J194">
        <v>1315.6234131000001</v>
      </c>
      <c r="K194">
        <v>2750</v>
      </c>
      <c r="L194">
        <v>0</v>
      </c>
      <c r="M194">
        <v>0</v>
      </c>
      <c r="N194">
        <v>2750</v>
      </c>
    </row>
    <row r="195" spans="1:14" x14ac:dyDescent="0.25">
      <c r="A195">
        <v>8.5311859999999999</v>
      </c>
      <c r="B195" s="1">
        <f>DATE(2010,5,9) + TIME(12,44,54)</f>
        <v>40307.531180555554</v>
      </c>
      <c r="C195">
        <v>80</v>
      </c>
      <c r="D195">
        <v>79.953086853000002</v>
      </c>
      <c r="E195">
        <v>40</v>
      </c>
      <c r="F195">
        <v>14.999505042999999</v>
      </c>
      <c r="G195">
        <v>1342.8132324000001</v>
      </c>
      <c r="H195">
        <v>1339.8182373</v>
      </c>
      <c r="I195">
        <v>1320.1519774999999</v>
      </c>
      <c r="J195">
        <v>1315.6235352000001</v>
      </c>
      <c r="K195">
        <v>2750</v>
      </c>
      <c r="L195">
        <v>0</v>
      </c>
      <c r="M195">
        <v>0</v>
      </c>
      <c r="N195">
        <v>2750</v>
      </c>
    </row>
    <row r="196" spans="1:14" x14ac:dyDescent="0.25">
      <c r="A196">
        <v>8.5991389999999992</v>
      </c>
      <c r="B196" s="1">
        <f>DATE(2010,5,9) + TIME(14,22,45)</f>
        <v>40307.599131944444</v>
      </c>
      <c r="C196">
        <v>80</v>
      </c>
      <c r="D196">
        <v>79.953079224000007</v>
      </c>
      <c r="E196">
        <v>40</v>
      </c>
      <c r="F196">
        <v>14.999506950000001</v>
      </c>
      <c r="G196">
        <v>1342.8067627</v>
      </c>
      <c r="H196">
        <v>1339.8128661999999</v>
      </c>
      <c r="I196">
        <v>1320.1520995999999</v>
      </c>
      <c r="J196">
        <v>1315.6236572</v>
      </c>
      <c r="K196">
        <v>2750</v>
      </c>
      <c r="L196">
        <v>0</v>
      </c>
      <c r="M196">
        <v>0</v>
      </c>
      <c r="N196">
        <v>2750</v>
      </c>
    </row>
    <row r="197" spans="1:14" x14ac:dyDescent="0.25">
      <c r="A197">
        <v>8.6670920000000002</v>
      </c>
      <c r="B197" s="1">
        <f>DATE(2010,5,9) + TIME(16,0,36)</f>
        <v>40307.667083333334</v>
      </c>
      <c r="C197">
        <v>80</v>
      </c>
      <c r="D197">
        <v>79.953063964999998</v>
      </c>
      <c r="E197">
        <v>40</v>
      </c>
      <c r="F197">
        <v>14.999507904</v>
      </c>
      <c r="G197">
        <v>1342.8001709</v>
      </c>
      <c r="H197">
        <v>1339.8076172000001</v>
      </c>
      <c r="I197">
        <v>1320.1522216999999</v>
      </c>
      <c r="J197">
        <v>1315.6237793</v>
      </c>
      <c r="K197">
        <v>2750</v>
      </c>
      <c r="L197">
        <v>0</v>
      </c>
      <c r="M197">
        <v>0</v>
      </c>
      <c r="N197">
        <v>2750</v>
      </c>
    </row>
    <row r="198" spans="1:14" x14ac:dyDescent="0.25">
      <c r="A198">
        <v>8.7350449999999995</v>
      </c>
      <c r="B198" s="1">
        <f>DATE(2010,5,9) + TIME(17,38,27)</f>
        <v>40307.735034722224</v>
      </c>
      <c r="C198">
        <v>80</v>
      </c>
      <c r="D198">
        <v>79.953048706000004</v>
      </c>
      <c r="E198">
        <v>40</v>
      </c>
      <c r="F198">
        <v>14.999508858</v>
      </c>
      <c r="G198">
        <v>1342.7937012</v>
      </c>
      <c r="H198">
        <v>1339.8022461</v>
      </c>
      <c r="I198">
        <v>1320.1523437999999</v>
      </c>
      <c r="J198">
        <v>1315.6239014</v>
      </c>
      <c r="K198">
        <v>2750</v>
      </c>
      <c r="L198">
        <v>0</v>
      </c>
      <c r="M198">
        <v>0</v>
      </c>
      <c r="N198">
        <v>2750</v>
      </c>
    </row>
    <row r="199" spans="1:14" x14ac:dyDescent="0.25">
      <c r="A199">
        <v>8.8029980000000005</v>
      </c>
      <c r="B199" s="1">
        <f>DATE(2010,5,9) + TIME(19,16,19)</f>
        <v>40307.802997685183</v>
      </c>
      <c r="C199">
        <v>80</v>
      </c>
      <c r="D199">
        <v>79.953041076999995</v>
      </c>
      <c r="E199">
        <v>40</v>
      </c>
      <c r="F199">
        <v>14.999509810999999</v>
      </c>
      <c r="G199">
        <v>1342.7873535000001</v>
      </c>
      <c r="H199">
        <v>1339.7971190999999</v>
      </c>
      <c r="I199">
        <v>1320.1525879000001</v>
      </c>
      <c r="J199">
        <v>1315.6240233999999</v>
      </c>
      <c r="K199">
        <v>2750</v>
      </c>
      <c r="L199">
        <v>0</v>
      </c>
      <c r="M199">
        <v>0</v>
      </c>
      <c r="N199">
        <v>2750</v>
      </c>
    </row>
    <row r="200" spans="1:14" x14ac:dyDescent="0.25">
      <c r="A200">
        <v>8.8709509999999998</v>
      </c>
      <c r="B200" s="1">
        <f>DATE(2010,5,9) + TIME(20,54,10)</f>
        <v>40307.870949074073</v>
      </c>
      <c r="C200">
        <v>80</v>
      </c>
      <c r="D200">
        <v>79.953025818</v>
      </c>
      <c r="E200">
        <v>40</v>
      </c>
      <c r="F200">
        <v>14.999510765</v>
      </c>
      <c r="G200">
        <v>1342.7808838000001</v>
      </c>
      <c r="H200">
        <v>1339.7918701000001</v>
      </c>
      <c r="I200">
        <v>1320.1527100000001</v>
      </c>
      <c r="J200">
        <v>1315.6241454999999</v>
      </c>
      <c r="K200">
        <v>2750</v>
      </c>
      <c r="L200">
        <v>0</v>
      </c>
      <c r="M200">
        <v>0</v>
      </c>
      <c r="N200">
        <v>2750</v>
      </c>
    </row>
    <row r="201" spans="1:14" x14ac:dyDescent="0.25">
      <c r="A201">
        <v>8.9389040000000008</v>
      </c>
      <c r="B201" s="1">
        <f>DATE(2010,5,9) + TIME(22,32,1)</f>
        <v>40307.938900462963</v>
      </c>
      <c r="C201">
        <v>80</v>
      </c>
      <c r="D201">
        <v>79.953010559000006</v>
      </c>
      <c r="E201">
        <v>40</v>
      </c>
      <c r="F201">
        <v>14.999511718999999</v>
      </c>
      <c r="G201">
        <v>1342.7746582</v>
      </c>
      <c r="H201">
        <v>1339.7867432</v>
      </c>
      <c r="I201">
        <v>1320.152832</v>
      </c>
      <c r="J201">
        <v>1315.6242675999999</v>
      </c>
      <c r="K201">
        <v>2750</v>
      </c>
      <c r="L201">
        <v>0</v>
      </c>
      <c r="M201">
        <v>0</v>
      </c>
      <c r="N201">
        <v>2750</v>
      </c>
    </row>
    <row r="202" spans="1:14" x14ac:dyDescent="0.25">
      <c r="A202">
        <v>9.0068570000000001</v>
      </c>
      <c r="B202" s="1">
        <f>DATE(2010,5,10) + TIME(0,9,52)</f>
        <v>40308.006851851853</v>
      </c>
      <c r="C202">
        <v>80</v>
      </c>
      <c r="D202">
        <v>79.953002929999997</v>
      </c>
      <c r="E202">
        <v>40</v>
      </c>
      <c r="F202">
        <v>14.999512672</v>
      </c>
      <c r="G202">
        <v>1342.7683105000001</v>
      </c>
      <c r="H202">
        <v>1339.7816161999999</v>
      </c>
      <c r="I202">
        <v>1320.1529541</v>
      </c>
      <c r="J202">
        <v>1315.6243896000001</v>
      </c>
      <c r="K202">
        <v>2750</v>
      </c>
      <c r="L202">
        <v>0</v>
      </c>
      <c r="M202">
        <v>0</v>
      </c>
      <c r="N202">
        <v>2750</v>
      </c>
    </row>
    <row r="203" spans="1:14" x14ac:dyDescent="0.25">
      <c r="A203">
        <v>9.0748099999999994</v>
      </c>
      <c r="B203" s="1">
        <f>DATE(2010,5,10) + TIME(1,47,43)</f>
        <v>40308.074803240743</v>
      </c>
      <c r="C203">
        <v>80</v>
      </c>
      <c r="D203">
        <v>79.952987671000002</v>
      </c>
      <c r="E203">
        <v>40</v>
      </c>
      <c r="F203">
        <v>14.999513626000001</v>
      </c>
      <c r="G203">
        <v>1342.7620850000001</v>
      </c>
      <c r="H203">
        <v>1339.7766113</v>
      </c>
      <c r="I203">
        <v>1320.1531981999999</v>
      </c>
      <c r="J203">
        <v>1315.6245117000001</v>
      </c>
      <c r="K203">
        <v>2750</v>
      </c>
      <c r="L203">
        <v>0</v>
      </c>
      <c r="M203">
        <v>0</v>
      </c>
      <c r="N203">
        <v>2750</v>
      </c>
    </row>
    <row r="204" spans="1:14" x14ac:dyDescent="0.25">
      <c r="A204">
        <v>9.1427630000000004</v>
      </c>
      <c r="B204" s="1">
        <f>DATE(2010,5,10) + TIME(3,25,34)</f>
        <v>40308.142754629633</v>
      </c>
      <c r="C204">
        <v>80</v>
      </c>
      <c r="D204">
        <v>79.952972411999994</v>
      </c>
      <c r="E204">
        <v>40</v>
      </c>
      <c r="F204">
        <v>14.99951458</v>
      </c>
      <c r="G204">
        <v>1342.7558594</v>
      </c>
      <c r="H204">
        <v>1339.7716064000001</v>
      </c>
      <c r="I204">
        <v>1320.1533202999999</v>
      </c>
      <c r="J204">
        <v>1315.6246338000001</v>
      </c>
      <c r="K204">
        <v>2750</v>
      </c>
      <c r="L204">
        <v>0</v>
      </c>
      <c r="M204">
        <v>0</v>
      </c>
      <c r="N204">
        <v>2750</v>
      </c>
    </row>
    <row r="205" spans="1:14" x14ac:dyDescent="0.25">
      <c r="A205">
        <v>9.2107159999999997</v>
      </c>
      <c r="B205" s="1">
        <f>DATE(2010,5,10) + TIME(5,3,25)</f>
        <v>40308.210706018515</v>
      </c>
      <c r="C205">
        <v>80</v>
      </c>
      <c r="D205">
        <v>79.952964782999999</v>
      </c>
      <c r="E205">
        <v>40</v>
      </c>
      <c r="F205">
        <v>14.999515533</v>
      </c>
      <c r="G205">
        <v>1342.7496338000001</v>
      </c>
      <c r="H205">
        <v>1339.7666016000001</v>
      </c>
      <c r="I205">
        <v>1320.1534423999999</v>
      </c>
      <c r="J205">
        <v>1315.6247559000001</v>
      </c>
      <c r="K205">
        <v>2750</v>
      </c>
      <c r="L205">
        <v>0</v>
      </c>
      <c r="M205">
        <v>0</v>
      </c>
      <c r="N205">
        <v>2750</v>
      </c>
    </row>
    <row r="206" spans="1:14" x14ac:dyDescent="0.25">
      <c r="A206">
        <v>9.2786690000000007</v>
      </c>
      <c r="B206" s="1">
        <f>DATE(2010,5,10) + TIME(6,41,17)</f>
        <v>40308.278668981482</v>
      </c>
      <c r="C206">
        <v>80</v>
      </c>
      <c r="D206">
        <v>79.952949524000005</v>
      </c>
      <c r="E206">
        <v>40</v>
      </c>
      <c r="F206">
        <v>14.999516486999999</v>
      </c>
      <c r="G206">
        <v>1342.7435303</v>
      </c>
      <c r="H206">
        <v>1339.7615966999999</v>
      </c>
      <c r="I206">
        <v>1320.1536865</v>
      </c>
      <c r="J206">
        <v>1315.6248779</v>
      </c>
      <c r="K206">
        <v>2750</v>
      </c>
      <c r="L206">
        <v>0</v>
      </c>
      <c r="M206">
        <v>0</v>
      </c>
      <c r="N206">
        <v>2750</v>
      </c>
    </row>
    <row r="207" spans="1:14" x14ac:dyDescent="0.25">
      <c r="A207">
        <v>9.4145749999999992</v>
      </c>
      <c r="B207" s="1">
        <f>DATE(2010,5,10) + TIME(9,56,59)</f>
        <v>40308.414571759262</v>
      </c>
      <c r="C207">
        <v>80</v>
      </c>
      <c r="D207">
        <v>79.952934264999996</v>
      </c>
      <c r="E207">
        <v>40</v>
      </c>
      <c r="F207">
        <v>14.999518394000001</v>
      </c>
      <c r="G207">
        <v>1342.7376709</v>
      </c>
      <c r="H207">
        <v>1339.7570800999999</v>
      </c>
      <c r="I207">
        <v>1320.1538086</v>
      </c>
      <c r="J207">
        <v>1315.6251221</v>
      </c>
      <c r="K207">
        <v>2750</v>
      </c>
      <c r="L207">
        <v>0</v>
      </c>
      <c r="M207">
        <v>0</v>
      </c>
      <c r="N207">
        <v>2750</v>
      </c>
    </row>
    <row r="208" spans="1:14" x14ac:dyDescent="0.25">
      <c r="A208">
        <v>9.5508430000000004</v>
      </c>
      <c r="B208" s="1">
        <f>DATE(2010,5,10) + TIME(13,13,12)</f>
        <v>40308.550833333335</v>
      </c>
      <c r="C208">
        <v>80</v>
      </c>
      <c r="D208">
        <v>79.952911377000007</v>
      </c>
      <c r="E208">
        <v>40</v>
      </c>
      <c r="F208">
        <v>14.999519348</v>
      </c>
      <c r="G208">
        <v>1342.7255858999999</v>
      </c>
      <c r="H208">
        <v>1339.7474365</v>
      </c>
      <c r="I208">
        <v>1320.1541748</v>
      </c>
      <c r="J208">
        <v>1315.6253661999999</v>
      </c>
      <c r="K208">
        <v>2750</v>
      </c>
      <c r="L208">
        <v>0</v>
      </c>
      <c r="M208">
        <v>0</v>
      </c>
      <c r="N208">
        <v>2750</v>
      </c>
    </row>
    <row r="209" spans="1:14" x14ac:dyDescent="0.25">
      <c r="A209">
        <v>9.688326</v>
      </c>
      <c r="B209" s="1">
        <f>DATE(2010,5,10) + TIME(16,31,11)</f>
        <v>40308.688321759262</v>
      </c>
      <c r="C209">
        <v>80</v>
      </c>
      <c r="D209">
        <v>79.952880859000004</v>
      </c>
      <c r="E209">
        <v>40</v>
      </c>
      <c r="F209">
        <v>14.999521254999999</v>
      </c>
      <c r="G209">
        <v>1342.7137451000001</v>
      </c>
      <c r="H209">
        <v>1339.7379149999999</v>
      </c>
      <c r="I209">
        <v>1320.1544189000001</v>
      </c>
      <c r="J209">
        <v>1315.6256103999999</v>
      </c>
      <c r="K209">
        <v>2750</v>
      </c>
      <c r="L209">
        <v>0</v>
      </c>
      <c r="M209">
        <v>0</v>
      </c>
      <c r="N209">
        <v>2750</v>
      </c>
    </row>
    <row r="210" spans="1:14" x14ac:dyDescent="0.25">
      <c r="A210">
        <v>9.8272600000000008</v>
      </c>
      <c r="B210" s="1">
        <f>DATE(2010,5,10) + TIME(19,51,15)</f>
        <v>40308.827256944445</v>
      </c>
      <c r="C210">
        <v>80</v>
      </c>
      <c r="D210">
        <v>79.952857971</v>
      </c>
      <c r="E210">
        <v>40</v>
      </c>
      <c r="F210">
        <v>14.999523162999999</v>
      </c>
      <c r="G210">
        <v>1342.7017822</v>
      </c>
      <c r="H210">
        <v>1339.7283935999999</v>
      </c>
      <c r="I210">
        <v>1320.1547852000001</v>
      </c>
      <c r="J210">
        <v>1315.6258545000001</v>
      </c>
      <c r="K210">
        <v>2750</v>
      </c>
      <c r="L210">
        <v>0</v>
      </c>
      <c r="M210">
        <v>0</v>
      </c>
      <c r="N210">
        <v>2750</v>
      </c>
    </row>
    <row r="211" spans="1:14" x14ac:dyDescent="0.25">
      <c r="A211">
        <v>9.9678950000000004</v>
      </c>
      <c r="B211" s="1">
        <f>DATE(2010,5,10) + TIME(23,13,46)</f>
        <v>40308.967893518522</v>
      </c>
      <c r="C211">
        <v>80</v>
      </c>
      <c r="D211">
        <v>79.952835082999997</v>
      </c>
      <c r="E211">
        <v>40</v>
      </c>
      <c r="F211">
        <v>14.999525070000001</v>
      </c>
      <c r="G211">
        <v>1342.6899414</v>
      </c>
      <c r="H211">
        <v>1339.7189940999999</v>
      </c>
      <c r="I211">
        <v>1320.1550293</v>
      </c>
      <c r="J211">
        <v>1315.6260986</v>
      </c>
      <c r="K211">
        <v>2750</v>
      </c>
      <c r="L211">
        <v>0</v>
      </c>
      <c r="M211">
        <v>0</v>
      </c>
      <c r="N211">
        <v>2750</v>
      </c>
    </row>
    <row r="212" spans="1:14" x14ac:dyDescent="0.25">
      <c r="A212">
        <v>10.110488999999999</v>
      </c>
      <c r="B212" s="1">
        <f>DATE(2010,5,11) + TIME(2,39,6)</f>
        <v>40309.110486111109</v>
      </c>
      <c r="C212">
        <v>80</v>
      </c>
      <c r="D212">
        <v>79.952804564999994</v>
      </c>
      <c r="E212">
        <v>40</v>
      </c>
      <c r="F212">
        <v>14.999526978</v>
      </c>
      <c r="G212">
        <v>1342.6781006000001</v>
      </c>
      <c r="H212">
        <v>1339.7095947</v>
      </c>
      <c r="I212">
        <v>1320.1553954999999</v>
      </c>
      <c r="J212">
        <v>1315.6263428</v>
      </c>
      <c r="K212">
        <v>2750</v>
      </c>
      <c r="L212">
        <v>0</v>
      </c>
      <c r="M212">
        <v>0</v>
      </c>
      <c r="N212">
        <v>2750</v>
      </c>
    </row>
    <row r="213" spans="1:14" x14ac:dyDescent="0.25">
      <c r="A213">
        <v>10.255316000000001</v>
      </c>
      <c r="B213" s="1">
        <f>DATE(2010,5,11) + TIME(6,7,39)</f>
        <v>40309.255312499998</v>
      </c>
      <c r="C213">
        <v>80</v>
      </c>
      <c r="D213">
        <v>79.952781677000004</v>
      </c>
      <c r="E213">
        <v>40</v>
      </c>
      <c r="F213">
        <v>14.999528885</v>
      </c>
      <c r="G213">
        <v>1342.6662598</v>
      </c>
      <c r="H213">
        <v>1339.7001952999999</v>
      </c>
      <c r="I213">
        <v>1320.1557617000001</v>
      </c>
      <c r="J213">
        <v>1315.6267089999999</v>
      </c>
      <c r="K213">
        <v>2750</v>
      </c>
      <c r="L213">
        <v>0</v>
      </c>
      <c r="M213">
        <v>0</v>
      </c>
      <c r="N213">
        <v>2750</v>
      </c>
    </row>
    <row r="214" spans="1:14" x14ac:dyDescent="0.25">
      <c r="A214">
        <v>10.402725999999999</v>
      </c>
      <c r="B214" s="1">
        <f>DATE(2010,5,11) + TIME(9,39,55)</f>
        <v>40309.402719907404</v>
      </c>
      <c r="C214">
        <v>80</v>
      </c>
      <c r="D214">
        <v>79.952751160000005</v>
      </c>
      <c r="E214">
        <v>40</v>
      </c>
      <c r="F214">
        <v>14.999529838999999</v>
      </c>
      <c r="G214">
        <v>1342.6542969</v>
      </c>
      <c r="H214">
        <v>1339.6907959</v>
      </c>
      <c r="I214">
        <v>1320.1561279</v>
      </c>
      <c r="J214">
        <v>1315.6269531</v>
      </c>
      <c r="K214">
        <v>2750</v>
      </c>
      <c r="L214">
        <v>0</v>
      </c>
      <c r="M214">
        <v>0</v>
      </c>
      <c r="N214">
        <v>2750</v>
      </c>
    </row>
    <row r="215" spans="1:14" x14ac:dyDescent="0.25">
      <c r="A215">
        <v>10.552967000000001</v>
      </c>
      <c r="B215" s="1">
        <f>DATE(2010,5,11) + TIME(13,16,16)</f>
        <v>40309.55296296296</v>
      </c>
      <c r="C215">
        <v>80</v>
      </c>
      <c r="D215">
        <v>79.952720642000003</v>
      </c>
      <c r="E215">
        <v>40</v>
      </c>
      <c r="F215">
        <v>14.999531746000001</v>
      </c>
      <c r="G215">
        <v>1342.6423339999999</v>
      </c>
      <c r="H215">
        <v>1339.6813964999999</v>
      </c>
      <c r="I215">
        <v>1320.1563721</v>
      </c>
      <c r="J215">
        <v>1315.6271973</v>
      </c>
      <c r="K215">
        <v>2750</v>
      </c>
      <c r="L215">
        <v>0</v>
      </c>
      <c r="M215">
        <v>0</v>
      </c>
      <c r="N215">
        <v>2750</v>
      </c>
    </row>
    <row r="216" spans="1:14" x14ac:dyDescent="0.25">
      <c r="A216">
        <v>10.706367999999999</v>
      </c>
      <c r="B216" s="1">
        <f>DATE(2010,5,11) + TIME(16,57,10)</f>
        <v>40309.706365740742</v>
      </c>
      <c r="C216">
        <v>80</v>
      </c>
      <c r="D216">
        <v>79.952690125000004</v>
      </c>
      <c r="E216">
        <v>40</v>
      </c>
      <c r="F216">
        <v>14.999533653</v>
      </c>
      <c r="G216">
        <v>1342.630249</v>
      </c>
      <c r="H216">
        <v>1339.6719971</v>
      </c>
      <c r="I216">
        <v>1320.1567382999999</v>
      </c>
      <c r="J216">
        <v>1315.6274414</v>
      </c>
      <c r="K216">
        <v>2750</v>
      </c>
      <c r="L216">
        <v>0</v>
      </c>
      <c r="M216">
        <v>0</v>
      </c>
      <c r="N216">
        <v>2750</v>
      </c>
    </row>
    <row r="217" spans="1:14" x14ac:dyDescent="0.25">
      <c r="A217">
        <v>10.862489999999999</v>
      </c>
      <c r="B217" s="1">
        <f>DATE(2010,5,11) + TIME(20,41,59)</f>
        <v>40309.862488425926</v>
      </c>
      <c r="C217">
        <v>80</v>
      </c>
      <c r="D217">
        <v>79.952659607000001</v>
      </c>
      <c r="E217">
        <v>40</v>
      </c>
      <c r="F217">
        <v>14.999535561</v>
      </c>
      <c r="G217">
        <v>1342.6181641000001</v>
      </c>
      <c r="H217">
        <v>1339.6624756000001</v>
      </c>
      <c r="I217">
        <v>1320.1571045000001</v>
      </c>
      <c r="J217">
        <v>1315.6278076000001</v>
      </c>
      <c r="K217">
        <v>2750</v>
      </c>
      <c r="L217">
        <v>0</v>
      </c>
      <c r="M217">
        <v>0</v>
      </c>
      <c r="N217">
        <v>2750</v>
      </c>
    </row>
    <row r="218" spans="1:14" x14ac:dyDescent="0.25">
      <c r="A218">
        <v>11.020985</v>
      </c>
      <c r="B218" s="1">
        <f>DATE(2010,5,12) + TIME(0,30,13)</f>
        <v>40310.020983796298</v>
      </c>
      <c r="C218">
        <v>80</v>
      </c>
      <c r="D218">
        <v>79.952629088999998</v>
      </c>
      <c r="E218">
        <v>40</v>
      </c>
      <c r="F218">
        <v>14.999537468</v>
      </c>
      <c r="G218">
        <v>1342.605957</v>
      </c>
      <c r="H218">
        <v>1339.6529541</v>
      </c>
      <c r="I218">
        <v>1320.1574707</v>
      </c>
      <c r="J218">
        <v>1315.6280518000001</v>
      </c>
      <c r="K218">
        <v>2750</v>
      </c>
      <c r="L218">
        <v>0</v>
      </c>
      <c r="M218">
        <v>0</v>
      </c>
      <c r="N218">
        <v>2750</v>
      </c>
    </row>
    <row r="219" spans="1:14" x14ac:dyDescent="0.25">
      <c r="A219">
        <v>11.101610000000001</v>
      </c>
      <c r="B219" s="1">
        <f>DATE(2010,5,12) + TIME(2,26,19)</f>
        <v>40310.1016087963</v>
      </c>
      <c r="C219">
        <v>80</v>
      </c>
      <c r="D219">
        <v>79.952606200999995</v>
      </c>
      <c r="E219">
        <v>40</v>
      </c>
      <c r="F219">
        <v>14.999538422000001</v>
      </c>
      <c r="G219">
        <v>1342.5935059000001</v>
      </c>
      <c r="H219">
        <v>1339.6433105000001</v>
      </c>
      <c r="I219">
        <v>1320.1578368999999</v>
      </c>
      <c r="J219">
        <v>1315.6282959</v>
      </c>
      <c r="K219">
        <v>2750</v>
      </c>
      <c r="L219">
        <v>0</v>
      </c>
      <c r="M219">
        <v>0</v>
      </c>
      <c r="N219">
        <v>2750</v>
      </c>
    </row>
    <row r="220" spans="1:14" x14ac:dyDescent="0.25">
      <c r="A220">
        <v>11.182235</v>
      </c>
      <c r="B220" s="1">
        <f>DATE(2010,5,12) + TIME(4,22,25)</f>
        <v>40310.182233796295</v>
      </c>
      <c r="C220">
        <v>80</v>
      </c>
      <c r="D220">
        <v>79.952590942</v>
      </c>
      <c r="E220">
        <v>40</v>
      </c>
      <c r="F220">
        <v>14.999539374999999</v>
      </c>
      <c r="G220">
        <v>1342.5874022999999</v>
      </c>
      <c r="H220">
        <v>1339.6384277</v>
      </c>
      <c r="I220">
        <v>1320.1579589999999</v>
      </c>
      <c r="J220">
        <v>1315.628418</v>
      </c>
      <c r="K220">
        <v>2750</v>
      </c>
      <c r="L220">
        <v>0</v>
      </c>
      <c r="M220">
        <v>0</v>
      </c>
      <c r="N220">
        <v>2750</v>
      </c>
    </row>
    <row r="221" spans="1:14" x14ac:dyDescent="0.25">
      <c r="A221">
        <v>11.262860999999999</v>
      </c>
      <c r="B221" s="1">
        <f>DATE(2010,5,12) + TIME(6,18,31)</f>
        <v>40310.262858796297</v>
      </c>
      <c r="C221">
        <v>80</v>
      </c>
      <c r="D221">
        <v>79.952568053999997</v>
      </c>
      <c r="E221">
        <v>40</v>
      </c>
      <c r="F221">
        <v>14.999540329</v>
      </c>
      <c r="G221">
        <v>1342.5812988</v>
      </c>
      <c r="H221">
        <v>1339.6336670000001</v>
      </c>
      <c r="I221">
        <v>1320.1582031</v>
      </c>
      <c r="J221">
        <v>1315.6286620999999</v>
      </c>
      <c r="K221">
        <v>2750</v>
      </c>
      <c r="L221">
        <v>0</v>
      </c>
      <c r="M221">
        <v>0</v>
      </c>
      <c r="N221">
        <v>2750</v>
      </c>
    </row>
    <row r="222" spans="1:14" x14ac:dyDescent="0.25">
      <c r="A222">
        <v>11.343486</v>
      </c>
      <c r="B222" s="1">
        <f>DATE(2010,5,12) + TIME(8,14,37)</f>
        <v>40310.3434837963</v>
      </c>
      <c r="C222">
        <v>80</v>
      </c>
      <c r="D222">
        <v>79.952552795000003</v>
      </c>
      <c r="E222">
        <v>40</v>
      </c>
      <c r="F222">
        <v>14.999541282999999</v>
      </c>
      <c r="G222">
        <v>1342.5751952999999</v>
      </c>
      <c r="H222">
        <v>1339.6290283000001</v>
      </c>
      <c r="I222">
        <v>1320.1583252</v>
      </c>
      <c r="J222">
        <v>1315.6287841999999</v>
      </c>
      <c r="K222">
        <v>2750</v>
      </c>
      <c r="L222">
        <v>0</v>
      </c>
      <c r="M222">
        <v>0</v>
      </c>
      <c r="N222">
        <v>2750</v>
      </c>
    </row>
    <row r="223" spans="1:14" x14ac:dyDescent="0.25">
      <c r="A223">
        <v>11.424111</v>
      </c>
      <c r="B223" s="1">
        <f>DATE(2010,5,12) + TIME(10,10,43)</f>
        <v>40310.424108796295</v>
      </c>
      <c r="C223">
        <v>80</v>
      </c>
      <c r="D223">
        <v>79.952537536999998</v>
      </c>
      <c r="E223">
        <v>40</v>
      </c>
      <c r="F223">
        <v>14.999542236</v>
      </c>
      <c r="G223">
        <v>1342.5690918</v>
      </c>
      <c r="H223">
        <v>1339.6242675999999</v>
      </c>
      <c r="I223">
        <v>1320.1585693</v>
      </c>
      <c r="J223">
        <v>1315.6289062000001</v>
      </c>
      <c r="K223">
        <v>2750</v>
      </c>
      <c r="L223">
        <v>0</v>
      </c>
      <c r="M223">
        <v>0</v>
      </c>
      <c r="N223">
        <v>2750</v>
      </c>
    </row>
    <row r="224" spans="1:14" x14ac:dyDescent="0.25">
      <c r="A224">
        <v>11.504737</v>
      </c>
      <c r="B224" s="1">
        <f>DATE(2010,5,12) + TIME(12,6,49)</f>
        <v>40310.504733796297</v>
      </c>
      <c r="C224">
        <v>80</v>
      </c>
      <c r="D224">
        <v>79.952514648000005</v>
      </c>
      <c r="E224">
        <v>40</v>
      </c>
      <c r="F224">
        <v>14.999543190000001</v>
      </c>
      <c r="G224">
        <v>1342.5631103999999</v>
      </c>
      <c r="H224">
        <v>1339.6196289</v>
      </c>
      <c r="I224">
        <v>1320.1586914</v>
      </c>
      <c r="J224">
        <v>1315.6290283000001</v>
      </c>
      <c r="K224">
        <v>2750</v>
      </c>
      <c r="L224">
        <v>0</v>
      </c>
      <c r="M224">
        <v>0</v>
      </c>
      <c r="N224">
        <v>2750</v>
      </c>
    </row>
    <row r="225" spans="1:14" x14ac:dyDescent="0.25">
      <c r="A225">
        <v>11.585362</v>
      </c>
      <c r="B225" s="1">
        <f>DATE(2010,5,12) + TIME(14,2,55)</f>
        <v>40310.585358796299</v>
      </c>
      <c r="C225">
        <v>80</v>
      </c>
      <c r="D225">
        <v>79.95249939</v>
      </c>
      <c r="E225">
        <v>40</v>
      </c>
      <c r="F225">
        <v>14.999544144</v>
      </c>
      <c r="G225">
        <v>1342.5571289</v>
      </c>
      <c r="H225">
        <v>1339.6151123</v>
      </c>
      <c r="I225">
        <v>1320.1589355000001</v>
      </c>
      <c r="J225">
        <v>1315.6292725000001</v>
      </c>
      <c r="K225">
        <v>2750</v>
      </c>
      <c r="L225">
        <v>0</v>
      </c>
      <c r="M225">
        <v>0</v>
      </c>
      <c r="N225">
        <v>2750</v>
      </c>
    </row>
    <row r="226" spans="1:14" x14ac:dyDescent="0.25">
      <c r="A226">
        <v>11.665986999999999</v>
      </c>
      <c r="B226" s="1">
        <f>DATE(2010,5,12) + TIME(15,59,1)</f>
        <v>40310.665983796294</v>
      </c>
      <c r="C226">
        <v>80</v>
      </c>
      <c r="D226">
        <v>79.952484131000006</v>
      </c>
      <c r="E226">
        <v>40</v>
      </c>
      <c r="F226">
        <v>14.999545097</v>
      </c>
      <c r="G226">
        <v>1342.5512695</v>
      </c>
      <c r="H226">
        <v>1339.6104736</v>
      </c>
      <c r="I226">
        <v>1320.1590576000001</v>
      </c>
      <c r="J226">
        <v>1315.6293945</v>
      </c>
      <c r="K226">
        <v>2750</v>
      </c>
      <c r="L226">
        <v>0</v>
      </c>
      <c r="M226">
        <v>0</v>
      </c>
      <c r="N226">
        <v>2750</v>
      </c>
    </row>
    <row r="227" spans="1:14" x14ac:dyDescent="0.25">
      <c r="A227">
        <v>11.746613</v>
      </c>
      <c r="B227" s="1">
        <f>DATE(2010,5,12) + TIME(17,55,7)</f>
        <v>40310.746608796297</v>
      </c>
      <c r="C227">
        <v>80</v>
      </c>
      <c r="D227">
        <v>79.952468871999997</v>
      </c>
      <c r="E227">
        <v>40</v>
      </c>
      <c r="F227">
        <v>14.999546050999999</v>
      </c>
      <c r="G227">
        <v>1342.5454102000001</v>
      </c>
      <c r="H227">
        <v>1339.605957</v>
      </c>
      <c r="I227">
        <v>1320.1593018000001</v>
      </c>
      <c r="J227">
        <v>1315.6295166</v>
      </c>
      <c r="K227">
        <v>2750</v>
      </c>
      <c r="L227">
        <v>0</v>
      </c>
      <c r="M227">
        <v>0</v>
      </c>
      <c r="N227">
        <v>2750</v>
      </c>
    </row>
    <row r="228" spans="1:14" x14ac:dyDescent="0.25">
      <c r="A228">
        <v>11.827237999999999</v>
      </c>
      <c r="B228" s="1">
        <f>DATE(2010,5,12) + TIME(19,51,13)</f>
        <v>40310.827233796299</v>
      </c>
      <c r="C228">
        <v>80</v>
      </c>
      <c r="D228">
        <v>79.952445983999993</v>
      </c>
      <c r="E228">
        <v>40</v>
      </c>
      <c r="F228">
        <v>14.999547005</v>
      </c>
      <c r="G228">
        <v>1342.5395507999999</v>
      </c>
      <c r="H228">
        <v>1339.6014404</v>
      </c>
      <c r="I228">
        <v>1320.1594238</v>
      </c>
      <c r="J228">
        <v>1315.6296387</v>
      </c>
      <c r="K228">
        <v>2750</v>
      </c>
      <c r="L228">
        <v>0</v>
      </c>
      <c r="M228">
        <v>0</v>
      </c>
      <c r="N228">
        <v>2750</v>
      </c>
    </row>
    <row r="229" spans="1:14" x14ac:dyDescent="0.25">
      <c r="A229">
        <v>11.907863000000001</v>
      </c>
      <c r="B229" s="1">
        <f>DATE(2010,5,12) + TIME(21,47,19)</f>
        <v>40310.907858796294</v>
      </c>
      <c r="C229">
        <v>80</v>
      </c>
      <c r="D229">
        <v>79.952430724999999</v>
      </c>
      <c r="E229">
        <v>40</v>
      </c>
      <c r="F229">
        <v>14.999547958000001</v>
      </c>
      <c r="G229">
        <v>1342.5336914</v>
      </c>
      <c r="H229">
        <v>1339.5969238</v>
      </c>
      <c r="I229">
        <v>1320.159668</v>
      </c>
      <c r="J229">
        <v>1315.6298827999999</v>
      </c>
      <c r="K229">
        <v>2750</v>
      </c>
      <c r="L229">
        <v>0</v>
      </c>
      <c r="M229">
        <v>0</v>
      </c>
      <c r="N229">
        <v>2750</v>
      </c>
    </row>
    <row r="230" spans="1:14" x14ac:dyDescent="0.25">
      <c r="A230">
        <v>11.988489</v>
      </c>
      <c r="B230" s="1">
        <f>DATE(2010,5,12) + TIME(23,43,25)</f>
        <v>40310.988483796296</v>
      </c>
      <c r="C230">
        <v>80</v>
      </c>
      <c r="D230">
        <v>79.952415466000005</v>
      </c>
      <c r="E230">
        <v>40</v>
      </c>
      <c r="F230">
        <v>14.999548912</v>
      </c>
      <c r="G230">
        <v>1342.5279541</v>
      </c>
      <c r="H230">
        <v>1339.5925293</v>
      </c>
      <c r="I230">
        <v>1320.1597899999999</v>
      </c>
      <c r="J230">
        <v>1315.6300048999999</v>
      </c>
      <c r="K230">
        <v>2750</v>
      </c>
      <c r="L230">
        <v>0</v>
      </c>
      <c r="M230">
        <v>0</v>
      </c>
      <c r="N230">
        <v>2750</v>
      </c>
    </row>
    <row r="231" spans="1:14" x14ac:dyDescent="0.25">
      <c r="A231">
        <v>12.069114000000001</v>
      </c>
      <c r="B231" s="1">
        <f>DATE(2010,5,13) + TIME(1,39,31)</f>
        <v>40311.069108796299</v>
      </c>
      <c r="C231">
        <v>80</v>
      </c>
      <c r="D231">
        <v>79.952400208</v>
      </c>
      <c r="E231">
        <v>40</v>
      </c>
      <c r="F231">
        <v>14.999549866000001</v>
      </c>
      <c r="G231">
        <v>1342.5222168</v>
      </c>
      <c r="H231">
        <v>1339.5881348</v>
      </c>
      <c r="I231">
        <v>1320.1600341999999</v>
      </c>
      <c r="J231">
        <v>1315.6301269999999</v>
      </c>
      <c r="K231">
        <v>2750</v>
      </c>
      <c r="L231">
        <v>0</v>
      </c>
      <c r="M231">
        <v>0</v>
      </c>
      <c r="N231">
        <v>2750</v>
      </c>
    </row>
    <row r="232" spans="1:14" x14ac:dyDescent="0.25">
      <c r="A232">
        <v>12.14974</v>
      </c>
      <c r="B232" s="1">
        <f>DATE(2010,5,13) + TIME(3,35,37)</f>
        <v>40311.149733796294</v>
      </c>
      <c r="C232">
        <v>80</v>
      </c>
      <c r="D232">
        <v>79.952384949000006</v>
      </c>
      <c r="E232">
        <v>40</v>
      </c>
      <c r="F232">
        <v>14.999550819</v>
      </c>
      <c r="G232">
        <v>1342.5164795000001</v>
      </c>
      <c r="H232">
        <v>1339.5837402</v>
      </c>
      <c r="I232">
        <v>1320.1601562000001</v>
      </c>
      <c r="J232">
        <v>1315.630249</v>
      </c>
      <c r="K232">
        <v>2750</v>
      </c>
      <c r="L232">
        <v>0</v>
      </c>
      <c r="M232">
        <v>0</v>
      </c>
      <c r="N232">
        <v>2750</v>
      </c>
    </row>
    <row r="233" spans="1:14" x14ac:dyDescent="0.25">
      <c r="A233">
        <v>12.31099</v>
      </c>
      <c r="B233" s="1">
        <f>DATE(2010,5,13) + TIME(7,27,49)</f>
        <v>40311.310983796298</v>
      </c>
      <c r="C233">
        <v>80</v>
      </c>
      <c r="D233">
        <v>79.952362061000002</v>
      </c>
      <c r="E233">
        <v>40</v>
      </c>
      <c r="F233">
        <v>14.999551773</v>
      </c>
      <c r="G233">
        <v>1342.5109863</v>
      </c>
      <c r="H233">
        <v>1339.5795897999999</v>
      </c>
      <c r="I233">
        <v>1320.1604004000001</v>
      </c>
      <c r="J233">
        <v>1315.6304932</v>
      </c>
      <c r="K233">
        <v>2750</v>
      </c>
      <c r="L233">
        <v>0</v>
      </c>
      <c r="M233">
        <v>0</v>
      </c>
      <c r="N233">
        <v>2750</v>
      </c>
    </row>
    <row r="234" spans="1:14" x14ac:dyDescent="0.25">
      <c r="A234">
        <v>12.472519999999999</v>
      </c>
      <c r="B234" s="1">
        <f>DATE(2010,5,13) + TIME(11,20,25)</f>
        <v>40311.472511574073</v>
      </c>
      <c r="C234">
        <v>80</v>
      </c>
      <c r="D234">
        <v>79.952331543</v>
      </c>
      <c r="E234">
        <v>40</v>
      </c>
      <c r="F234">
        <v>14.99955368</v>
      </c>
      <c r="G234">
        <v>1342.4997559000001</v>
      </c>
      <c r="H234">
        <v>1339.5710449000001</v>
      </c>
      <c r="I234">
        <v>1320.1607666</v>
      </c>
      <c r="J234">
        <v>1315.6307373</v>
      </c>
      <c r="K234">
        <v>2750</v>
      </c>
      <c r="L234">
        <v>0</v>
      </c>
      <c r="M234">
        <v>0</v>
      </c>
      <c r="N234">
        <v>2750</v>
      </c>
    </row>
    <row r="235" spans="1:14" x14ac:dyDescent="0.25">
      <c r="A235">
        <v>12.635569</v>
      </c>
      <c r="B235" s="1">
        <f>DATE(2010,5,13) + TIME(15,15,13)</f>
        <v>40311.635567129626</v>
      </c>
      <c r="C235">
        <v>80</v>
      </c>
      <c r="D235">
        <v>79.952301024999997</v>
      </c>
      <c r="E235">
        <v>40</v>
      </c>
      <c r="F235">
        <v>14.999555588</v>
      </c>
      <c r="G235">
        <v>1342.4886475000001</v>
      </c>
      <c r="H235">
        <v>1339.5625</v>
      </c>
      <c r="I235">
        <v>1320.1611327999999</v>
      </c>
      <c r="J235">
        <v>1315.6311035000001</v>
      </c>
      <c r="K235">
        <v>2750</v>
      </c>
      <c r="L235">
        <v>0</v>
      </c>
      <c r="M235">
        <v>0</v>
      </c>
      <c r="N235">
        <v>2750</v>
      </c>
    </row>
    <row r="236" spans="1:14" x14ac:dyDescent="0.25">
      <c r="A236">
        <v>12.800440999999999</v>
      </c>
      <c r="B236" s="1">
        <f>DATE(2010,5,13) + TIME(19,12,38)</f>
        <v>40311.800439814811</v>
      </c>
      <c r="C236">
        <v>80</v>
      </c>
      <c r="D236">
        <v>79.952270507999998</v>
      </c>
      <c r="E236">
        <v>40</v>
      </c>
      <c r="F236">
        <v>14.999556541</v>
      </c>
      <c r="G236">
        <v>1342.4775391000001</v>
      </c>
      <c r="H236">
        <v>1339.5540771000001</v>
      </c>
      <c r="I236">
        <v>1320.161499</v>
      </c>
      <c r="J236">
        <v>1315.6313477000001</v>
      </c>
      <c r="K236">
        <v>2750</v>
      </c>
      <c r="L236">
        <v>0</v>
      </c>
      <c r="M236">
        <v>0</v>
      </c>
      <c r="N236">
        <v>2750</v>
      </c>
    </row>
    <row r="237" spans="1:14" x14ac:dyDescent="0.25">
      <c r="A237">
        <v>12.967453000000001</v>
      </c>
      <c r="B237" s="1">
        <f>DATE(2010,5,13) + TIME(23,13,7)</f>
        <v>40311.967442129629</v>
      </c>
      <c r="C237">
        <v>80</v>
      </c>
      <c r="D237">
        <v>79.952239989999995</v>
      </c>
      <c r="E237">
        <v>40</v>
      </c>
      <c r="F237">
        <v>14.999558449</v>
      </c>
      <c r="G237">
        <v>1342.4664307</v>
      </c>
      <c r="H237">
        <v>1339.5457764</v>
      </c>
      <c r="I237">
        <v>1320.1619873</v>
      </c>
      <c r="J237">
        <v>1315.6317139</v>
      </c>
      <c r="K237">
        <v>2750</v>
      </c>
      <c r="L237">
        <v>0</v>
      </c>
      <c r="M237">
        <v>0</v>
      </c>
      <c r="N237">
        <v>2750</v>
      </c>
    </row>
    <row r="238" spans="1:14" x14ac:dyDescent="0.25">
      <c r="A238">
        <v>13.136939999999999</v>
      </c>
      <c r="B238" s="1">
        <f>DATE(2010,5,14) + TIME(3,17,11)</f>
        <v>40312.136932870373</v>
      </c>
      <c r="C238">
        <v>80</v>
      </c>
      <c r="D238">
        <v>79.952209472999996</v>
      </c>
      <c r="E238">
        <v>40</v>
      </c>
      <c r="F238">
        <v>14.999560356</v>
      </c>
      <c r="G238">
        <v>1342.4553223</v>
      </c>
      <c r="H238">
        <v>1339.5373535000001</v>
      </c>
      <c r="I238">
        <v>1320.1623535000001</v>
      </c>
      <c r="J238">
        <v>1315.6319579999999</v>
      </c>
      <c r="K238">
        <v>2750</v>
      </c>
      <c r="L238">
        <v>0</v>
      </c>
      <c r="M238">
        <v>0</v>
      </c>
      <c r="N238">
        <v>2750</v>
      </c>
    </row>
    <row r="239" spans="1:14" x14ac:dyDescent="0.25">
      <c r="A239">
        <v>13.309298</v>
      </c>
      <c r="B239" s="1">
        <f>DATE(2010,5,14) + TIME(7,25,23)</f>
        <v>40312.309293981481</v>
      </c>
      <c r="C239">
        <v>80</v>
      </c>
      <c r="D239">
        <v>79.952178954999994</v>
      </c>
      <c r="E239">
        <v>40</v>
      </c>
      <c r="F239">
        <v>14.999562263</v>
      </c>
      <c r="G239">
        <v>1342.4440918</v>
      </c>
      <c r="H239">
        <v>1339.5289307</v>
      </c>
      <c r="I239">
        <v>1320.1627197</v>
      </c>
      <c r="J239">
        <v>1315.6323242000001</v>
      </c>
      <c r="K239">
        <v>2750</v>
      </c>
      <c r="L239">
        <v>0</v>
      </c>
      <c r="M239">
        <v>0</v>
      </c>
      <c r="N239">
        <v>2750</v>
      </c>
    </row>
    <row r="240" spans="1:14" x14ac:dyDescent="0.25">
      <c r="A240">
        <v>13.484890999999999</v>
      </c>
      <c r="B240" s="1">
        <f>DATE(2010,5,14) + TIME(11,38,14)</f>
        <v>40312.484884259262</v>
      </c>
      <c r="C240">
        <v>80</v>
      </c>
      <c r="D240">
        <v>79.952148437999995</v>
      </c>
      <c r="E240">
        <v>40</v>
      </c>
      <c r="F240">
        <v>14.999563217</v>
      </c>
      <c r="G240">
        <v>1342.4329834</v>
      </c>
      <c r="H240">
        <v>1339.5205077999999</v>
      </c>
      <c r="I240">
        <v>1320.1630858999999</v>
      </c>
      <c r="J240">
        <v>1315.6326904</v>
      </c>
      <c r="K240">
        <v>2750</v>
      </c>
      <c r="L240">
        <v>0</v>
      </c>
      <c r="M240">
        <v>0</v>
      </c>
      <c r="N240">
        <v>2750</v>
      </c>
    </row>
    <row r="241" spans="1:14" x14ac:dyDescent="0.25">
      <c r="A241">
        <v>13.664092999999999</v>
      </c>
      <c r="B241" s="1">
        <f>DATE(2010,5,14) + TIME(15,56,17)</f>
        <v>40312.664085648146</v>
      </c>
      <c r="C241">
        <v>80</v>
      </c>
      <c r="D241">
        <v>79.952117920000006</v>
      </c>
      <c r="E241">
        <v>40</v>
      </c>
      <c r="F241">
        <v>14.999565125</v>
      </c>
      <c r="G241">
        <v>1342.4216309000001</v>
      </c>
      <c r="H241">
        <v>1339.5119629000001</v>
      </c>
      <c r="I241">
        <v>1320.1635742000001</v>
      </c>
      <c r="J241">
        <v>1315.6329346</v>
      </c>
      <c r="K241">
        <v>2750</v>
      </c>
      <c r="L241">
        <v>0</v>
      </c>
      <c r="M241">
        <v>0</v>
      </c>
      <c r="N241">
        <v>2750</v>
      </c>
    </row>
    <row r="242" spans="1:14" x14ac:dyDescent="0.25">
      <c r="A242">
        <v>13.845424</v>
      </c>
      <c r="B242" s="1">
        <f>DATE(2010,5,14) + TIME(20,17,24)</f>
        <v>40312.845416666663</v>
      </c>
      <c r="C242">
        <v>80</v>
      </c>
      <c r="D242">
        <v>79.952079772999994</v>
      </c>
      <c r="E242">
        <v>40</v>
      </c>
      <c r="F242">
        <v>14.999567032</v>
      </c>
      <c r="G242">
        <v>1342.4102783000001</v>
      </c>
      <c r="H242">
        <v>1339.5035399999999</v>
      </c>
      <c r="I242">
        <v>1320.1639404</v>
      </c>
      <c r="J242">
        <v>1315.6333007999999</v>
      </c>
      <c r="K242">
        <v>2750</v>
      </c>
      <c r="L242">
        <v>0</v>
      </c>
      <c r="M242">
        <v>0</v>
      </c>
      <c r="N242">
        <v>2750</v>
      </c>
    </row>
    <row r="243" spans="1:14" x14ac:dyDescent="0.25">
      <c r="A243">
        <v>14.029120000000001</v>
      </c>
      <c r="B243" s="1">
        <f>DATE(2010,5,15) + TIME(0,41,55)</f>
        <v>40313.029108796298</v>
      </c>
      <c r="C243">
        <v>80</v>
      </c>
      <c r="D243">
        <v>79.952049255000006</v>
      </c>
      <c r="E243">
        <v>40</v>
      </c>
      <c r="F243">
        <v>14.999568939</v>
      </c>
      <c r="G243">
        <v>1342.3989257999999</v>
      </c>
      <c r="H243">
        <v>1339.4949951000001</v>
      </c>
      <c r="I243">
        <v>1320.1643065999999</v>
      </c>
      <c r="J243">
        <v>1315.6336670000001</v>
      </c>
      <c r="K243">
        <v>2750</v>
      </c>
      <c r="L243">
        <v>0</v>
      </c>
      <c r="M243">
        <v>0</v>
      </c>
      <c r="N243">
        <v>2750</v>
      </c>
    </row>
    <row r="244" spans="1:14" x14ac:dyDescent="0.25">
      <c r="A244">
        <v>14.121598000000001</v>
      </c>
      <c r="B244" s="1">
        <f>DATE(2010,5,15) + TIME(2,55,6)</f>
        <v>40313.12159722222</v>
      </c>
      <c r="C244">
        <v>80</v>
      </c>
      <c r="D244">
        <v>79.952026367000002</v>
      </c>
      <c r="E244">
        <v>40</v>
      </c>
      <c r="F244">
        <v>14.999569893</v>
      </c>
      <c r="G244">
        <v>1342.3873291</v>
      </c>
      <c r="H244">
        <v>1339.4862060999999</v>
      </c>
      <c r="I244">
        <v>1320.1647949000001</v>
      </c>
      <c r="J244">
        <v>1315.6340332</v>
      </c>
      <c r="K244">
        <v>2750</v>
      </c>
      <c r="L244">
        <v>0</v>
      </c>
      <c r="M244">
        <v>0</v>
      </c>
      <c r="N244">
        <v>2750</v>
      </c>
    </row>
    <row r="245" spans="1:14" x14ac:dyDescent="0.25">
      <c r="A245">
        <v>14.214076</v>
      </c>
      <c r="B245" s="1">
        <f>DATE(2010,5,15) + TIME(5,8,16)</f>
        <v>40313.214074074072</v>
      </c>
      <c r="C245">
        <v>80</v>
      </c>
      <c r="D245">
        <v>79.952003478999998</v>
      </c>
      <c r="E245">
        <v>40</v>
      </c>
      <c r="F245">
        <v>14.999570846999999</v>
      </c>
      <c r="G245">
        <v>1342.3817139</v>
      </c>
      <c r="H245">
        <v>1339.4819336</v>
      </c>
      <c r="I245">
        <v>1320.1649170000001</v>
      </c>
      <c r="J245">
        <v>1315.6341553</v>
      </c>
      <c r="K245">
        <v>2750</v>
      </c>
      <c r="L245">
        <v>0</v>
      </c>
      <c r="M245">
        <v>0</v>
      </c>
      <c r="N245">
        <v>2750</v>
      </c>
    </row>
    <row r="246" spans="1:14" x14ac:dyDescent="0.25">
      <c r="A246">
        <v>14.306554</v>
      </c>
      <c r="B246" s="1">
        <f>DATE(2010,5,15) + TIME(7,21,26)</f>
        <v>40313.306550925925</v>
      </c>
      <c r="C246">
        <v>80</v>
      </c>
      <c r="D246">
        <v>79.951988220000004</v>
      </c>
      <c r="E246">
        <v>40</v>
      </c>
      <c r="F246">
        <v>14.9995718</v>
      </c>
      <c r="G246">
        <v>1342.3759766000001</v>
      </c>
      <c r="H246">
        <v>1339.4776611</v>
      </c>
      <c r="I246">
        <v>1320.1651611</v>
      </c>
      <c r="J246">
        <v>1315.6342772999999</v>
      </c>
      <c r="K246">
        <v>2750</v>
      </c>
      <c r="L246">
        <v>0</v>
      </c>
      <c r="M246">
        <v>0</v>
      </c>
      <c r="N246">
        <v>2750</v>
      </c>
    </row>
    <row r="247" spans="1:14" x14ac:dyDescent="0.25">
      <c r="A247">
        <v>14.399032</v>
      </c>
      <c r="B247" s="1">
        <f>DATE(2010,5,15) + TIME(9,34,36)</f>
        <v>40313.399027777778</v>
      </c>
      <c r="C247">
        <v>80</v>
      </c>
      <c r="D247">
        <v>79.951965332</v>
      </c>
      <c r="E247">
        <v>40</v>
      </c>
      <c r="F247">
        <v>14.999572754000001</v>
      </c>
      <c r="G247">
        <v>1342.3703613</v>
      </c>
      <c r="H247">
        <v>1339.4735106999999</v>
      </c>
      <c r="I247">
        <v>1320.1654053</v>
      </c>
      <c r="J247">
        <v>1315.6345214999999</v>
      </c>
      <c r="K247">
        <v>2750</v>
      </c>
      <c r="L247">
        <v>0</v>
      </c>
      <c r="M247">
        <v>0</v>
      </c>
      <c r="N247">
        <v>2750</v>
      </c>
    </row>
    <row r="248" spans="1:14" x14ac:dyDescent="0.25">
      <c r="A248">
        <v>14.49151</v>
      </c>
      <c r="B248" s="1">
        <f>DATE(2010,5,15) + TIME(11,47,46)</f>
        <v>40313.49150462963</v>
      </c>
      <c r="C248">
        <v>80</v>
      </c>
      <c r="D248">
        <v>79.951950073000006</v>
      </c>
      <c r="E248">
        <v>40</v>
      </c>
      <c r="F248">
        <v>14.999572754000001</v>
      </c>
      <c r="G248">
        <v>1342.3648682</v>
      </c>
      <c r="H248">
        <v>1339.4693603999999</v>
      </c>
      <c r="I248">
        <v>1320.1656493999999</v>
      </c>
      <c r="J248">
        <v>1315.6346435999999</v>
      </c>
      <c r="K248">
        <v>2750</v>
      </c>
      <c r="L248">
        <v>0</v>
      </c>
      <c r="M248">
        <v>0</v>
      </c>
      <c r="N248">
        <v>2750</v>
      </c>
    </row>
    <row r="249" spans="1:14" x14ac:dyDescent="0.25">
      <c r="A249">
        <v>14.583989000000001</v>
      </c>
      <c r="B249" s="1">
        <f>DATE(2010,5,15) + TIME(14,0,56)</f>
        <v>40313.583981481483</v>
      </c>
      <c r="C249">
        <v>80</v>
      </c>
      <c r="D249">
        <v>79.951927185000002</v>
      </c>
      <c r="E249">
        <v>40</v>
      </c>
      <c r="F249">
        <v>14.999573708</v>
      </c>
      <c r="G249">
        <v>1342.3592529</v>
      </c>
      <c r="H249">
        <v>1339.4652100000001</v>
      </c>
      <c r="I249">
        <v>1320.1657714999999</v>
      </c>
      <c r="J249">
        <v>1315.6348877</v>
      </c>
      <c r="K249">
        <v>2750</v>
      </c>
      <c r="L249">
        <v>0</v>
      </c>
      <c r="M249">
        <v>0</v>
      </c>
      <c r="N249">
        <v>2750</v>
      </c>
    </row>
    <row r="250" spans="1:14" x14ac:dyDescent="0.25">
      <c r="A250">
        <v>14.676467000000001</v>
      </c>
      <c r="B250" s="1">
        <f>DATE(2010,5,15) + TIME(16,14,6)</f>
        <v>40313.676458333335</v>
      </c>
      <c r="C250">
        <v>80</v>
      </c>
      <c r="D250">
        <v>79.951911925999994</v>
      </c>
      <c r="E250">
        <v>40</v>
      </c>
      <c r="F250">
        <v>14.999574661</v>
      </c>
      <c r="G250">
        <v>1342.3537598</v>
      </c>
      <c r="H250">
        <v>1339.4610596</v>
      </c>
      <c r="I250">
        <v>1320.1660156</v>
      </c>
      <c r="J250">
        <v>1315.6350098</v>
      </c>
      <c r="K250">
        <v>2750</v>
      </c>
      <c r="L250">
        <v>0</v>
      </c>
      <c r="M250">
        <v>0</v>
      </c>
      <c r="N250">
        <v>2750</v>
      </c>
    </row>
    <row r="251" spans="1:14" x14ac:dyDescent="0.25">
      <c r="A251">
        <v>14.768945</v>
      </c>
      <c r="B251" s="1">
        <f>DATE(2010,5,15) + TIME(18,27,16)</f>
        <v>40313.768935185188</v>
      </c>
      <c r="C251">
        <v>80</v>
      </c>
      <c r="D251">
        <v>79.951896667</v>
      </c>
      <c r="E251">
        <v>40</v>
      </c>
      <c r="F251">
        <v>14.999575614999999</v>
      </c>
      <c r="G251">
        <v>1342.3482666</v>
      </c>
      <c r="H251">
        <v>1339.4570312000001</v>
      </c>
      <c r="I251">
        <v>1320.1662598</v>
      </c>
      <c r="J251">
        <v>1315.6352539</v>
      </c>
      <c r="K251">
        <v>2750</v>
      </c>
      <c r="L251">
        <v>0</v>
      </c>
      <c r="M251">
        <v>0</v>
      </c>
      <c r="N251">
        <v>2750</v>
      </c>
    </row>
    <row r="252" spans="1:14" x14ac:dyDescent="0.25">
      <c r="A252">
        <v>14.861423</v>
      </c>
      <c r="B252" s="1">
        <f>DATE(2010,5,15) + TIME(20,40,26)</f>
        <v>40313.86141203704</v>
      </c>
      <c r="C252">
        <v>80</v>
      </c>
      <c r="D252">
        <v>79.951873778999996</v>
      </c>
      <c r="E252">
        <v>40</v>
      </c>
      <c r="F252">
        <v>14.999576569</v>
      </c>
      <c r="G252">
        <v>1342.3428954999999</v>
      </c>
      <c r="H252">
        <v>1339.4530029</v>
      </c>
      <c r="I252">
        <v>1320.1665039</v>
      </c>
      <c r="J252">
        <v>1315.635376</v>
      </c>
      <c r="K252">
        <v>2750</v>
      </c>
      <c r="L252">
        <v>0</v>
      </c>
      <c r="M252">
        <v>0</v>
      </c>
      <c r="N252">
        <v>2750</v>
      </c>
    </row>
    <row r="253" spans="1:14" x14ac:dyDescent="0.25">
      <c r="A253">
        <v>14.953901</v>
      </c>
      <c r="B253" s="1">
        <f>DATE(2010,5,15) + TIME(22,53,37)</f>
        <v>40313.953900462962</v>
      </c>
      <c r="C253">
        <v>80</v>
      </c>
      <c r="D253">
        <v>79.951858521000005</v>
      </c>
      <c r="E253">
        <v>40</v>
      </c>
      <c r="F253">
        <v>14.999577521999999</v>
      </c>
      <c r="G253">
        <v>1342.3374022999999</v>
      </c>
      <c r="H253">
        <v>1339.4489745999999</v>
      </c>
      <c r="I253">
        <v>1320.166626</v>
      </c>
      <c r="J253">
        <v>1315.6354980000001</v>
      </c>
      <c r="K253">
        <v>2750</v>
      </c>
      <c r="L253">
        <v>0</v>
      </c>
      <c r="M253">
        <v>0</v>
      </c>
      <c r="N253">
        <v>2750</v>
      </c>
    </row>
    <row r="254" spans="1:14" x14ac:dyDescent="0.25">
      <c r="A254">
        <v>15.046379</v>
      </c>
      <c r="B254" s="1">
        <f>DATE(2010,5,16) + TIME(1,6,47)</f>
        <v>40314.046377314815</v>
      </c>
      <c r="C254">
        <v>80</v>
      </c>
      <c r="D254">
        <v>79.951843261999997</v>
      </c>
      <c r="E254">
        <v>40</v>
      </c>
      <c r="F254">
        <v>14.999578476</v>
      </c>
      <c r="G254">
        <v>1342.3320312000001</v>
      </c>
      <c r="H254">
        <v>1339.4449463000001</v>
      </c>
      <c r="I254">
        <v>1320.1668701000001</v>
      </c>
      <c r="J254">
        <v>1315.6357422000001</v>
      </c>
      <c r="K254">
        <v>2750</v>
      </c>
      <c r="L254">
        <v>0</v>
      </c>
      <c r="M254">
        <v>0</v>
      </c>
      <c r="N254">
        <v>2750</v>
      </c>
    </row>
    <row r="255" spans="1:14" x14ac:dyDescent="0.25">
      <c r="A255">
        <v>15.138857</v>
      </c>
      <c r="B255" s="1">
        <f>DATE(2010,5,16) + TIME(3,19,57)</f>
        <v>40314.138854166667</v>
      </c>
      <c r="C255">
        <v>80</v>
      </c>
      <c r="D255">
        <v>79.951828003000003</v>
      </c>
      <c r="E255">
        <v>40</v>
      </c>
      <c r="F255">
        <v>14.999579430000001</v>
      </c>
      <c r="G255">
        <v>1342.3266602000001</v>
      </c>
      <c r="H255">
        <v>1339.440918</v>
      </c>
      <c r="I255">
        <v>1320.1671143000001</v>
      </c>
      <c r="J255">
        <v>1315.6358643000001</v>
      </c>
      <c r="K255">
        <v>2750</v>
      </c>
      <c r="L255">
        <v>0</v>
      </c>
      <c r="M255">
        <v>0</v>
      </c>
      <c r="N255">
        <v>2750</v>
      </c>
    </row>
    <row r="256" spans="1:14" x14ac:dyDescent="0.25">
      <c r="A256">
        <v>15.231335</v>
      </c>
      <c r="B256" s="1">
        <f>DATE(2010,5,16) + TIME(5,33,7)</f>
        <v>40314.23133101852</v>
      </c>
      <c r="C256">
        <v>80</v>
      </c>
      <c r="D256">
        <v>79.951812743999994</v>
      </c>
      <c r="E256">
        <v>40</v>
      </c>
      <c r="F256">
        <v>14.999580383</v>
      </c>
      <c r="G256">
        <v>1342.3214111</v>
      </c>
      <c r="H256">
        <v>1339.4370117000001</v>
      </c>
      <c r="I256">
        <v>1320.1673584</v>
      </c>
      <c r="J256">
        <v>1315.6361084</v>
      </c>
      <c r="K256">
        <v>2750</v>
      </c>
      <c r="L256">
        <v>0</v>
      </c>
      <c r="M256">
        <v>0</v>
      </c>
      <c r="N256">
        <v>2750</v>
      </c>
    </row>
    <row r="257" spans="1:14" x14ac:dyDescent="0.25">
      <c r="A257">
        <v>15.416292</v>
      </c>
      <c r="B257" s="1">
        <f>DATE(2010,5,16) + TIME(9,59,27)</f>
        <v>40314.416284722225</v>
      </c>
      <c r="C257">
        <v>80</v>
      </c>
      <c r="D257">
        <v>79.951789856000005</v>
      </c>
      <c r="E257">
        <v>40</v>
      </c>
      <c r="F257">
        <v>14.999581337</v>
      </c>
      <c r="G257">
        <v>1342.3162841999999</v>
      </c>
      <c r="H257">
        <v>1339.4333495999999</v>
      </c>
      <c r="I257">
        <v>1320.1676024999999</v>
      </c>
      <c r="J257">
        <v>1315.6363524999999</v>
      </c>
      <c r="K257">
        <v>2750</v>
      </c>
      <c r="L257">
        <v>0</v>
      </c>
      <c r="M257">
        <v>0</v>
      </c>
      <c r="N257">
        <v>2750</v>
      </c>
    </row>
    <row r="258" spans="1:14" x14ac:dyDescent="0.25">
      <c r="A258">
        <v>15.601495999999999</v>
      </c>
      <c r="B258" s="1">
        <f>DATE(2010,5,16) + TIME(14,26,9)</f>
        <v>40314.601493055554</v>
      </c>
      <c r="C258">
        <v>80</v>
      </c>
      <c r="D258">
        <v>79.951759338000002</v>
      </c>
      <c r="E258">
        <v>40</v>
      </c>
      <c r="F258">
        <v>14.999583244</v>
      </c>
      <c r="G258">
        <v>1342.3057861</v>
      </c>
      <c r="H258">
        <v>1339.4255370999999</v>
      </c>
      <c r="I258">
        <v>1320.1679687999999</v>
      </c>
      <c r="J258">
        <v>1315.6365966999999</v>
      </c>
      <c r="K258">
        <v>2750</v>
      </c>
      <c r="L258">
        <v>0</v>
      </c>
      <c r="M258">
        <v>0</v>
      </c>
      <c r="N258">
        <v>2750</v>
      </c>
    </row>
    <row r="259" spans="1:14" x14ac:dyDescent="0.25">
      <c r="A259">
        <v>15.788427</v>
      </c>
      <c r="B259" s="1">
        <f>DATE(2010,5,16) + TIME(18,55,20)</f>
        <v>40314.788425925923</v>
      </c>
      <c r="C259">
        <v>80</v>
      </c>
      <c r="D259">
        <v>79.951728821000003</v>
      </c>
      <c r="E259">
        <v>40</v>
      </c>
      <c r="F259">
        <v>14.999584198000001</v>
      </c>
      <c r="G259">
        <v>1342.2954102000001</v>
      </c>
      <c r="H259">
        <v>1339.4179687999999</v>
      </c>
      <c r="I259">
        <v>1320.168457</v>
      </c>
      <c r="J259">
        <v>1315.6369629000001</v>
      </c>
      <c r="K259">
        <v>2750</v>
      </c>
      <c r="L259">
        <v>0</v>
      </c>
      <c r="M259">
        <v>0</v>
      </c>
      <c r="N259">
        <v>2750</v>
      </c>
    </row>
    <row r="260" spans="1:14" x14ac:dyDescent="0.25">
      <c r="A260">
        <v>15.977434000000001</v>
      </c>
      <c r="B260" s="1">
        <f>DATE(2010,5,16) + TIME(23,27,30)</f>
        <v>40314.977430555555</v>
      </c>
      <c r="C260">
        <v>80</v>
      </c>
      <c r="D260">
        <v>79.951698303000001</v>
      </c>
      <c r="E260">
        <v>40</v>
      </c>
      <c r="F260">
        <v>14.999586105000001</v>
      </c>
      <c r="G260">
        <v>1342.2850341999999</v>
      </c>
      <c r="H260">
        <v>1339.4102783000001</v>
      </c>
      <c r="I260">
        <v>1320.1689452999999</v>
      </c>
      <c r="J260">
        <v>1315.6373291</v>
      </c>
      <c r="K260">
        <v>2750</v>
      </c>
      <c r="L260">
        <v>0</v>
      </c>
      <c r="M260">
        <v>0</v>
      </c>
      <c r="N260">
        <v>2750</v>
      </c>
    </row>
    <row r="261" spans="1:14" x14ac:dyDescent="0.25">
      <c r="A261">
        <v>16.168918000000001</v>
      </c>
      <c r="B261" s="1">
        <f>DATE(2010,5,17) + TIME(4,3,14)</f>
        <v>40315.168912037036</v>
      </c>
      <c r="C261">
        <v>80</v>
      </c>
      <c r="D261">
        <v>79.951667786000002</v>
      </c>
      <c r="E261">
        <v>40</v>
      </c>
      <c r="F261">
        <v>14.999587059</v>
      </c>
      <c r="G261">
        <v>1342.2746582</v>
      </c>
      <c r="H261">
        <v>1339.4027100000001</v>
      </c>
      <c r="I261">
        <v>1320.1693115</v>
      </c>
      <c r="J261">
        <v>1315.6376952999999</v>
      </c>
      <c r="K261">
        <v>2750</v>
      </c>
      <c r="L261">
        <v>0</v>
      </c>
      <c r="M261">
        <v>0</v>
      </c>
      <c r="N261">
        <v>2750</v>
      </c>
    </row>
    <row r="262" spans="1:14" x14ac:dyDescent="0.25">
      <c r="A262">
        <v>16.363292999999999</v>
      </c>
      <c r="B262" s="1">
        <f>DATE(2010,5,17) + TIME(8,43,8)</f>
        <v>40315.363287037035</v>
      </c>
      <c r="C262">
        <v>80</v>
      </c>
      <c r="D262">
        <v>79.951637267999999</v>
      </c>
      <c r="E262">
        <v>40</v>
      </c>
      <c r="F262">
        <v>14.999588965999999</v>
      </c>
      <c r="G262">
        <v>1342.2642822</v>
      </c>
      <c r="H262">
        <v>1339.3950195</v>
      </c>
      <c r="I262">
        <v>1320.1697998</v>
      </c>
      <c r="J262">
        <v>1315.6380615</v>
      </c>
      <c r="K262">
        <v>2750</v>
      </c>
      <c r="L262">
        <v>0</v>
      </c>
      <c r="M262">
        <v>0</v>
      </c>
      <c r="N262">
        <v>2750</v>
      </c>
    </row>
    <row r="263" spans="1:14" x14ac:dyDescent="0.25">
      <c r="A263">
        <v>16.561063999999998</v>
      </c>
      <c r="B263" s="1">
        <f>DATE(2010,5,17) + TIME(13,27,55)</f>
        <v>40315.561053240737</v>
      </c>
      <c r="C263">
        <v>80</v>
      </c>
      <c r="D263">
        <v>79.951606749999996</v>
      </c>
      <c r="E263">
        <v>40</v>
      </c>
      <c r="F263">
        <v>14.999590874000001</v>
      </c>
      <c r="G263">
        <v>1342.2537841999999</v>
      </c>
      <c r="H263">
        <v>1339.3873291</v>
      </c>
      <c r="I263">
        <v>1320.1702881000001</v>
      </c>
      <c r="J263">
        <v>1315.6384277</v>
      </c>
      <c r="K263">
        <v>2750</v>
      </c>
      <c r="L263">
        <v>0</v>
      </c>
      <c r="M263">
        <v>0</v>
      </c>
      <c r="N263">
        <v>2750</v>
      </c>
    </row>
    <row r="264" spans="1:14" x14ac:dyDescent="0.25">
      <c r="A264">
        <v>16.762656</v>
      </c>
      <c r="B264" s="1">
        <f>DATE(2010,5,17) + TIME(18,18,13)</f>
        <v>40315.762650462966</v>
      </c>
      <c r="C264">
        <v>80</v>
      </c>
      <c r="D264">
        <v>79.951576232999997</v>
      </c>
      <c r="E264">
        <v>40</v>
      </c>
      <c r="F264">
        <v>14.999591827</v>
      </c>
      <c r="G264">
        <v>1342.2432861</v>
      </c>
      <c r="H264">
        <v>1339.3796387</v>
      </c>
      <c r="I264">
        <v>1320.1707764</v>
      </c>
      <c r="J264">
        <v>1315.6387939000001</v>
      </c>
      <c r="K264">
        <v>2750</v>
      </c>
      <c r="L264">
        <v>0</v>
      </c>
      <c r="M264">
        <v>0</v>
      </c>
      <c r="N264">
        <v>2750</v>
      </c>
    </row>
    <row r="265" spans="1:14" x14ac:dyDescent="0.25">
      <c r="A265">
        <v>16.96855</v>
      </c>
      <c r="B265" s="1">
        <f>DATE(2010,5,17) + TIME(23,14,42)</f>
        <v>40315.968541666669</v>
      </c>
      <c r="C265">
        <v>80</v>
      </c>
      <c r="D265">
        <v>79.951545714999995</v>
      </c>
      <c r="E265">
        <v>40</v>
      </c>
      <c r="F265">
        <v>14.999593734999999</v>
      </c>
      <c r="G265">
        <v>1342.2326660000001</v>
      </c>
      <c r="H265">
        <v>1339.3719481999999</v>
      </c>
      <c r="I265">
        <v>1320.1712646000001</v>
      </c>
      <c r="J265">
        <v>1315.6392822</v>
      </c>
      <c r="K265">
        <v>2750</v>
      </c>
      <c r="L265">
        <v>0</v>
      </c>
      <c r="M265">
        <v>0</v>
      </c>
      <c r="N265">
        <v>2750</v>
      </c>
    </row>
    <row r="266" spans="1:14" x14ac:dyDescent="0.25">
      <c r="A266">
        <v>17.176345000000001</v>
      </c>
      <c r="B266" s="1">
        <f>DATE(2010,5,18) + TIME(4,13,56)</f>
        <v>40316.176342592589</v>
      </c>
      <c r="C266">
        <v>80</v>
      </c>
      <c r="D266">
        <v>79.951515197999996</v>
      </c>
      <c r="E266">
        <v>40</v>
      </c>
      <c r="F266">
        <v>14.999595641999999</v>
      </c>
      <c r="G266">
        <v>1342.2219238</v>
      </c>
      <c r="H266">
        <v>1339.3640137</v>
      </c>
      <c r="I266">
        <v>1320.1717529</v>
      </c>
      <c r="J266">
        <v>1315.6396483999999</v>
      </c>
      <c r="K266">
        <v>2750</v>
      </c>
      <c r="L266">
        <v>0</v>
      </c>
      <c r="M266">
        <v>0</v>
      </c>
      <c r="N266">
        <v>2750</v>
      </c>
    </row>
    <row r="267" spans="1:14" x14ac:dyDescent="0.25">
      <c r="A267">
        <v>17.281002000000001</v>
      </c>
      <c r="B267" s="1">
        <f>DATE(2010,5,18) + TIME(6,44,38)</f>
        <v>40316.280995370369</v>
      </c>
      <c r="C267">
        <v>80</v>
      </c>
      <c r="D267">
        <v>79.951492310000006</v>
      </c>
      <c r="E267">
        <v>40</v>
      </c>
      <c r="F267">
        <v>14.999596596</v>
      </c>
      <c r="G267">
        <v>1342.2110596</v>
      </c>
      <c r="H267">
        <v>1339.3560791</v>
      </c>
      <c r="I267">
        <v>1320.1721190999999</v>
      </c>
      <c r="J267">
        <v>1315.6400146000001</v>
      </c>
      <c r="K267">
        <v>2750</v>
      </c>
      <c r="L267">
        <v>0</v>
      </c>
      <c r="M267">
        <v>0</v>
      </c>
      <c r="N267">
        <v>2750</v>
      </c>
    </row>
    <row r="268" spans="1:14" x14ac:dyDescent="0.25">
      <c r="A268">
        <v>17.385607</v>
      </c>
      <c r="B268" s="1">
        <f>DATE(2010,5,18) + TIME(9,15,16)</f>
        <v>40316.385601851849</v>
      </c>
      <c r="C268">
        <v>80</v>
      </c>
      <c r="D268">
        <v>79.951469420999999</v>
      </c>
      <c r="E268">
        <v>40</v>
      </c>
      <c r="F268">
        <v>14.999597549000001</v>
      </c>
      <c r="G268">
        <v>1342.2056885</v>
      </c>
      <c r="H268">
        <v>1339.3521728999999</v>
      </c>
      <c r="I268">
        <v>1320.1723632999999</v>
      </c>
      <c r="J268">
        <v>1315.6401367000001</v>
      </c>
      <c r="K268">
        <v>2750</v>
      </c>
      <c r="L268">
        <v>0</v>
      </c>
      <c r="M268">
        <v>0</v>
      </c>
      <c r="N268">
        <v>2750</v>
      </c>
    </row>
    <row r="269" spans="1:14" x14ac:dyDescent="0.25">
      <c r="A269">
        <v>17.489975999999999</v>
      </c>
      <c r="B269" s="1">
        <f>DATE(2010,5,18) + TIME(11,45,33)</f>
        <v>40316.489965277775</v>
      </c>
      <c r="C269">
        <v>80</v>
      </c>
      <c r="D269">
        <v>79.951446532999995</v>
      </c>
      <c r="E269">
        <v>40</v>
      </c>
      <c r="F269">
        <v>14.999598503</v>
      </c>
      <c r="G269">
        <v>1342.2004394999999</v>
      </c>
      <c r="H269">
        <v>1339.3482666</v>
      </c>
      <c r="I269">
        <v>1320.1726074000001</v>
      </c>
      <c r="J269">
        <v>1315.6403809000001</v>
      </c>
      <c r="K269">
        <v>2750</v>
      </c>
      <c r="L269">
        <v>0</v>
      </c>
      <c r="M269">
        <v>0</v>
      </c>
      <c r="N269">
        <v>2750</v>
      </c>
    </row>
    <row r="270" spans="1:14" x14ac:dyDescent="0.25">
      <c r="A270">
        <v>17.594163000000002</v>
      </c>
      <c r="B270" s="1">
        <f>DATE(2010,5,18) + TIME(14,15,35)</f>
        <v>40316.594155092593</v>
      </c>
      <c r="C270">
        <v>80</v>
      </c>
      <c r="D270">
        <v>79.951431274000001</v>
      </c>
      <c r="E270">
        <v>40</v>
      </c>
      <c r="F270">
        <v>14.999598503</v>
      </c>
      <c r="G270">
        <v>1342.1951904</v>
      </c>
      <c r="H270">
        <v>1339.3443603999999</v>
      </c>
      <c r="I270">
        <v>1320.1728516000001</v>
      </c>
      <c r="J270">
        <v>1315.640625</v>
      </c>
      <c r="K270">
        <v>2750</v>
      </c>
      <c r="L270">
        <v>0</v>
      </c>
      <c r="M270">
        <v>0</v>
      </c>
      <c r="N270">
        <v>2750</v>
      </c>
    </row>
    <row r="271" spans="1:14" x14ac:dyDescent="0.25">
      <c r="A271">
        <v>17.698225000000001</v>
      </c>
      <c r="B271" s="1">
        <f>DATE(2010,5,18) + TIME(16,45,26)</f>
        <v>40316.698217592595</v>
      </c>
      <c r="C271">
        <v>80</v>
      </c>
      <c r="D271">
        <v>79.951416015999996</v>
      </c>
      <c r="E271">
        <v>40</v>
      </c>
      <c r="F271">
        <v>14.999599457</v>
      </c>
      <c r="G271">
        <v>1342.1899414</v>
      </c>
      <c r="H271">
        <v>1339.3405762</v>
      </c>
      <c r="I271">
        <v>1320.1732178</v>
      </c>
      <c r="J271">
        <v>1315.6407471</v>
      </c>
      <c r="K271">
        <v>2750</v>
      </c>
      <c r="L271">
        <v>0</v>
      </c>
      <c r="M271">
        <v>0</v>
      </c>
      <c r="N271">
        <v>2750</v>
      </c>
    </row>
    <row r="272" spans="1:14" x14ac:dyDescent="0.25">
      <c r="A272">
        <v>17.802192999999999</v>
      </c>
      <c r="B272" s="1">
        <f>DATE(2010,5,18) + TIME(19,15,9)</f>
        <v>40316.802187499998</v>
      </c>
      <c r="C272">
        <v>80</v>
      </c>
      <c r="D272">
        <v>79.951393127000003</v>
      </c>
      <c r="E272">
        <v>40</v>
      </c>
      <c r="F272">
        <v>14.999600409999999</v>
      </c>
      <c r="G272">
        <v>1342.1846923999999</v>
      </c>
      <c r="H272">
        <v>1339.3367920000001</v>
      </c>
      <c r="I272">
        <v>1320.1734618999999</v>
      </c>
      <c r="J272">
        <v>1315.6409911999999</v>
      </c>
      <c r="K272">
        <v>2750</v>
      </c>
      <c r="L272">
        <v>0</v>
      </c>
      <c r="M272">
        <v>0</v>
      </c>
      <c r="N272">
        <v>2750</v>
      </c>
    </row>
    <row r="273" spans="1:14" x14ac:dyDescent="0.25">
      <c r="A273">
        <v>17.906139</v>
      </c>
      <c r="B273" s="1">
        <f>DATE(2010,5,18) + TIME(21,44,50)</f>
        <v>40316.906134259261</v>
      </c>
      <c r="C273">
        <v>80</v>
      </c>
      <c r="D273">
        <v>79.951377868999998</v>
      </c>
      <c r="E273">
        <v>40</v>
      </c>
      <c r="F273">
        <v>14.999601364</v>
      </c>
      <c r="G273">
        <v>1342.1795654</v>
      </c>
      <c r="H273">
        <v>1339.3330077999999</v>
      </c>
      <c r="I273">
        <v>1320.1737060999999</v>
      </c>
      <c r="J273">
        <v>1315.6412353999999</v>
      </c>
      <c r="K273">
        <v>2750</v>
      </c>
      <c r="L273">
        <v>0</v>
      </c>
      <c r="M273">
        <v>0</v>
      </c>
      <c r="N273">
        <v>2750</v>
      </c>
    </row>
    <row r="274" spans="1:14" x14ac:dyDescent="0.25">
      <c r="A274">
        <v>18.010085</v>
      </c>
      <c r="B274" s="1">
        <f>DATE(2010,5,19) + TIME(0,14,31)</f>
        <v>40317.010081018518</v>
      </c>
      <c r="C274">
        <v>80</v>
      </c>
      <c r="D274">
        <v>79.951362610000004</v>
      </c>
      <c r="E274">
        <v>40</v>
      </c>
      <c r="F274">
        <v>14.999602318000001</v>
      </c>
      <c r="G274">
        <v>1342.1744385</v>
      </c>
      <c r="H274">
        <v>1339.3292236</v>
      </c>
      <c r="I274">
        <v>1320.1739502</v>
      </c>
      <c r="J274">
        <v>1315.6413574000001</v>
      </c>
      <c r="K274">
        <v>2750</v>
      </c>
      <c r="L274">
        <v>0</v>
      </c>
      <c r="M274">
        <v>0</v>
      </c>
      <c r="N274">
        <v>2750</v>
      </c>
    </row>
    <row r="275" spans="1:14" x14ac:dyDescent="0.25">
      <c r="A275">
        <v>18.114031000000001</v>
      </c>
      <c r="B275" s="1">
        <f>DATE(2010,5,19) + TIME(2,44,12)</f>
        <v>40317.114027777781</v>
      </c>
      <c r="C275">
        <v>80</v>
      </c>
      <c r="D275">
        <v>79.951347350999995</v>
      </c>
      <c r="E275">
        <v>40</v>
      </c>
      <c r="F275">
        <v>14.999603271</v>
      </c>
      <c r="G275">
        <v>1342.1693115</v>
      </c>
      <c r="H275">
        <v>1339.3255615</v>
      </c>
      <c r="I275">
        <v>1320.1741943</v>
      </c>
      <c r="J275">
        <v>1315.6416016000001</v>
      </c>
      <c r="K275">
        <v>2750</v>
      </c>
      <c r="L275">
        <v>0</v>
      </c>
      <c r="M275">
        <v>0</v>
      </c>
      <c r="N275">
        <v>2750</v>
      </c>
    </row>
    <row r="276" spans="1:14" x14ac:dyDescent="0.25">
      <c r="A276">
        <v>18.217977000000001</v>
      </c>
      <c r="B276" s="1">
        <f>DATE(2010,5,19) + TIME(5,13,53)</f>
        <v>40317.217974537038</v>
      </c>
      <c r="C276">
        <v>80</v>
      </c>
      <c r="D276">
        <v>79.951332092000001</v>
      </c>
      <c r="E276">
        <v>40</v>
      </c>
      <c r="F276">
        <v>14.999604225000001</v>
      </c>
      <c r="G276">
        <v>1342.1643065999999</v>
      </c>
      <c r="H276">
        <v>1339.3217772999999</v>
      </c>
      <c r="I276">
        <v>1320.1744385</v>
      </c>
      <c r="J276">
        <v>1315.6418457</v>
      </c>
      <c r="K276">
        <v>2750</v>
      </c>
      <c r="L276">
        <v>0</v>
      </c>
      <c r="M276">
        <v>0</v>
      </c>
      <c r="N276">
        <v>2750</v>
      </c>
    </row>
    <row r="277" spans="1:14" x14ac:dyDescent="0.25">
      <c r="A277">
        <v>18.321922000000001</v>
      </c>
      <c r="B277" s="1">
        <f>DATE(2010,5,19) + TIME(7,43,34)</f>
        <v>40317.321921296294</v>
      </c>
      <c r="C277">
        <v>80</v>
      </c>
      <c r="D277">
        <v>79.951316833000007</v>
      </c>
      <c r="E277">
        <v>40</v>
      </c>
      <c r="F277">
        <v>14.999604225000001</v>
      </c>
      <c r="G277">
        <v>1342.1591797000001</v>
      </c>
      <c r="H277">
        <v>1339.3181152</v>
      </c>
      <c r="I277">
        <v>1320.1746826000001</v>
      </c>
      <c r="J277">
        <v>1315.6419678</v>
      </c>
      <c r="K277">
        <v>2750</v>
      </c>
      <c r="L277">
        <v>0</v>
      </c>
      <c r="M277">
        <v>0</v>
      </c>
      <c r="N277">
        <v>2750</v>
      </c>
    </row>
    <row r="278" spans="1:14" x14ac:dyDescent="0.25">
      <c r="A278">
        <v>18.425868000000001</v>
      </c>
      <c r="B278" s="1">
        <f>DATE(2010,5,19) + TIME(10,13,15)</f>
        <v>40317.425868055558</v>
      </c>
      <c r="C278">
        <v>80</v>
      </c>
      <c r="D278">
        <v>79.951301575000002</v>
      </c>
      <c r="E278">
        <v>40</v>
      </c>
      <c r="F278">
        <v>14.999605179</v>
      </c>
      <c r="G278">
        <v>1342.1541748</v>
      </c>
      <c r="H278">
        <v>1339.3144531</v>
      </c>
      <c r="I278">
        <v>1320.1749268000001</v>
      </c>
      <c r="J278">
        <v>1315.6422118999999</v>
      </c>
      <c r="K278">
        <v>2750</v>
      </c>
      <c r="L278">
        <v>0</v>
      </c>
      <c r="M278">
        <v>0</v>
      </c>
      <c r="N278">
        <v>2750</v>
      </c>
    </row>
    <row r="279" spans="1:14" x14ac:dyDescent="0.25">
      <c r="A279">
        <v>18.633759999999999</v>
      </c>
      <c r="B279" s="1">
        <f>DATE(2010,5,19) + TIME(15,12,36)</f>
        <v>40317.633750000001</v>
      </c>
      <c r="C279">
        <v>80</v>
      </c>
      <c r="D279">
        <v>79.951278686999999</v>
      </c>
      <c r="E279">
        <v>40</v>
      </c>
      <c r="F279">
        <v>14.999607085999999</v>
      </c>
      <c r="G279">
        <v>1342.1494141000001</v>
      </c>
      <c r="H279">
        <v>1339.3110352000001</v>
      </c>
      <c r="I279">
        <v>1320.1751709</v>
      </c>
      <c r="J279">
        <v>1315.6424560999999</v>
      </c>
      <c r="K279">
        <v>2750</v>
      </c>
      <c r="L279">
        <v>0</v>
      </c>
      <c r="M279">
        <v>0</v>
      </c>
      <c r="N279">
        <v>2750</v>
      </c>
    </row>
    <row r="280" spans="1:14" x14ac:dyDescent="0.25">
      <c r="A280">
        <v>18.841746000000001</v>
      </c>
      <c r="B280" s="1">
        <f>DATE(2010,5,19) + TIME(20,12,6)</f>
        <v>40317.841736111113</v>
      </c>
      <c r="C280">
        <v>80</v>
      </c>
      <c r="D280">
        <v>79.951248168999996</v>
      </c>
      <c r="E280">
        <v>40</v>
      </c>
      <c r="F280">
        <v>14.99960804</v>
      </c>
      <c r="G280">
        <v>1342.1394043</v>
      </c>
      <c r="H280">
        <v>1339.3038329999999</v>
      </c>
      <c r="I280">
        <v>1320.1756591999999</v>
      </c>
      <c r="J280">
        <v>1315.6428223</v>
      </c>
      <c r="K280">
        <v>2750</v>
      </c>
      <c r="L280">
        <v>0</v>
      </c>
      <c r="M280">
        <v>0</v>
      </c>
      <c r="N280">
        <v>2750</v>
      </c>
    </row>
    <row r="281" spans="1:14" x14ac:dyDescent="0.25">
      <c r="A281">
        <v>19.051459999999999</v>
      </c>
      <c r="B281" s="1">
        <f>DATE(2010,5,20) + TIME(1,14,6)</f>
        <v>40318.051458333335</v>
      </c>
      <c r="C281">
        <v>80</v>
      </c>
      <c r="D281">
        <v>79.951225281000006</v>
      </c>
      <c r="E281">
        <v>40</v>
      </c>
      <c r="F281">
        <v>14.999609947</v>
      </c>
      <c r="G281">
        <v>1342.1296387</v>
      </c>
      <c r="H281">
        <v>1339.2967529</v>
      </c>
      <c r="I281">
        <v>1320.1762695</v>
      </c>
      <c r="J281">
        <v>1315.6433105000001</v>
      </c>
      <c r="K281">
        <v>2750</v>
      </c>
      <c r="L281">
        <v>0</v>
      </c>
      <c r="M281">
        <v>0</v>
      </c>
      <c r="N281">
        <v>2750</v>
      </c>
    </row>
    <row r="282" spans="1:14" x14ac:dyDescent="0.25">
      <c r="A282">
        <v>19.263286999999998</v>
      </c>
      <c r="B282" s="1">
        <f>DATE(2010,5,20) + TIME(6,19,7)</f>
        <v>40318.263275462959</v>
      </c>
      <c r="C282">
        <v>80</v>
      </c>
      <c r="D282">
        <v>79.951194763000004</v>
      </c>
      <c r="E282">
        <v>40</v>
      </c>
      <c r="F282">
        <v>14.999610901</v>
      </c>
      <c r="G282">
        <v>1342.1198730000001</v>
      </c>
      <c r="H282">
        <v>1339.2896728999999</v>
      </c>
      <c r="I282">
        <v>1320.1767577999999</v>
      </c>
      <c r="J282">
        <v>1315.6436768000001</v>
      </c>
      <c r="K282">
        <v>2750</v>
      </c>
      <c r="L282">
        <v>0</v>
      </c>
      <c r="M282">
        <v>0</v>
      </c>
      <c r="N282">
        <v>2750</v>
      </c>
    </row>
    <row r="283" spans="1:14" x14ac:dyDescent="0.25">
      <c r="A283">
        <v>19.477630999999999</v>
      </c>
      <c r="B283" s="1">
        <f>DATE(2010,5,20) + TIME(11,27,47)</f>
        <v>40318.477627314816</v>
      </c>
      <c r="C283">
        <v>80</v>
      </c>
      <c r="D283">
        <v>79.951164246000005</v>
      </c>
      <c r="E283">
        <v>40</v>
      </c>
      <c r="F283">
        <v>14.999612808</v>
      </c>
      <c r="G283">
        <v>1342.1099853999999</v>
      </c>
      <c r="H283">
        <v>1339.2825928</v>
      </c>
      <c r="I283">
        <v>1320.1772461</v>
      </c>
      <c r="J283">
        <v>1315.644043</v>
      </c>
      <c r="K283">
        <v>2750</v>
      </c>
      <c r="L283">
        <v>0</v>
      </c>
      <c r="M283">
        <v>0</v>
      </c>
      <c r="N283">
        <v>2750</v>
      </c>
    </row>
    <row r="284" spans="1:14" x14ac:dyDescent="0.25">
      <c r="A284">
        <v>19.694918999999999</v>
      </c>
      <c r="B284" s="1">
        <f>DATE(2010,5,20) + TIME(16,40,40)</f>
        <v>40318.694907407407</v>
      </c>
      <c r="C284">
        <v>80</v>
      </c>
      <c r="D284">
        <v>79.951141356999997</v>
      </c>
      <c r="E284">
        <v>40</v>
      </c>
      <c r="F284">
        <v>14.999613761999999</v>
      </c>
      <c r="G284">
        <v>1342.1002197</v>
      </c>
      <c r="H284">
        <v>1339.2755127</v>
      </c>
      <c r="I284">
        <v>1320.1777344</v>
      </c>
      <c r="J284">
        <v>1315.6445312000001</v>
      </c>
      <c r="K284">
        <v>2750</v>
      </c>
      <c r="L284">
        <v>0</v>
      </c>
      <c r="M284">
        <v>0</v>
      </c>
      <c r="N284">
        <v>2750</v>
      </c>
    </row>
    <row r="285" spans="1:14" x14ac:dyDescent="0.25">
      <c r="A285">
        <v>19.915611999999999</v>
      </c>
      <c r="B285" s="1">
        <f>DATE(2010,5,20) + TIME(21,58,28)</f>
        <v>40318.915601851855</v>
      </c>
      <c r="C285">
        <v>80</v>
      </c>
      <c r="D285">
        <v>79.951110839999998</v>
      </c>
      <c r="E285">
        <v>40</v>
      </c>
      <c r="F285">
        <v>14.999615669000001</v>
      </c>
      <c r="G285">
        <v>1342.090332</v>
      </c>
      <c r="H285">
        <v>1339.2684326000001</v>
      </c>
      <c r="I285">
        <v>1320.1783447</v>
      </c>
      <c r="J285">
        <v>1315.6448975000001</v>
      </c>
      <c r="K285">
        <v>2750</v>
      </c>
      <c r="L285">
        <v>0</v>
      </c>
      <c r="M285">
        <v>0</v>
      </c>
      <c r="N285">
        <v>2750</v>
      </c>
    </row>
    <row r="286" spans="1:14" x14ac:dyDescent="0.25">
      <c r="A286">
        <v>20.140312000000002</v>
      </c>
      <c r="B286" s="1">
        <f>DATE(2010,5,21) + TIME(3,22,2)</f>
        <v>40319.140300925923</v>
      </c>
      <c r="C286">
        <v>80</v>
      </c>
      <c r="D286">
        <v>79.951080321999996</v>
      </c>
      <c r="E286">
        <v>40</v>
      </c>
      <c r="F286">
        <v>14.999616623</v>
      </c>
      <c r="G286">
        <v>1342.0804443</v>
      </c>
      <c r="H286">
        <v>1339.2612305</v>
      </c>
      <c r="I286">
        <v>1320.1788329999999</v>
      </c>
      <c r="J286">
        <v>1315.6453856999999</v>
      </c>
      <c r="K286">
        <v>2750</v>
      </c>
      <c r="L286">
        <v>0</v>
      </c>
      <c r="M286">
        <v>0</v>
      </c>
      <c r="N286">
        <v>2750</v>
      </c>
    </row>
    <row r="287" spans="1:14" x14ac:dyDescent="0.25">
      <c r="A287">
        <v>20.369503999999999</v>
      </c>
      <c r="B287" s="1">
        <f>DATE(2010,5,21) + TIME(8,52,5)</f>
        <v>40319.369502314818</v>
      </c>
      <c r="C287">
        <v>80</v>
      </c>
      <c r="D287">
        <v>79.951049804999997</v>
      </c>
      <c r="E287">
        <v>40</v>
      </c>
      <c r="F287">
        <v>14.999618529999999</v>
      </c>
      <c r="G287">
        <v>1342.0704346</v>
      </c>
      <c r="H287">
        <v>1339.2540283000001</v>
      </c>
      <c r="I287">
        <v>1320.1794434000001</v>
      </c>
      <c r="J287">
        <v>1315.6457519999999</v>
      </c>
      <c r="K287">
        <v>2750</v>
      </c>
      <c r="L287">
        <v>0</v>
      </c>
      <c r="M287">
        <v>0</v>
      </c>
      <c r="N287">
        <v>2750</v>
      </c>
    </row>
    <row r="288" spans="1:14" x14ac:dyDescent="0.25">
      <c r="A288">
        <v>20.485257000000001</v>
      </c>
      <c r="B288" s="1">
        <f>DATE(2010,5,21) + TIME(11,38,46)</f>
        <v>40319.485254629632</v>
      </c>
      <c r="C288">
        <v>80</v>
      </c>
      <c r="D288">
        <v>79.951026916999993</v>
      </c>
      <c r="E288">
        <v>40</v>
      </c>
      <c r="F288">
        <v>14.999619484</v>
      </c>
      <c r="G288">
        <v>1342.0603027</v>
      </c>
      <c r="H288">
        <v>1339.2467041</v>
      </c>
      <c r="I288">
        <v>1320.1799315999999</v>
      </c>
      <c r="J288">
        <v>1315.6462402</v>
      </c>
      <c r="K288">
        <v>2750</v>
      </c>
      <c r="L288">
        <v>0</v>
      </c>
      <c r="M288">
        <v>0</v>
      </c>
      <c r="N288">
        <v>2750</v>
      </c>
    </row>
    <row r="289" spans="1:14" x14ac:dyDescent="0.25">
      <c r="A289">
        <v>20.601011</v>
      </c>
      <c r="B289" s="1">
        <f>DATE(2010,5,21) + TIME(14,25,27)</f>
        <v>40319.601006944446</v>
      </c>
      <c r="C289">
        <v>80</v>
      </c>
      <c r="D289">
        <v>79.951004028</v>
      </c>
      <c r="E289">
        <v>40</v>
      </c>
      <c r="F289">
        <v>14.999620438000001</v>
      </c>
      <c r="G289">
        <v>1342.0551757999999</v>
      </c>
      <c r="H289">
        <v>1339.2429199000001</v>
      </c>
      <c r="I289">
        <v>1320.1801757999999</v>
      </c>
      <c r="J289">
        <v>1315.6464844</v>
      </c>
      <c r="K289">
        <v>2750</v>
      </c>
      <c r="L289">
        <v>0</v>
      </c>
      <c r="M289">
        <v>0</v>
      </c>
      <c r="N289">
        <v>2750</v>
      </c>
    </row>
    <row r="290" spans="1:14" x14ac:dyDescent="0.25">
      <c r="A290">
        <v>20.716764000000001</v>
      </c>
      <c r="B290" s="1">
        <f>DATE(2010,5,21) + TIME(17,12,8)</f>
        <v>40319.71675925926</v>
      </c>
      <c r="C290">
        <v>80</v>
      </c>
      <c r="D290">
        <v>79.950988769999995</v>
      </c>
      <c r="E290">
        <v>40</v>
      </c>
      <c r="F290">
        <v>14.999621391</v>
      </c>
      <c r="G290">
        <v>1342.0501709</v>
      </c>
      <c r="H290">
        <v>1339.2393798999999</v>
      </c>
      <c r="I290">
        <v>1320.1805420000001</v>
      </c>
      <c r="J290">
        <v>1315.6467285000001</v>
      </c>
      <c r="K290">
        <v>2750</v>
      </c>
      <c r="L290">
        <v>0</v>
      </c>
      <c r="M290">
        <v>0</v>
      </c>
      <c r="N290">
        <v>2750</v>
      </c>
    </row>
    <row r="291" spans="1:14" x14ac:dyDescent="0.25">
      <c r="A291">
        <v>20.832518</v>
      </c>
      <c r="B291" s="1">
        <f>DATE(2010,5,21) + TIME(19,58,49)</f>
        <v>40319.832511574074</v>
      </c>
      <c r="C291">
        <v>80</v>
      </c>
      <c r="D291">
        <v>79.950973511000001</v>
      </c>
      <c r="E291">
        <v>40</v>
      </c>
      <c r="F291">
        <v>14.999621391</v>
      </c>
      <c r="G291">
        <v>1342.0451660000001</v>
      </c>
      <c r="H291">
        <v>1339.2357178</v>
      </c>
      <c r="I291">
        <v>1320.1807861</v>
      </c>
      <c r="J291">
        <v>1315.6468506000001</v>
      </c>
      <c r="K291">
        <v>2750</v>
      </c>
      <c r="L291">
        <v>0</v>
      </c>
      <c r="M291">
        <v>0</v>
      </c>
      <c r="N291">
        <v>2750</v>
      </c>
    </row>
    <row r="292" spans="1:14" x14ac:dyDescent="0.25">
      <c r="A292">
        <v>20.948271999999999</v>
      </c>
      <c r="B292" s="1">
        <f>DATE(2010,5,21) + TIME(22,45,30)</f>
        <v>40319.948263888888</v>
      </c>
      <c r="C292">
        <v>80</v>
      </c>
      <c r="D292">
        <v>79.950958252000007</v>
      </c>
      <c r="E292">
        <v>40</v>
      </c>
      <c r="F292">
        <v>14.999622345000001</v>
      </c>
      <c r="G292">
        <v>1342.0401611</v>
      </c>
      <c r="H292">
        <v>1339.2321777</v>
      </c>
      <c r="I292">
        <v>1320.1810303</v>
      </c>
      <c r="J292">
        <v>1315.6470947</v>
      </c>
      <c r="K292">
        <v>2750</v>
      </c>
      <c r="L292">
        <v>0</v>
      </c>
      <c r="M292">
        <v>0</v>
      </c>
      <c r="N292">
        <v>2750</v>
      </c>
    </row>
    <row r="293" spans="1:14" x14ac:dyDescent="0.25">
      <c r="A293">
        <v>21.064025000000001</v>
      </c>
      <c r="B293" s="1">
        <f>DATE(2010,5,22) + TIME(1,32,11)</f>
        <v>40320.064016203702</v>
      </c>
      <c r="C293">
        <v>80</v>
      </c>
      <c r="D293">
        <v>79.950935364000003</v>
      </c>
      <c r="E293">
        <v>40</v>
      </c>
      <c r="F293">
        <v>14.999623299</v>
      </c>
      <c r="G293">
        <v>1342.0352783000001</v>
      </c>
      <c r="H293">
        <v>1339.2286377</v>
      </c>
      <c r="I293">
        <v>1320.1813964999999</v>
      </c>
      <c r="J293">
        <v>1315.6473389</v>
      </c>
      <c r="K293">
        <v>2750</v>
      </c>
      <c r="L293">
        <v>0</v>
      </c>
      <c r="M293">
        <v>0</v>
      </c>
      <c r="N293">
        <v>2750</v>
      </c>
    </row>
    <row r="294" spans="1:14" x14ac:dyDescent="0.25">
      <c r="A294">
        <v>21.179779</v>
      </c>
      <c r="B294" s="1">
        <f>DATE(2010,5,22) + TIME(4,18,52)</f>
        <v>40320.179768518516</v>
      </c>
      <c r="C294">
        <v>80</v>
      </c>
      <c r="D294">
        <v>79.950920104999994</v>
      </c>
      <c r="E294">
        <v>40</v>
      </c>
      <c r="F294">
        <v>14.999624252</v>
      </c>
      <c r="G294">
        <v>1342.0302733999999</v>
      </c>
      <c r="H294">
        <v>1339.2249756000001</v>
      </c>
      <c r="I294">
        <v>1320.1816406</v>
      </c>
      <c r="J294">
        <v>1315.6475829999999</v>
      </c>
      <c r="K294">
        <v>2750</v>
      </c>
      <c r="L294">
        <v>0</v>
      </c>
      <c r="M294">
        <v>0</v>
      </c>
      <c r="N294">
        <v>2750</v>
      </c>
    </row>
    <row r="295" spans="1:14" x14ac:dyDescent="0.25">
      <c r="A295">
        <v>21.295532000000001</v>
      </c>
      <c r="B295" s="1">
        <f>DATE(2010,5,22) + TIME(7,5,34)</f>
        <v>40320.295532407406</v>
      </c>
      <c r="C295">
        <v>80</v>
      </c>
      <c r="D295">
        <v>79.950904846</v>
      </c>
      <c r="E295">
        <v>40</v>
      </c>
      <c r="F295">
        <v>14.999625205999999</v>
      </c>
      <c r="G295">
        <v>1342.0253906</v>
      </c>
      <c r="H295">
        <v>1339.2215576000001</v>
      </c>
      <c r="I295">
        <v>1320.1818848</v>
      </c>
      <c r="J295">
        <v>1315.6478271000001</v>
      </c>
      <c r="K295">
        <v>2750</v>
      </c>
      <c r="L295">
        <v>0</v>
      </c>
      <c r="M295">
        <v>0</v>
      </c>
      <c r="N295">
        <v>2750</v>
      </c>
    </row>
    <row r="296" spans="1:14" x14ac:dyDescent="0.25">
      <c r="A296">
        <v>21.411286</v>
      </c>
      <c r="B296" s="1">
        <f>DATE(2010,5,22) + TIME(9,52,15)</f>
        <v>40320.41128472222</v>
      </c>
      <c r="C296">
        <v>80</v>
      </c>
      <c r="D296">
        <v>79.950889587000006</v>
      </c>
      <c r="E296">
        <v>40</v>
      </c>
      <c r="F296">
        <v>14.99962616</v>
      </c>
      <c r="G296">
        <v>1342.0205077999999</v>
      </c>
      <c r="H296">
        <v>1339.2180175999999</v>
      </c>
      <c r="I296">
        <v>1320.182251</v>
      </c>
      <c r="J296">
        <v>1315.6480713000001</v>
      </c>
      <c r="K296">
        <v>2750</v>
      </c>
      <c r="L296">
        <v>0</v>
      </c>
      <c r="M296">
        <v>0</v>
      </c>
      <c r="N296">
        <v>2750</v>
      </c>
    </row>
    <row r="297" spans="1:14" x14ac:dyDescent="0.25">
      <c r="A297">
        <v>21.52704</v>
      </c>
      <c r="B297" s="1">
        <f>DATE(2010,5,22) + TIME(12,38,56)</f>
        <v>40320.527037037034</v>
      </c>
      <c r="C297">
        <v>80</v>
      </c>
      <c r="D297">
        <v>79.950874329000001</v>
      </c>
      <c r="E297">
        <v>40</v>
      </c>
      <c r="F297">
        <v>14.99962616</v>
      </c>
      <c r="G297">
        <v>1342.0157471</v>
      </c>
      <c r="H297">
        <v>1339.2144774999999</v>
      </c>
      <c r="I297">
        <v>1320.1824951000001</v>
      </c>
      <c r="J297">
        <v>1315.6483154</v>
      </c>
      <c r="K297">
        <v>2750</v>
      </c>
      <c r="L297">
        <v>0</v>
      </c>
      <c r="M297">
        <v>0</v>
      </c>
      <c r="N297">
        <v>2750</v>
      </c>
    </row>
    <row r="298" spans="1:14" x14ac:dyDescent="0.25">
      <c r="A298">
        <v>21.642793000000001</v>
      </c>
      <c r="B298" s="1">
        <f>DATE(2010,5,22) + TIME(15,25,37)</f>
        <v>40320.642789351848</v>
      </c>
      <c r="C298">
        <v>80</v>
      </c>
      <c r="D298">
        <v>79.950859070000007</v>
      </c>
      <c r="E298">
        <v>40</v>
      </c>
      <c r="F298">
        <v>14.999627113000001</v>
      </c>
      <c r="G298">
        <v>1342.0108643000001</v>
      </c>
      <c r="H298">
        <v>1339.2110596</v>
      </c>
      <c r="I298">
        <v>1320.1828613</v>
      </c>
      <c r="J298">
        <v>1315.6485596</v>
      </c>
      <c r="K298">
        <v>2750</v>
      </c>
      <c r="L298">
        <v>0</v>
      </c>
      <c r="M298">
        <v>0</v>
      </c>
      <c r="N298">
        <v>2750</v>
      </c>
    </row>
    <row r="299" spans="1:14" x14ac:dyDescent="0.25">
      <c r="A299">
        <v>21.758547</v>
      </c>
      <c r="B299" s="1">
        <f>DATE(2010,5,22) + TIME(18,12,18)</f>
        <v>40320.75854166667</v>
      </c>
      <c r="C299">
        <v>80</v>
      </c>
      <c r="D299">
        <v>79.950851439999994</v>
      </c>
      <c r="E299">
        <v>40</v>
      </c>
      <c r="F299">
        <v>14.999628067</v>
      </c>
      <c r="G299">
        <v>1342.0061035000001</v>
      </c>
      <c r="H299">
        <v>1339.2075195</v>
      </c>
      <c r="I299">
        <v>1320.1831055</v>
      </c>
      <c r="J299">
        <v>1315.6488036999999</v>
      </c>
      <c r="K299">
        <v>2750</v>
      </c>
      <c r="L299">
        <v>0</v>
      </c>
      <c r="M299">
        <v>0</v>
      </c>
      <c r="N299">
        <v>2750</v>
      </c>
    </row>
    <row r="300" spans="1:14" x14ac:dyDescent="0.25">
      <c r="A300">
        <v>21.874300000000002</v>
      </c>
      <c r="B300" s="1">
        <f>DATE(2010,5,22) + TIME(20,58,59)</f>
        <v>40320.874293981484</v>
      </c>
      <c r="C300">
        <v>80</v>
      </c>
      <c r="D300">
        <v>79.950836182000003</v>
      </c>
      <c r="E300">
        <v>40</v>
      </c>
      <c r="F300">
        <v>14.999629021000001</v>
      </c>
      <c r="G300">
        <v>1342.0013428</v>
      </c>
      <c r="H300">
        <v>1339.2041016000001</v>
      </c>
      <c r="I300">
        <v>1320.1833495999999</v>
      </c>
      <c r="J300">
        <v>1315.6489257999999</v>
      </c>
      <c r="K300">
        <v>2750</v>
      </c>
      <c r="L300">
        <v>0</v>
      </c>
      <c r="M300">
        <v>0</v>
      </c>
      <c r="N300">
        <v>2750</v>
      </c>
    </row>
    <row r="301" spans="1:14" x14ac:dyDescent="0.25">
      <c r="A301">
        <v>21.990054000000001</v>
      </c>
      <c r="B301" s="1">
        <f>DATE(2010,5,22) + TIME(23,45,40)</f>
        <v>40320.990046296298</v>
      </c>
      <c r="C301">
        <v>80</v>
      </c>
      <c r="D301">
        <v>79.950820922999995</v>
      </c>
      <c r="E301">
        <v>40</v>
      </c>
      <c r="F301">
        <v>14.999629973999999</v>
      </c>
      <c r="G301">
        <v>1341.996582</v>
      </c>
      <c r="H301">
        <v>1339.2006836</v>
      </c>
      <c r="I301">
        <v>1320.1837158000001</v>
      </c>
      <c r="J301">
        <v>1315.6491699000001</v>
      </c>
      <c r="K301">
        <v>2750</v>
      </c>
      <c r="L301">
        <v>0</v>
      </c>
      <c r="M301">
        <v>0</v>
      </c>
      <c r="N301">
        <v>2750</v>
      </c>
    </row>
    <row r="302" spans="1:14" x14ac:dyDescent="0.25">
      <c r="A302">
        <v>22.105808</v>
      </c>
      <c r="B302" s="1">
        <f>DATE(2010,5,23) + TIME(2,32,21)</f>
        <v>40321.105798611112</v>
      </c>
      <c r="C302">
        <v>80</v>
      </c>
      <c r="D302">
        <v>79.950805664000001</v>
      </c>
      <c r="E302">
        <v>40</v>
      </c>
      <c r="F302">
        <v>14.999629973999999</v>
      </c>
      <c r="G302">
        <v>1341.9918213000001</v>
      </c>
      <c r="H302">
        <v>1339.1972656</v>
      </c>
      <c r="I302">
        <v>1320.1839600000001</v>
      </c>
      <c r="J302">
        <v>1315.6494141000001</v>
      </c>
      <c r="K302">
        <v>2750</v>
      </c>
      <c r="L302">
        <v>0</v>
      </c>
      <c r="M302">
        <v>0</v>
      </c>
      <c r="N302">
        <v>2750</v>
      </c>
    </row>
    <row r="303" spans="1:14" x14ac:dyDescent="0.25">
      <c r="A303">
        <v>22.221561000000001</v>
      </c>
      <c r="B303" s="1">
        <f>DATE(2010,5,23) + TIME(5,19,2)</f>
        <v>40321.221550925926</v>
      </c>
      <c r="C303">
        <v>80</v>
      </c>
      <c r="D303">
        <v>79.950790405000006</v>
      </c>
      <c r="E303">
        <v>40</v>
      </c>
      <c r="F303">
        <v>14.999630928</v>
      </c>
      <c r="G303">
        <v>1341.9870605000001</v>
      </c>
      <c r="H303">
        <v>1339.1938477000001</v>
      </c>
      <c r="I303">
        <v>1320.1842041</v>
      </c>
      <c r="J303">
        <v>1315.6496582</v>
      </c>
      <c r="K303">
        <v>2750</v>
      </c>
      <c r="L303">
        <v>0</v>
      </c>
      <c r="M303">
        <v>0</v>
      </c>
      <c r="N303">
        <v>2750</v>
      </c>
    </row>
    <row r="304" spans="1:14" x14ac:dyDescent="0.25">
      <c r="A304">
        <v>22.337315</v>
      </c>
      <c r="B304" s="1">
        <f>DATE(2010,5,23) + TIME(8,5,44)</f>
        <v>40321.337314814817</v>
      </c>
      <c r="C304">
        <v>80</v>
      </c>
      <c r="D304">
        <v>79.950775145999998</v>
      </c>
      <c r="E304">
        <v>40</v>
      </c>
      <c r="F304">
        <v>14.999631881999999</v>
      </c>
      <c r="G304">
        <v>1341.9824219</v>
      </c>
      <c r="H304">
        <v>1339.1905518000001</v>
      </c>
      <c r="I304">
        <v>1320.1845702999999</v>
      </c>
      <c r="J304">
        <v>1315.6499022999999</v>
      </c>
      <c r="K304">
        <v>2750</v>
      </c>
      <c r="L304">
        <v>0</v>
      </c>
      <c r="M304">
        <v>0</v>
      </c>
      <c r="N304">
        <v>2750</v>
      </c>
    </row>
    <row r="305" spans="1:14" x14ac:dyDescent="0.25">
      <c r="A305">
        <v>22.568822000000001</v>
      </c>
      <c r="B305" s="1">
        <f>DATE(2010,5,23) + TIME(13,39,6)</f>
        <v>40321.568819444445</v>
      </c>
      <c r="C305">
        <v>80</v>
      </c>
      <c r="D305">
        <v>79.950759887999993</v>
      </c>
      <c r="E305">
        <v>40</v>
      </c>
      <c r="F305">
        <v>14.999632835</v>
      </c>
      <c r="G305">
        <v>1341.9779053</v>
      </c>
      <c r="H305">
        <v>1339.1872559000001</v>
      </c>
      <c r="I305">
        <v>1320.1849365</v>
      </c>
      <c r="J305">
        <v>1315.6501464999999</v>
      </c>
      <c r="K305">
        <v>2750</v>
      </c>
      <c r="L305">
        <v>0</v>
      </c>
      <c r="M305">
        <v>0</v>
      </c>
      <c r="N305">
        <v>2750</v>
      </c>
    </row>
    <row r="306" spans="1:14" x14ac:dyDescent="0.25">
      <c r="A306">
        <v>22.801113999999998</v>
      </c>
      <c r="B306" s="1">
        <f>DATE(2010,5,23) + TIME(19,13,36)</f>
        <v>40321.801111111112</v>
      </c>
      <c r="C306">
        <v>80</v>
      </c>
      <c r="D306">
        <v>79.950737000000004</v>
      </c>
      <c r="E306">
        <v>40</v>
      </c>
      <c r="F306">
        <v>14.999634743</v>
      </c>
      <c r="G306">
        <v>1341.9686279</v>
      </c>
      <c r="H306">
        <v>1339.1806641000001</v>
      </c>
      <c r="I306">
        <v>1320.1854248</v>
      </c>
      <c r="J306">
        <v>1315.6506348</v>
      </c>
      <c r="K306">
        <v>2750</v>
      </c>
      <c r="L306">
        <v>0</v>
      </c>
      <c r="M306">
        <v>0</v>
      </c>
      <c r="N306">
        <v>2750</v>
      </c>
    </row>
    <row r="307" spans="1:14" x14ac:dyDescent="0.25">
      <c r="A307">
        <v>23.03633</v>
      </c>
      <c r="B307" s="1">
        <f>DATE(2010,5,24) + TIME(0,52,18)</f>
        <v>40322.036319444444</v>
      </c>
      <c r="C307">
        <v>80</v>
      </c>
      <c r="D307">
        <v>79.950714110999996</v>
      </c>
      <c r="E307">
        <v>40</v>
      </c>
      <c r="F307">
        <v>14.999635696</v>
      </c>
      <c r="G307">
        <v>1341.9594727000001</v>
      </c>
      <c r="H307">
        <v>1339.1740723</v>
      </c>
      <c r="I307">
        <v>1320.1860352000001</v>
      </c>
      <c r="J307">
        <v>1315.6511230000001</v>
      </c>
      <c r="K307">
        <v>2750</v>
      </c>
      <c r="L307">
        <v>0</v>
      </c>
      <c r="M307">
        <v>0</v>
      </c>
      <c r="N307">
        <v>2750</v>
      </c>
    </row>
    <row r="308" spans="1:14" x14ac:dyDescent="0.25">
      <c r="A308">
        <v>23.274934999999999</v>
      </c>
      <c r="B308" s="1">
        <f>DATE(2010,5,24) + TIME(6,35,54)</f>
        <v>40322.274930555555</v>
      </c>
      <c r="C308">
        <v>80</v>
      </c>
      <c r="D308">
        <v>79.950691223000007</v>
      </c>
      <c r="E308">
        <v>40</v>
      </c>
      <c r="F308">
        <v>14.999636649999999</v>
      </c>
      <c r="G308">
        <v>1341.9501952999999</v>
      </c>
      <c r="H308">
        <v>1339.1674805</v>
      </c>
      <c r="I308">
        <v>1320.1866454999999</v>
      </c>
      <c r="J308">
        <v>1315.6516113</v>
      </c>
      <c r="K308">
        <v>2750</v>
      </c>
      <c r="L308">
        <v>0</v>
      </c>
      <c r="M308">
        <v>0</v>
      </c>
      <c r="N308">
        <v>2750</v>
      </c>
    </row>
    <row r="309" spans="1:14" x14ac:dyDescent="0.25">
      <c r="A309">
        <v>23.517444000000001</v>
      </c>
      <c r="B309" s="1">
        <f>DATE(2010,5,24) + TIME(12,25,7)</f>
        <v>40322.517442129632</v>
      </c>
      <c r="C309">
        <v>80</v>
      </c>
      <c r="D309">
        <v>79.950668335000003</v>
      </c>
      <c r="E309">
        <v>40</v>
      </c>
      <c r="F309">
        <v>14.999638557000001</v>
      </c>
      <c r="G309">
        <v>1341.940918</v>
      </c>
      <c r="H309">
        <v>1339.1608887</v>
      </c>
      <c r="I309">
        <v>1320.1872559000001</v>
      </c>
      <c r="J309">
        <v>1315.6520995999999</v>
      </c>
      <c r="K309">
        <v>2750</v>
      </c>
      <c r="L309">
        <v>0</v>
      </c>
      <c r="M309">
        <v>0</v>
      </c>
      <c r="N309">
        <v>2750</v>
      </c>
    </row>
    <row r="310" spans="1:14" x14ac:dyDescent="0.25">
      <c r="A310">
        <v>23.764513000000001</v>
      </c>
      <c r="B310" s="1">
        <f>DATE(2010,5,24) + TIME(18,20,53)</f>
        <v>40322.764502314814</v>
      </c>
      <c r="C310">
        <v>80</v>
      </c>
      <c r="D310">
        <v>79.950637817</v>
      </c>
      <c r="E310">
        <v>40</v>
      </c>
      <c r="F310">
        <v>14.999639511</v>
      </c>
      <c r="G310">
        <v>1341.9316406</v>
      </c>
      <c r="H310">
        <v>1339.1541748</v>
      </c>
      <c r="I310">
        <v>1320.1878661999999</v>
      </c>
      <c r="J310">
        <v>1315.6525879000001</v>
      </c>
      <c r="K310">
        <v>2750</v>
      </c>
      <c r="L310">
        <v>0</v>
      </c>
      <c r="M310">
        <v>0</v>
      </c>
      <c r="N310">
        <v>2750</v>
      </c>
    </row>
    <row r="311" spans="1:14" x14ac:dyDescent="0.25">
      <c r="A311">
        <v>24.016635999999998</v>
      </c>
      <c r="B311" s="1">
        <f>DATE(2010,5,25) + TIME(0,23,57)</f>
        <v>40323.016631944447</v>
      </c>
      <c r="C311">
        <v>80</v>
      </c>
      <c r="D311">
        <v>79.950614928999997</v>
      </c>
      <c r="E311">
        <v>40</v>
      </c>
      <c r="F311">
        <v>14.999641418</v>
      </c>
      <c r="G311">
        <v>1341.9221190999999</v>
      </c>
      <c r="H311">
        <v>1339.1474608999999</v>
      </c>
      <c r="I311">
        <v>1320.1884766000001</v>
      </c>
      <c r="J311">
        <v>1315.6530762</v>
      </c>
      <c r="K311">
        <v>2750</v>
      </c>
      <c r="L311">
        <v>0</v>
      </c>
      <c r="M311">
        <v>0</v>
      </c>
      <c r="N311">
        <v>2750</v>
      </c>
    </row>
    <row r="312" spans="1:14" x14ac:dyDescent="0.25">
      <c r="A312">
        <v>24.144131999999999</v>
      </c>
      <c r="B312" s="1">
        <f>DATE(2010,5,25) + TIME(3,27,32)</f>
        <v>40323.144120370373</v>
      </c>
      <c r="C312">
        <v>80</v>
      </c>
      <c r="D312">
        <v>79.950592040999993</v>
      </c>
      <c r="E312">
        <v>40</v>
      </c>
      <c r="F312">
        <v>14.999642372</v>
      </c>
      <c r="G312">
        <v>1341.9124756000001</v>
      </c>
      <c r="H312">
        <v>1339.1403809000001</v>
      </c>
      <c r="I312">
        <v>1320.1890868999999</v>
      </c>
      <c r="J312">
        <v>1315.6535644999999</v>
      </c>
      <c r="K312">
        <v>2750</v>
      </c>
      <c r="L312">
        <v>0</v>
      </c>
      <c r="M312">
        <v>0</v>
      </c>
      <c r="N312">
        <v>2750</v>
      </c>
    </row>
    <row r="313" spans="1:14" x14ac:dyDescent="0.25">
      <c r="A313">
        <v>24.271339999999999</v>
      </c>
      <c r="B313" s="1">
        <f>DATE(2010,5,25) + TIME(6,30,43)</f>
        <v>40323.271331018521</v>
      </c>
      <c r="C313">
        <v>80</v>
      </c>
      <c r="D313">
        <v>79.950576781999999</v>
      </c>
      <c r="E313">
        <v>40</v>
      </c>
      <c r="F313">
        <v>14.999643325999999</v>
      </c>
      <c r="G313">
        <v>1341.9077147999999</v>
      </c>
      <c r="H313">
        <v>1339.1369629000001</v>
      </c>
      <c r="I313">
        <v>1320.1894531</v>
      </c>
      <c r="J313">
        <v>1315.6538086</v>
      </c>
      <c r="K313">
        <v>2750</v>
      </c>
      <c r="L313">
        <v>0</v>
      </c>
      <c r="M313">
        <v>0</v>
      </c>
      <c r="N313">
        <v>2750</v>
      </c>
    </row>
    <row r="314" spans="1:14" x14ac:dyDescent="0.25">
      <c r="A314">
        <v>24.398157999999999</v>
      </c>
      <c r="B314" s="1">
        <f>DATE(2010,5,25) + TIME(9,33,20)</f>
        <v>40323.398148148146</v>
      </c>
      <c r="C314">
        <v>80</v>
      </c>
      <c r="D314">
        <v>79.950561523000005</v>
      </c>
      <c r="E314">
        <v>40</v>
      </c>
      <c r="F314">
        <v>14.999643325999999</v>
      </c>
      <c r="G314">
        <v>1341.9029541</v>
      </c>
      <c r="H314">
        <v>1339.1335449000001</v>
      </c>
      <c r="I314">
        <v>1320.1898193</v>
      </c>
      <c r="J314">
        <v>1315.6540527</v>
      </c>
      <c r="K314">
        <v>2750</v>
      </c>
      <c r="L314">
        <v>0</v>
      </c>
      <c r="M314">
        <v>0</v>
      </c>
      <c r="N314">
        <v>2750</v>
      </c>
    </row>
    <row r="315" spans="1:14" x14ac:dyDescent="0.25">
      <c r="A315">
        <v>24.524659</v>
      </c>
      <c r="B315" s="1">
        <f>DATE(2010,5,25) + TIME(12,35,30)</f>
        <v>40323.524652777778</v>
      </c>
      <c r="C315">
        <v>80</v>
      </c>
      <c r="D315">
        <v>79.950546265</v>
      </c>
      <c r="E315">
        <v>40</v>
      </c>
      <c r="F315">
        <v>14.999644279</v>
      </c>
      <c r="G315">
        <v>1341.8981934000001</v>
      </c>
      <c r="H315">
        <v>1339.1301269999999</v>
      </c>
      <c r="I315">
        <v>1320.1900635</v>
      </c>
      <c r="J315">
        <v>1315.6542969</v>
      </c>
      <c r="K315">
        <v>2750</v>
      </c>
      <c r="L315">
        <v>0</v>
      </c>
      <c r="M315">
        <v>0</v>
      </c>
      <c r="N315">
        <v>2750</v>
      </c>
    </row>
    <row r="316" spans="1:14" x14ac:dyDescent="0.25">
      <c r="A316">
        <v>24.650915999999999</v>
      </c>
      <c r="B316" s="1">
        <f>DATE(2010,5,25) + TIME(15,37,19)</f>
        <v>40323.650914351849</v>
      </c>
      <c r="C316">
        <v>80</v>
      </c>
      <c r="D316">
        <v>79.950531006000006</v>
      </c>
      <c r="E316">
        <v>40</v>
      </c>
      <c r="F316">
        <v>14.999645233000001</v>
      </c>
      <c r="G316">
        <v>1341.8935547000001</v>
      </c>
      <c r="H316">
        <v>1339.1268310999999</v>
      </c>
      <c r="I316">
        <v>1320.1904297000001</v>
      </c>
      <c r="J316">
        <v>1315.6545410000001</v>
      </c>
      <c r="K316">
        <v>2750</v>
      </c>
      <c r="L316">
        <v>0</v>
      </c>
      <c r="M316">
        <v>0</v>
      </c>
      <c r="N316">
        <v>2750</v>
      </c>
    </row>
    <row r="317" spans="1:14" x14ac:dyDescent="0.25">
      <c r="A317">
        <v>24.776997999999999</v>
      </c>
      <c r="B317" s="1">
        <f>DATE(2010,5,25) + TIME(18,38,52)</f>
        <v>40323.776990740742</v>
      </c>
      <c r="C317">
        <v>80</v>
      </c>
      <c r="D317">
        <v>79.950515746999997</v>
      </c>
      <c r="E317">
        <v>40</v>
      </c>
      <c r="F317">
        <v>14.999646187</v>
      </c>
      <c r="G317">
        <v>1341.8889160000001</v>
      </c>
      <c r="H317">
        <v>1339.1234131000001</v>
      </c>
      <c r="I317">
        <v>1320.1907959</v>
      </c>
      <c r="J317">
        <v>1315.6549072</v>
      </c>
      <c r="K317">
        <v>2750</v>
      </c>
      <c r="L317">
        <v>0</v>
      </c>
      <c r="M317">
        <v>0</v>
      </c>
      <c r="N317">
        <v>2750</v>
      </c>
    </row>
    <row r="318" spans="1:14" x14ac:dyDescent="0.25">
      <c r="A318">
        <v>24.902949</v>
      </c>
      <c r="B318" s="1">
        <f>DATE(2010,5,25) + TIME(21,40,14)</f>
        <v>40323.902939814812</v>
      </c>
      <c r="C318">
        <v>80</v>
      </c>
      <c r="D318">
        <v>79.950500488000003</v>
      </c>
      <c r="E318">
        <v>40</v>
      </c>
      <c r="F318">
        <v>14.999647141000001</v>
      </c>
      <c r="G318">
        <v>1341.8842772999999</v>
      </c>
      <c r="H318">
        <v>1339.1201172000001</v>
      </c>
      <c r="I318">
        <v>1320.1910399999999</v>
      </c>
      <c r="J318">
        <v>1315.6551514</v>
      </c>
      <c r="K318">
        <v>2750</v>
      </c>
      <c r="L318">
        <v>0</v>
      </c>
      <c r="M318">
        <v>0</v>
      </c>
      <c r="N318">
        <v>2750</v>
      </c>
    </row>
    <row r="319" spans="1:14" x14ac:dyDescent="0.25">
      <c r="A319">
        <v>25.028866000000001</v>
      </c>
      <c r="B319" s="1">
        <f>DATE(2010,5,26) + TIME(0,41,34)</f>
        <v>40324.028865740744</v>
      </c>
      <c r="C319">
        <v>80</v>
      </c>
      <c r="D319">
        <v>79.950485228999995</v>
      </c>
      <c r="E319">
        <v>40</v>
      </c>
      <c r="F319">
        <v>14.999647141000001</v>
      </c>
      <c r="G319">
        <v>1341.8796387</v>
      </c>
      <c r="H319">
        <v>1339.1168213000001</v>
      </c>
      <c r="I319">
        <v>1320.1914062000001</v>
      </c>
      <c r="J319">
        <v>1315.6553954999999</v>
      </c>
      <c r="K319">
        <v>2750</v>
      </c>
      <c r="L319">
        <v>0</v>
      </c>
      <c r="M319">
        <v>0</v>
      </c>
      <c r="N319">
        <v>2750</v>
      </c>
    </row>
    <row r="320" spans="1:14" x14ac:dyDescent="0.25">
      <c r="A320">
        <v>25.154783999999999</v>
      </c>
      <c r="B320" s="1">
        <f>DATE(2010,5,26) + TIME(3,42,53)</f>
        <v>40324.154780092591</v>
      </c>
      <c r="C320">
        <v>80</v>
      </c>
      <c r="D320">
        <v>79.950469971000004</v>
      </c>
      <c r="E320">
        <v>40</v>
      </c>
      <c r="F320">
        <v>14.999648093999999</v>
      </c>
      <c r="G320">
        <v>1341.8751221</v>
      </c>
      <c r="H320">
        <v>1339.1135254000001</v>
      </c>
      <c r="I320">
        <v>1320.1917725000001</v>
      </c>
      <c r="J320">
        <v>1315.6556396000001</v>
      </c>
      <c r="K320">
        <v>2750</v>
      </c>
      <c r="L320">
        <v>0</v>
      </c>
      <c r="M320">
        <v>0</v>
      </c>
      <c r="N320">
        <v>2750</v>
      </c>
    </row>
    <row r="321" spans="1:14" x14ac:dyDescent="0.25">
      <c r="A321">
        <v>25.280701000000001</v>
      </c>
      <c r="B321" s="1">
        <f>DATE(2010,5,26) + TIME(6,44,12)</f>
        <v>40324.280694444446</v>
      </c>
      <c r="C321">
        <v>80</v>
      </c>
      <c r="D321">
        <v>79.950462341000005</v>
      </c>
      <c r="E321">
        <v>40</v>
      </c>
      <c r="F321">
        <v>14.999649048</v>
      </c>
      <c r="G321">
        <v>1341.8706055</v>
      </c>
      <c r="H321">
        <v>1339.1102295000001</v>
      </c>
      <c r="I321">
        <v>1320.1920166</v>
      </c>
      <c r="J321">
        <v>1315.6558838000001</v>
      </c>
      <c r="K321">
        <v>2750</v>
      </c>
      <c r="L321">
        <v>0</v>
      </c>
      <c r="M321">
        <v>0</v>
      </c>
      <c r="N321">
        <v>2750</v>
      </c>
    </row>
    <row r="322" spans="1:14" x14ac:dyDescent="0.25">
      <c r="A322">
        <v>25.406618000000002</v>
      </c>
      <c r="B322" s="1">
        <f>DATE(2010,5,26) + TIME(9,45,31)</f>
        <v>40324.406608796293</v>
      </c>
      <c r="C322">
        <v>80</v>
      </c>
      <c r="D322">
        <v>79.950447083</v>
      </c>
      <c r="E322">
        <v>40</v>
      </c>
      <c r="F322">
        <v>14.999650001999999</v>
      </c>
      <c r="G322">
        <v>1341.8659668</v>
      </c>
      <c r="H322">
        <v>1339.1070557</v>
      </c>
      <c r="I322">
        <v>1320.1923827999999</v>
      </c>
      <c r="J322">
        <v>1315.6561279</v>
      </c>
      <c r="K322">
        <v>2750</v>
      </c>
      <c r="L322">
        <v>0</v>
      </c>
      <c r="M322">
        <v>0</v>
      </c>
      <c r="N322">
        <v>2750</v>
      </c>
    </row>
    <row r="323" spans="1:14" x14ac:dyDescent="0.25">
      <c r="A323">
        <v>25.532536</v>
      </c>
      <c r="B323" s="1">
        <f>DATE(2010,5,26) + TIME(12,46,51)</f>
        <v>40324.532534722224</v>
      </c>
      <c r="C323">
        <v>80</v>
      </c>
      <c r="D323">
        <v>79.950431824000006</v>
      </c>
      <c r="E323">
        <v>40</v>
      </c>
      <c r="F323">
        <v>14.999650955</v>
      </c>
      <c r="G323">
        <v>1341.8614502</v>
      </c>
      <c r="H323">
        <v>1339.1037598</v>
      </c>
      <c r="I323">
        <v>1320.192749</v>
      </c>
      <c r="J323">
        <v>1315.6563721</v>
      </c>
      <c r="K323">
        <v>2750</v>
      </c>
      <c r="L323">
        <v>0</v>
      </c>
      <c r="M323">
        <v>0</v>
      </c>
      <c r="N323">
        <v>2750</v>
      </c>
    </row>
    <row r="324" spans="1:14" x14ac:dyDescent="0.25">
      <c r="A324">
        <v>25.658453000000002</v>
      </c>
      <c r="B324" s="1">
        <f>DATE(2010,5,26) + TIME(15,48,10)</f>
        <v>40324.658449074072</v>
      </c>
      <c r="C324">
        <v>80</v>
      </c>
      <c r="D324">
        <v>79.950424193999993</v>
      </c>
      <c r="E324">
        <v>40</v>
      </c>
      <c r="F324">
        <v>14.999650955</v>
      </c>
      <c r="G324">
        <v>1341.8570557</v>
      </c>
      <c r="H324">
        <v>1339.1005858999999</v>
      </c>
      <c r="I324">
        <v>1320.1931152</v>
      </c>
      <c r="J324">
        <v>1315.6567382999999</v>
      </c>
      <c r="K324">
        <v>2750</v>
      </c>
      <c r="L324">
        <v>0</v>
      </c>
      <c r="M324">
        <v>0</v>
      </c>
      <c r="N324">
        <v>2750</v>
      </c>
    </row>
    <row r="325" spans="1:14" x14ac:dyDescent="0.25">
      <c r="A325">
        <v>25.784369999999999</v>
      </c>
      <c r="B325" s="1">
        <f>DATE(2010,5,26) + TIME(18,49,29)</f>
        <v>40324.784363425926</v>
      </c>
      <c r="C325">
        <v>80</v>
      </c>
      <c r="D325">
        <v>79.950408936000002</v>
      </c>
      <c r="E325">
        <v>40</v>
      </c>
      <c r="F325">
        <v>14.999651909000001</v>
      </c>
      <c r="G325">
        <v>1341.8525391000001</v>
      </c>
      <c r="H325">
        <v>1339.0972899999999</v>
      </c>
      <c r="I325">
        <v>1320.1933594</v>
      </c>
      <c r="J325">
        <v>1315.6569824000001</v>
      </c>
      <c r="K325">
        <v>2750</v>
      </c>
      <c r="L325">
        <v>0</v>
      </c>
      <c r="M325">
        <v>0</v>
      </c>
      <c r="N325">
        <v>2750</v>
      </c>
    </row>
    <row r="326" spans="1:14" x14ac:dyDescent="0.25">
      <c r="A326">
        <v>26.036204999999999</v>
      </c>
      <c r="B326" s="1">
        <f>DATE(2010,5,27) + TIME(0,52,8)</f>
        <v>40325.036203703705</v>
      </c>
      <c r="C326">
        <v>80</v>
      </c>
      <c r="D326">
        <v>79.950393676999994</v>
      </c>
      <c r="E326">
        <v>40</v>
      </c>
      <c r="F326">
        <v>14.999652863</v>
      </c>
      <c r="G326">
        <v>1341.8482666</v>
      </c>
      <c r="H326">
        <v>1339.0942382999999</v>
      </c>
      <c r="I326">
        <v>1320.1937256000001</v>
      </c>
      <c r="J326">
        <v>1315.6572266000001</v>
      </c>
      <c r="K326">
        <v>2750</v>
      </c>
      <c r="L326">
        <v>0</v>
      </c>
      <c r="M326">
        <v>0</v>
      </c>
      <c r="N326">
        <v>2750</v>
      </c>
    </row>
    <row r="327" spans="1:14" x14ac:dyDescent="0.25">
      <c r="A327">
        <v>26.288366</v>
      </c>
      <c r="B327" s="1">
        <f>DATE(2010,5,27) + TIME(6,55,14)</f>
        <v>40325.288356481484</v>
      </c>
      <c r="C327">
        <v>80</v>
      </c>
      <c r="D327">
        <v>79.950378418</v>
      </c>
      <c r="E327">
        <v>40</v>
      </c>
      <c r="F327">
        <v>14.999654769999999</v>
      </c>
      <c r="G327">
        <v>1341.8393555</v>
      </c>
      <c r="H327">
        <v>1339.0880127</v>
      </c>
      <c r="I327">
        <v>1320.1944579999999</v>
      </c>
      <c r="J327">
        <v>1315.6577147999999</v>
      </c>
      <c r="K327">
        <v>2750</v>
      </c>
      <c r="L327">
        <v>0</v>
      </c>
      <c r="M327">
        <v>0</v>
      </c>
      <c r="N327">
        <v>2750</v>
      </c>
    </row>
    <row r="328" spans="1:14" x14ac:dyDescent="0.25">
      <c r="A328">
        <v>26.543051999999999</v>
      </c>
      <c r="B328" s="1">
        <f>DATE(2010,5,27) + TIME(13,1,59)</f>
        <v>40325.543043981481</v>
      </c>
      <c r="C328">
        <v>80</v>
      </c>
      <c r="D328">
        <v>79.950355529999996</v>
      </c>
      <c r="E328">
        <v>40</v>
      </c>
      <c r="F328">
        <v>14.999655724</v>
      </c>
      <c r="G328">
        <v>1341.8305664</v>
      </c>
      <c r="H328">
        <v>1339.0816649999999</v>
      </c>
      <c r="I328">
        <v>1320.1950684000001</v>
      </c>
      <c r="J328">
        <v>1315.6583252</v>
      </c>
      <c r="K328">
        <v>2750</v>
      </c>
      <c r="L328">
        <v>0</v>
      </c>
      <c r="M328">
        <v>0</v>
      </c>
      <c r="N328">
        <v>2750</v>
      </c>
    </row>
    <row r="329" spans="1:14" x14ac:dyDescent="0.25">
      <c r="A329">
        <v>26.800777</v>
      </c>
      <c r="B329" s="1">
        <f>DATE(2010,5,27) + TIME(19,13,7)</f>
        <v>40325.800775462965</v>
      </c>
      <c r="C329">
        <v>80</v>
      </c>
      <c r="D329">
        <v>79.950332642000006</v>
      </c>
      <c r="E329">
        <v>40</v>
      </c>
      <c r="F329">
        <v>14.999656677000001</v>
      </c>
      <c r="G329">
        <v>1341.8217772999999</v>
      </c>
      <c r="H329">
        <v>1339.0754394999999</v>
      </c>
      <c r="I329">
        <v>1320.1958007999999</v>
      </c>
      <c r="J329">
        <v>1315.6588135</v>
      </c>
      <c r="K329">
        <v>2750</v>
      </c>
      <c r="L329">
        <v>0</v>
      </c>
      <c r="M329">
        <v>0</v>
      </c>
      <c r="N329">
        <v>2750</v>
      </c>
    </row>
    <row r="330" spans="1:14" x14ac:dyDescent="0.25">
      <c r="A330">
        <v>27.062090000000001</v>
      </c>
      <c r="B330" s="1">
        <f>DATE(2010,5,28) + TIME(1,29,24)</f>
        <v>40326.062083333331</v>
      </c>
      <c r="C330">
        <v>80</v>
      </c>
      <c r="D330">
        <v>79.950309752999999</v>
      </c>
      <c r="E330">
        <v>40</v>
      </c>
      <c r="F330">
        <v>14.999658585000001</v>
      </c>
      <c r="G330">
        <v>1341.8129882999999</v>
      </c>
      <c r="H330">
        <v>1339.0690918</v>
      </c>
      <c r="I330">
        <v>1320.1964111</v>
      </c>
      <c r="J330">
        <v>1315.6594238</v>
      </c>
      <c r="K330">
        <v>2750</v>
      </c>
      <c r="L330">
        <v>0</v>
      </c>
      <c r="M330">
        <v>0</v>
      </c>
      <c r="N330">
        <v>2750</v>
      </c>
    </row>
    <row r="331" spans="1:14" x14ac:dyDescent="0.25">
      <c r="A331">
        <v>27.327570999999999</v>
      </c>
      <c r="B331" s="1">
        <f>DATE(2010,5,28) + TIME(7,51,42)</f>
        <v>40326.327569444446</v>
      </c>
      <c r="C331">
        <v>80</v>
      </c>
      <c r="D331">
        <v>79.950286864999995</v>
      </c>
      <c r="E331">
        <v>40</v>
      </c>
      <c r="F331">
        <v>14.999659538</v>
      </c>
      <c r="G331">
        <v>1341.8040771000001</v>
      </c>
      <c r="H331">
        <v>1339.0627440999999</v>
      </c>
      <c r="I331">
        <v>1320.1971435999999</v>
      </c>
      <c r="J331">
        <v>1315.6599120999999</v>
      </c>
      <c r="K331">
        <v>2750</v>
      </c>
      <c r="L331">
        <v>0</v>
      </c>
      <c r="M331">
        <v>0</v>
      </c>
      <c r="N331">
        <v>2750</v>
      </c>
    </row>
    <row r="332" spans="1:14" x14ac:dyDescent="0.25">
      <c r="A332">
        <v>27.597902999999999</v>
      </c>
      <c r="B332" s="1">
        <f>DATE(2010,5,28) + TIME(14,20,58)</f>
        <v>40326.597893518519</v>
      </c>
      <c r="C332">
        <v>80</v>
      </c>
      <c r="D332">
        <v>79.950263977000006</v>
      </c>
      <c r="E332">
        <v>40</v>
      </c>
      <c r="F332">
        <v>14.999661445999999</v>
      </c>
      <c r="G332">
        <v>1341.7951660000001</v>
      </c>
      <c r="H332">
        <v>1339.0563964999999</v>
      </c>
      <c r="I332">
        <v>1320.197876</v>
      </c>
      <c r="J332">
        <v>1315.6605225000001</v>
      </c>
      <c r="K332">
        <v>2750</v>
      </c>
      <c r="L332">
        <v>0</v>
      </c>
      <c r="M332">
        <v>0</v>
      </c>
      <c r="N332">
        <v>2750</v>
      </c>
    </row>
    <row r="333" spans="1:14" x14ac:dyDescent="0.25">
      <c r="A333">
        <v>27.735759000000002</v>
      </c>
      <c r="B333" s="1">
        <f>DATE(2010,5,28) + TIME(17,39,29)</f>
        <v>40326.735752314817</v>
      </c>
      <c r="C333">
        <v>80</v>
      </c>
      <c r="D333">
        <v>79.950248717999997</v>
      </c>
      <c r="E333">
        <v>40</v>
      </c>
      <c r="F333">
        <v>14.999661445999999</v>
      </c>
      <c r="G333">
        <v>1341.7860106999999</v>
      </c>
      <c r="H333">
        <v>1339.0498047000001</v>
      </c>
      <c r="I333">
        <v>1320.1984863</v>
      </c>
      <c r="J333">
        <v>1315.6610106999999</v>
      </c>
      <c r="K333">
        <v>2750</v>
      </c>
      <c r="L333">
        <v>0</v>
      </c>
      <c r="M333">
        <v>0</v>
      </c>
      <c r="N333">
        <v>2750</v>
      </c>
    </row>
    <row r="334" spans="1:14" x14ac:dyDescent="0.25">
      <c r="A334">
        <v>27.873615999999998</v>
      </c>
      <c r="B334" s="1">
        <f>DATE(2010,5,28) + TIME(20,58,0)</f>
        <v>40326.873611111114</v>
      </c>
      <c r="C334">
        <v>80</v>
      </c>
      <c r="D334">
        <v>79.950233459000003</v>
      </c>
      <c r="E334">
        <v>40</v>
      </c>
      <c r="F334">
        <v>14.999662399</v>
      </c>
      <c r="G334">
        <v>1341.7814940999999</v>
      </c>
      <c r="H334">
        <v>1339.0465088000001</v>
      </c>
      <c r="I334">
        <v>1320.1988524999999</v>
      </c>
      <c r="J334">
        <v>1315.6612548999999</v>
      </c>
      <c r="K334">
        <v>2750</v>
      </c>
      <c r="L334">
        <v>0</v>
      </c>
      <c r="M334">
        <v>0</v>
      </c>
      <c r="N334">
        <v>2750</v>
      </c>
    </row>
    <row r="335" spans="1:14" x14ac:dyDescent="0.25">
      <c r="A335">
        <v>28.011472000000001</v>
      </c>
      <c r="B335" s="1">
        <f>DATE(2010,5,29) + TIME(0,16,31)</f>
        <v>40327.011469907404</v>
      </c>
      <c r="C335">
        <v>80</v>
      </c>
      <c r="D335">
        <v>79.950218200999998</v>
      </c>
      <c r="E335">
        <v>40</v>
      </c>
      <c r="F335">
        <v>14.999663353000001</v>
      </c>
      <c r="G335">
        <v>1341.7768555</v>
      </c>
      <c r="H335">
        <v>1339.0432129000001</v>
      </c>
      <c r="I335">
        <v>1320.1992187999999</v>
      </c>
      <c r="J335">
        <v>1315.6616211</v>
      </c>
      <c r="K335">
        <v>2750</v>
      </c>
      <c r="L335">
        <v>0</v>
      </c>
      <c r="M335">
        <v>0</v>
      </c>
      <c r="N335">
        <v>2750</v>
      </c>
    </row>
    <row r="336" spans="1:14" x14ac:dyDescent="0.25">
      <c r="A336">
        <v>28.149328000000001</v>
      </c>
      <c r="B336" s="1">
        <f>DATE(2010,5,29) + TIME(3,35,1)</f>
        <v>40327.149317129632</v>
      </c>
      <c r="C336">
        <v>80</v>
      </c>
      <c r="D336">
        <v>79.950202942000004</v>
      </c>
      <c r="E336">
        <v>40</v>
      </c>
      <c r="F336">
        <v>14.999664307</v>
      </c>
      <c r="G336">
        <v>1341.7723389</v>
      </c>
      <c r="H336">
        <v>1339.0400391000001</v>
      </c>
      <c r="I336">
        <v>1320.1995850000001</v>
      </c>
      <c r="J336">
        <v>1315.6618652</v>
      </c>
      <c r="K336">
        <v>2750</v>
      </c>
      <c r="L336">
        <v>0</v>
      </c>
      <c r="M336">
        <v>0</v>
      </c>
      <c r="N336">
        <v>2750</v>
      </c>
    </row>
    <row r="337" spans="1:14" x14ac:dyDescent="0.25">
      <c r="A337">
        <v>28.287185000000001</v>
      </c>
      <c r="B337" s="1">
        <f>DATE(2010,5,29) + TIME(6,53,32)</f>
        <v>40327.287175925929</v>
      </c>
      <c r="C337">
        <v>80</v>
      </c>
      <c r="D337">
        <v>79.950187682999996</v>
      </c>
      <c r="E337">
        <v>40</v>
      </c>
      <c r="F337">
        <v>14.99966526</v>
      </c>
      <c r="G337">
        <v>1341.7678223</v>
      </c>
      <c r="H337">
        <v>1339.0367432</v>
      </c>
      <c r="I337">
        <v>1320.2000731999999</v>
      </c>
      <c r="J337">
        <v>1315.6622314000001</v>
      </c>
      <c r="K337">
        <v>2750</v>
      </c>
      <c r="L337">
        <v>0</v>
      </c>
      <c r="M337">
        <v>0</v>
      </c>
      <c r="N337">
        <v>2750</v>
      </c>
    </row>
    <row r="338" spans="1:14" x14ac:dyDescent="0.25">
      <c r="A338">
        <v>28.424859000000001</v>
      </c>
      <c r="B338" s="1">
        <f>DATE(2010,5,29) + TIME(10,11,47)</f>
        <v>40327.424849537034</v>
      </c>
      <c r="C338">
        <v>80</v>
      </c>
      <c r="D338">
        <v>79.950180054</v>
      </c>
      <c r="E338">
        <v>40</v>
      </c>
      <c r="F338">
        <v>14.99966526</v>
      </c>
      <c r="G338">
        <v>1341.7634277</v>
      </c>
      <c r="H338">
        <v>1339.0335693</v>
      </c>
      <c r="I338">
        <v>1320.2004394999999</v>
      </c>
      <c r="J338">
        <v>1315.6624756000001</v>
      </c>
      <c r="K338">
        <v>2750</v>
      </c>
      <c r="L338">
        <v>0</v>
      </c>
      <c r="M338">
        <v>0</v>
      </c>
      <c r="N338">
        <v>2750</v>
      </c>
    </row>
    <row r="339" spans="1:14" x14ac:dyDescent="0.25">
      <c r="A339">
        <v>28.562256999999999</v>
      </c>
      <c r="B339" s="1">
        <f>DATE(2010,5,29) + TIME(13,29,38)</f>
        <v>40327.562245370369</v>
      </c>
      <c r="C339">
        <v>80</v>
      </c>
      <c r="D339">
        <v>79.950164795000006</v>
      </c>
      <c r="E339">
        <v>40</v>
      </c>
      <c r="F339">
        <v>14.999666213999999</v>
      </c>
      <c r="G339">
        <v>1341.7589111</v>
      </c>
      <c r="H339">
        <v>1339.0303954999999</v>
      </c>
      <c r="I339">
        <v>1320.2008057</v>
      </c>
      <c r="J339">
        <v>1315.6627197</v>
      </c>
      <c r="K339">
        <v>2750</v>
      </c>
      <c r="L339">
        <v>0</v>
      </c>
      <c r="M339">
        <v>0</v>
      </c>
      <c r="N339">
        <v>2750</v>
      </c>
    </row>
    <row r="340" spans="1:14" x14ac:dyDescent="0.25">
      <c r="A340">
        <v>28.699459000000001</v>
      </c>
      <c r="B340" s="1">
        <f>DATE(2010,5,29) + TIME(16,47,13)</f>
        <v>40327.699456018519</v>
      </c>
      <c r="C340">
        <v>80</v>
      </c>
      <c r="D340">
        <v>79.950149535999998</v>
      </c>
      <c r="E340">
        <v>40</v>
      </c>
      <c r="F340">
        <v>14.999667168</v>
      </c>
      <c r="G340">
        <v>1341.7545166</v>
      </c>
      <c r="H340">
        <v>1339.0270995999999</v>
      </c>
      <c r="I340">
        <v>1320.2011719</v>
      </c>
      <c r="J340">
        <v>1315.6630858999999</v>
      </c>
      <c r="K340">
        <v>2750</v>
      </c>
      <c r="L340">
        <v>0</v>
      </c>
      <c r="M340">
        <v>0</v>
      </c>
      <c r="N340">
        <v>2750</v>
      </c>
    </row>
    <row r="341" spans="1:14" x14ac:dyDescent="0.25">
      <c r="A341">
        <v>28.836518999999999</v>
      </c>
      <c r="B341" s="1">
        <f>DATE(2010,5,29) + TIME(20,4,35)</f>
        <v>40327.836516203701</v>
      </c>
      <c r="C341">
        <v>80</v>
      </c>
      <c r="D341">
        <v>79.950141907000003</v>
      </c>
      <c r="E341">
        <v>40</v>
      </c>
      <c r="F341">
        <v>14.999668120999999</v>
      </c>
      <c r="G341">
        <v>1341.7501221</v>
      </c>
      <c r="H341">
        <v>1339.0239257999999</v>
      </c>
      <c r="I341">
        <v>1320.2015381000001</v>
      </c>
      <c r="J341">
        <v>1315.6633300999999</v>
      </c>
      <c r="K341">
        <v>2750</v>
      </c>
      <c r="L341">
        <v>0</v>
      </c>
      <c r="M341">
        <v>0</v>
      </c>
      <c r="N341">
        <v>2750</v>
      </c>
    </row>
    <row r="342" spans="1:14" x14ac:dyDescent="0.25">
      <c r="A342">
        <v>28.973534000000001</v>
      </c>
      <c r="B342" s="1">
        <f>DATE(2010,5,29) + TIME(23,21,53)</f>
        <v>40327.973530092589</v>
      </c>
      <c r="C342">
        <v>80</v>
      </c>
      <c r="D342">
        <v>79.950126647999994</v>
      </c>
      <c r="E342">
        <v>40</v>
      </c>
      <c r="F342">
        <v>14.999668120999999</v>
      </c>
      <c r="G342">
        <v>1341.7457274999999</v>
      </c>
      <c r="H342">
        <v>1339.020874</v>
      </c>
      <c r="I342">
        <v>1320.2019043</v>
      </c>
      <c r="J342">
        <v>1315.6636963000001</v>
      </c>
      <c r="K342">
        <v>2750</v>
      </c>
      <c r="L342">
        <v>0</v>
      </c>
      <c r="M342">
        <v>0</v>
      </c>
      <c r="N342">
        <v>2750</v>
      </c>
    </row>
    <row r="343" spans="1:14" x14ac:dyDescent="0.25">
      <c r="A343">
        <v>29.110548000000001</v>
      </c>
      <c r="B343" s="1">
        <f>DATE(2010,5,30) + TIME(2,39,11)</f>
        <v>40328.110543981478</v>
      </c>
      <c r="C343">
        <v>80</v>
      </c>
      <c r="D343">
        <v>79.950119018999999</v>
      </c>
      <c r="E343">
        <v>40</v>
      </c>
      <c r="F343">
        <v>14.999669075</v>
      </c>
      <c r="G343">
        <v>1341.7413329999999</v>
      </c>
      <c r="H343">
        <v>1339.0177002</v>
      </c>
      <c r="I343">
        <v>1320.2022704999999</v>
      </c>
      <c r="J343">
        <v>1315.6639404</v>
      </c>
      <c r="K343">
        <v>2750</v>
      </c>
      <c r="L343">
        <v>0</v>
      </c>
      <c r="M343">
        <v>0</v>
      </c>
      <c r="N343">
        <v>2750</v>
      </c>
    </row>
    <row r="344" spans="1:14" x14ac:dyDescent="0.25">
      <c r="A344">
        <v>29.247563</v>
      </c>
      <c r="B344" s="1">
        <f>DATE(2010,5,30) + TIME(5,56,29)</f>
        <v>40328.247557870367</v>
      </c>
      <c r="C344">
        <v>80</v>
      </c>
      <c r="D344">
        <v>79.950111389</v>
      </c>
      <c r="E344">
        <v>40</v>
      </c>
      <c r="F344">
        <v>14.999670029000001</v>
      </c>
      <c r="G344">
        <v>1341.7369385</v>
      </c>
      <c r="H344">
        <v>1339.0145264</v>
      </c>
      <c r="I344">
        <v>1320.2026367000001</v>
      </c>
      <c r="J344">
        <v>1315.6641846</v>
      </c>
      <c r="K344">
        <v>2750</v>
      </c>
      <c r="L344">
        <v>0</v>
      </c>
      <c r="M344">
        <v>0</v>
      </c>
      <c r="N344">
        <v>2750</v>
      </c>
    </row>
    <row r="345" spans="1:14" x14ac:dyDescent="0.25">
      <c r="A345">
        <v>29.384577</v>
      </c>
      <c r="B345" s="1">
        <f>DATE(2010,5,30) + TIME(9,13,47)</f>
        <v>40328.384571759256</v>
      </c>
      <c r="C345">
        <v>80</v>
      </c>
      <c r="D345">
        <v>79.950096130000006</v>
      </c>
      <c r="E345">
        <v>40</v>
      </c>
      <c r="F345">
        <v>14.999670982</v>
      </c>
      <c r="G345">
        <v>1341.7326660000001</v>
      </c>
      <c r="H345">
        <v>1339.0114745999999</v>
      </c>
      <c r="I345">
        <v>1320.2030029</v>
      </c>
      <c r="J345">
        <v>1315.6645507999999</v>
      </c>
      <c r="K345">
        <v>2750</v>
      </c>
      <c r="L345">
        <v>0</v>
      </c>
      <c r="M345">
        <v>0</v>
      </c>
      <c r="N345">
        <v>2750</v>
      </c>
    </row>
    <row r="346" spans="1:14" x14ac:dyDescent="0.25">
      <c r="A346">
        <v>29.521591999999998</v>
      </c>
      <c r="B346" s="1">
        <f>DATE(2010,5,30) + TIME(12,31,5)</f>
        <v>40328.521585648145</v>
      </c>
      <c r="C346">
        <v>80</v>
      </c>
      <c r="D346">
        <v>79.950088500999996</v>
      </c>
      <c r="E346">
        <v>40</v>
      </c>
      <c r="F346">
        <v>14.999670982</v>
      </c>
      <c r="G346">
        <v>1341.7283935999999</v>
      </c>
      <c r="H346">
        <v>1339.0083007999999</v>
      </c>
      <c r="I346">
        <v>1320.2033690999999</v>
      </c>
      <c r="J346">
        <v>1315.6647949000001</v>
      </c>
      <c r="K346">
        <v>2750</v>
      </c>
      <c r="L346">
        <v>0</v>
      </c>
      <c r="M346">
        <v>0</v>
      </c>
      <c r="N346">
        <v>2750</v>
      </c>
    </row>
    <row r="347" spans="1:14" x14ac:dyDescent="0.25">
      <c r="A347">
        <v>29.658605999999999</v>
      </c>
      <c r="B347" s="1">
        <f>DATE(2010,5,30) + TIME(15,48,23)</f>
        <v>40328.658599537041</v>
      </c>
      <c r="C347">
        <v>80</v>
      </c>
      <c r="D347">
        <v>79.950073242000002</v>
      </c>
      <c r="E347">
        <v>40</v>
      </c>
      <c r="F347">
        <v>14.999671936</v>
      </c>
      <c r="G347">
        <v>1341.7241211</v>
      </c>
      <c r="H347">
        <v>1339.005249</v>
      </c>
      <c r="I347">
        <v>1320.2037353999999</v>
      </c>
      <c r="J347">
        <v>1315.6651611</v>
      </c>
      <c r="K347">
        <v>2750</v>
      </c>
      <c r="L347">
        <v>0</v>
      </c>
      <c r="M347">
        <v>0</v>
      </c>
      <c r="N347">
        <v>2750</v>
      </c>
    </row>
    <row r="348" spans="1:14" x14ac:dyDescent="0.25">
      <c r="A348">
        <v>29.795621000000001</v>
      </c>
      <c r="B348" s="1">
        <f>DATE(2010,5,30) + TIME(19,5,41)</f>
        <v>40328.795613425929</v>
      </c>
      <c r="C348">
        <v>80</v>
      </c>
      <c r="D348">
        <v>79.950065613000007</v>
      </c>
      <c r="E348">
        <v>40</v>
      </c>
      <c r="F348">
        <v>14.999672889999999</v>
      </c>
      <c r="G348">
        <v>1341.7198486</v>
      </c>
      <c r="H348">
        <v>1339.0021973</v>
      </c>
      <c r="I348">
        <v>1320.2041016000001</v>
      </c>
      <c r="J348">
        <v>1315.6654053</v>
      </c>
      <c r="K348">
        <v>2750</v>
      </c>
      <c r="L348">
        <v>0</v>
      </c>
      <c r="M348">
        <v>0</v>
      </c>
      <c r="N348">
        <v>2750</v>
      </c>
    </row>
    <row r="349" spans="1:14" x14ac:dyDescent="0.25">
      <c r="A349">
        <v>29.932635000000001</v>
      </c>
      <c r="B349" s="1">
        <f>DATE(2010,5,30) + TIME(22,22,59)</f>
        <v>40328.932627314818</v>
      </c>
      <c r="C349">
        <v>80</v>
      </c>
      <c r="D349">
        <v>79.950057982999994</v>
      </c>
      <c r="E349">
        <v>40</v>
      </c>
      <c r="F349">
        <v>14.999673843</v>
      </c>
      <c r="G349">
        <v>1341.7155762</v>
      </c>
      <c r="H349">
        <v>1338.9991454999999</v>
      </c>
      <c r="I349">
        <v>1320.2044678</v>
      </c>
      <c r="J349">
        <v>1315.6657714999999</v>
      </c>
      <c r="K349">
        <v>2750</v>
      </c>
      <c r="L349">
        <v>0</v>
      </c>
      <c r="M349">
        <v>0</v>
      </c>
      <c r="N349">
        <v>2750</v>
      </c>
    </row>
    <row r="350" spans="1:14" x14ac:dyDescent="0.25">
      <c r="A350">
        <v>30.206664</v>
      </c>
      <c r="B350" s="1">
        <f>DATE(2010,5,31) + TIME(4,57,35)</f>
        <v>40329.206655092596</v>
      </c>
      <c r="C350">
        <v>80</v>
      </c>
      <c r="D350">
        <v>79.950042725000003</v>
      </c>
      <c r="E350">
        <v>40</v>
      </c>
      <c r="F350">
        <v>14.999674797000001</v>
      </c>
      <c r="G350">
        <v>1341.7114257999999</v>
      </c>
      <c r="H350">
        <v>1338.9962158000001</v>
      </c>
      <c r="I350">
        <v>1320.2049560999999</v>
      </c>
      <c r="J350">
        <v>1315.6660156</v>
      </c>
      <c r="K350">
        <v>2750</v>
      </c>
      <c r="L350">
        <v>0</v>
      </c>
      <c r="M350">
        <v>0</v>
      </c>
      <c r="N350">
        <v>2750</v>
      </c>
    </row>
    <row r="351" spans="1:14" x14ac:dyDescent="0.25">
      <c r="A351">
        <v>30.481158000000001</v>
      </c>
      <c r="B351" s="1">
        <f>DATE(2010,5,31) + TIME(11,32,52)</f>
        <v>40329.481157407405</v>
      </c>
      <c r="C351">
        <v>80</v>
      </c>
      <c r="D351">
        <v>79.950035095000004</v>
      </c>
      <c r="E351">
        <v>40</v>
      </c>
      <c r="F351">
        <v>14.999675751</v>
      </c>
      <c r="G351">
        <v>1341.7030029</v>
      </c>
      <c r="H351">
        <v>1338.9901123</v>
      </c>
      <c r="I351">
        <v>1320.2056885</v>
      </c>
      <c r="J351">
        <v>1315.666626</v>
      </c>
      <c r="K351">
        <v>2750</v>
      </c>
      <c r="L351">
        <v>0</v>
      </c>
      <c r="M351">
        <v>0</v>
      </c>
      <c r="N351">
        <v>2750</v>
      </c>
    </row>
    <row r="352" spans="1:14" x14ac:dyDescent="0.25">
      <c r="A352">
        <v>30.759086</v>
      </c>
      <c r="B352" s="1">
        <f>DATE(2010,5,31) + TIME(18,13,5)</f>
        <v>40329.759085648147</v>
      </c>
      <c r="C352">
        <v>80</v>
      </c>
      <c r="D352">
        <v>79.950012207</v>
      </c>
      <c r="E352">
        <v>40</v>
      </c>
      <c r="F352">
        <v>14.999676704000001</v>
      </c>
      <c r="G352">
        <v>1341.6945800999999</v>
      </c>
      <c r="H352">
        <v>1338.9841309000001</v>
      </c>
      <c r="I352">
        <v>1320.2064209</v>
      </c>
      <c r="J352">
        <v>1315.6672363</v>
      </c>
      <c r="K352">
        <v>2750</v>
      </c>
      <c r="L352">
        <v>0</v>
      </c>
      <c r="M352">
        <v>0</v>
      </c>
      <c r="N352">
        <v>2750</v>
      </c>
    </row>
    <row r="353" spans="1:14" x14ac:dyDescent="0.25">
      <c r="A353">
        <v>31</v>
      </c>
      <c r="B353" s="1">
        <f>DATE(2010,6,1) + TIME(0,0,0)</f>
        <v>40330</v>
      </c>
      <c r="C353">
        <v>80</v>
      </c>
      <c r="D353">
        <v>79.949996948000006</v>
      </c>
      <c r="E353">
        <v>40</v>
      </c>
      <c r="F353">
        <v>14.999678612</v>
      </c>
      <c r="G353">
        <v>1341.6861572</v>
      </c>
      <c r="H353">
        <v>1338.9780272999999</v>
      </c>
      <c r="I353">
        <v>1320.2071533000001</v>
      </c>
      <c r="J353">
        <v>1315.6678466999999</v>
      </c>
      <c r="K353">
        <v>2750</v>
      </c>
      <c r="L353">
        <v>0</v>
      </c>
      <c r="M353">
        <v>0</v>
      </c>
      <c r="N353">
        <v>2750</v>
      </c>
    </row>
    <row r="354" spans="1:14" x14ac:dyDescent="0.25">
      <c r="A354">
        <v>31.281943999999999</v>
      </c>
      <c r="B354" s="1">
        <f>DATE(2010,6,1) + TIME(6,45,59)</f>
        <v>40330.28193287037</v>
      </c>
      <c r="C354">
        <v>80</v>
      </c>
      <c r="D354">
        <v>79.949981688999998</v>
      </c>
      <c r="E354">
        <v>40</v>
      </c>
      <c r="F354">
        <v>14.999679564999999</v>
      </c>
      <c r="G354">
        <v>1341.6789550999999</v>
      </c>
      <c r="H354">
        <v>1338.9729004000001</v>
      </c>
      <c r="I354">
        <v>1320.2078856999999</v>
      </c>
      <c r="J354">
        <v>1315.6683350000001</v>
      </c>
      <c r="K354">
        <v>2750</v>
      </c>
      <c r="L354">
        <v>0</v>
      </c>
      <c r="M354">
        <v>0</v>
      </c>
      <c r="N354">
        <v>2750</v>
      </c>
    </row>
    <row r="355" spans="1:14" x14ac:dyDescent="0.25">
      <c r="A355">
        <v>31.573128000000001</v>
      </c>
      <c r="B355" s="1">
        <f>DATE(2010,6,1) + TIME(13,45,18)</f>
        <v>40330.573125000003</v>
      </c>
      <c r="C355">
        <v>80</v>
      </c>
      <c r="D355">
        <v>79.949958800999994</v>
      </c>
      <c r="E355">
        <v>40</v>
      </c>
      <c r="F355">
        <v>14.999680519</v>
      </c>
      <c r="G355">
        <v>1341.6705322</v>
      </c>
      <c r="H355">
        <v>1338.9667969</v>
      </c>
      <c r="I355">
        <v>1320.2087402</v>
      </c>
      <c r="J355">
        <v>1315.6689452999999</v>
      </c>
      <c r="K355">
        <v>2750</v>
      </c>
      <c r="L355">
        <v>0</v>
      </c>
      <c r="M355">
        <v>0</v>
      </c>
      <c r="N355">
        <v>2750</v>
      </c>
    </row>
    <row r="356" spans="1:14" x14ac:dyDescent="0.25">
      <c r="A356">
        <v>31.721629</v>
      </c>
      <c r="B356" s="1">
        <f>DATE(2010,6,1) + TIME(17,19,8)</f>
        <v>40330.721620370372</v>
      </c>
      <c r="C356">
        <v>80</v>
      </c>
      <c r="D356">
        <v>79.949943542</v>
      </c>
      <c r="E356">
        <v>40</v>
      </c>
      <c r="F356">
        <v>14.999681473000001</v>
      </c>
      <c r="G356">
        <v>1341.6618652</v>
      </c>
      <c r="H356">
        <v>1338.9605713000001</v>
      </c>
      <c r="I356">
        <v>1320.2094727000001</v>
      </c>
      <c r="J356">
        <v>1315.6695557</v>
      </c>
      <c r="K356">
        <v>2750</v>
      </c>
      <c r="L356">
        <v>0</v>
      </c>
      <c r="M356">
        <v>0</v>
      </c>
      <c r="N356">
        <v>2750</v>
      </c>
    </row>
    <row r="357" spans="1:14" x14ac:dyDescent="0.25">
      <c r="A357">
        <v>31.870128999999999</v>
      </c>
      <c r="B357" s="1">
        <f>DATE(2010,6,1) + TIME(20,52,59)</f>
        <v>40330.870127314818</v>
      </c>
      <c r="C357">
        <v>80</v>
      </c>
      <c r="D357">
        <v>79.949935913000004</v>
      </c>
      <c r="E357">
        <v>40</v>
      </c>
      <c r="F357">
        <v>14.999682426</v>
      </c>
      <c r="G357">
        <v>1341.6574707</v>
      </c>
      <c r="H357">
        <v>1338.9573975000001</v>
      </c>
      <c r="I357">
        <v>1320.2098389</v>
      </c>
      <c r="J357">
        <v>1315.6699219</v>
      </c>
      <c r="K357">
        <v>2750</v>
      </c>
      <c r="L357">
        <v>0</v>
      </c>
      <c r="M357">
        <v>0</v>
      </c>
      <c r="N357">
        <v>2750</v>
      </c>
    </row>
    <row r="358" spans="1:14" x14ac:dyDescent="0.25">
      <c r="A358">
        <v>32.018628999999997</v>
      </c>
      <c r="B358" s="1">
        <f>DATE(2010,6,2) + TIME(0,26,49)</f>
        <v>40331.018622685187</v>
      </c>
      <c r="C358">
        <v>80</v>
      </c>
      <c r="D358">
        <v>79.949920653999996</v>
      </c>
      <c r="E358">
        <v>40</v>
      </c>
      <c r="F358">
        <v>14.99968338</v>
      </c>
      <c r="G358">
        <v>1341.6530762</v>
      </c>
      <c r="H358">
        <v>1338.9542236</v>
      </c>
      <c r="I358">
        <v>1320.2103271000001</v>
      </c>
      <c r="J358">
        <v>1315.6702881000001</v>
      </c>
      <c r="K358">
        <v>2750</v>
      </c>
      <c r="L358">
        <v>0</v>
      </c>
      <c r="M358">
        <v>0</v>
      </c>
      <c r="N358">
        <v>2750</v>
      </c>
    </row>
    <row r="359" spans="1:14" x14ac:dyDescent="0.25">
      <c r="A359">
        <v>32.167129000000003</v>
      </c>
      <c r="B359" s="1">
        <f>DATE(2010,6,2) + TIME(4,0,39)</f>
        <v>40331.167118055557</v>
      </c>
      <c r="C359">
        <v>80</v>
      </c>
      <c r="D359">
        <v>79.949905396000005</v>
      </c>
      <c r="E359">
        <v>40</v>
      </c>
      <c r="F359">
        <v>14.99968338</v>
      </c>
      <c r="G359">
        <v>1341.6488036999999</v>
      </c>
      <c r="H359">
        <v>1338.9510498</v>
      </c>
      <c r="I359">
        <v>1320.2106934000001</v>
      </c>
      <c r="J359">
        <v>1315.6705322</v>
      </c>
      <c r="K359">
        <v>2750</v>
      </c>
      <c r="L359">
        <v>0</v>
      </c>
      <c r="M359">
        <v>0</v>
      </c>
      <c r="N359">
        <v>2750</v>
      </c>
    </row>
    <row r="360" spans="1:14" x14ac:dyDescent="0.25">
      <c r="A360">
        <v>32.315629999999999</v>
      </c>
      <c r="B360" s="1">
        <f>DATE(2010,6,2) + TIME(7,34,30)</f>
        <v>40331.315625000003</v>
      </c>
      <c r="C360">
        <v>80</v>
      </c>
      <c r="D360">
        <v>79.949897766000007</v>
      </c>
      <c r="E360">
        <v>40</v>
      </c>
      <c r="F360">
        <v>14.999684333999999</v>
      </c>
      <c r="G360">
        <v>1341.6445312000001</v>
      </c>
      <c r="H360">
        <v>1338.9479980000001</v>
      </c>
      <c r="I360">
        <v>1320.2111815999999</v>
      </c>
      <c r="J360">
        <v>1315.6708983999999</v>
      </c>
      <c r="K360">
        <v>2750</v>
      </c>
      <c r="L360">
        <v>0</v>
      </c>
      <c r="M360">
        <v>0</v>
      </c>
      <c r="N360">
        <v>2750</v>
      </c>
    </row>
    <row r="361" spans="1:14" x14ac:dyDescent="0.25">
      <c r="A361">
        <v>32.464008</v>
      </c>
      <c r="B361" s="1">
        <f>DATE(2010,6,2) + TIME(11,8,10)</f>
        <v>40331.464004629626</v>
      </c>
      <c r="C361">
        <v>80</v>
      </c>
      <c r="D361">
        <v>79.949890136999997</v>
      </c>
      <c r="E361">
        <v>40</v>
      </c>
      <c r="F361">
        <v>14.999685287</v>
      </c>
      <c r="G361">
        <v>1341.6402588000001</v>
      </c>
      <c r="H361">
        <v>1338.9449463000001</v>
      </c>
      <c r="I361">
        <v>1320.2115478999999</v>
      </c>
      <c r="J361">
        <v>1315.6712646000001</v>
      </c>
      <c r="K361">
        <v>2750</v>
      </c>
      <c r="L361">
        <v>0</v>
      </c>
      <c r="M361">
        <v>0</v>
      </c>
      <c r="N361">
        <v>2750</v>
      </c>
    </row>
    <row r="362" spans="1:14" x14ac:dyDescent="0.25">
      <c r="A362">
        <v>32.612099000000001</v>
      </c>
      <c r="B362" s="1">
        <f>DATE(2010,6,2) + TIME(14,41,25)</f>
        <v>40331.61209490741</v>
      </c>
      <c r="C362">
        <v>80</v>
      </c>
      <c r="D362">
        <v>79.949874878000003</v>
      </c>
      <c r="E362">
        <v>40</v>
      </c>
      <c r="F362">
        <v>14.999686240999999</v>
      </c>
      <c r="G362">
        <v>1341.6359863</v>
      </c>
      <c r="H362">
        <v>1338.9417725000001</v>
      </c>
      <c r="I362">
        <v>1320.2120361</v>
      </c>
      <c r="J362">
        <v>1315.6716309000001</v>
      </c>
      <c r="K362">
        <v>2750</v>
      </c>
      <c r="L362">
        <v>0</v>
      </c>
      <c r="M362">
        <v>0</v>
      </c>
      <c r="N362">
        <v>2750</v>
      </c>
    </row>
    <row r="363" spans="1:14" x14ac:dyDescent="0.25">
      <c r="A363">
        <v>32.759988999999997</v>
      </c>
      <c r="B363" s="1">
        <f>DATE(2010,6,2) + TIME(18,14,23)</f>
        <v>40331.759988425925</v>
      </c>
      <c r="C363">
        <v>80</v>
      </c>
      <c r="D363">
        <v>79.949867248999993</v>
      </c>
      <c r="E363">
        <v>40</v>
      </c>
      <c r="F363">
        <v>14.999686240999999</v>
      </c>
      <c r="G363">
        <v>1341.6317139</v>
      </c>
      <c r="H363">
        <v>1338.9387207</v>
      </c>
      <c r="I363">
        <v>1320.2124022999999</v>
      </c>
      <c r="J363">
        <v>1315.671875</v>
      </c>
      <c r="K363">
        <v>2750</v>
      </c>
      <c r="L363">
        <v>0</v>
      </c>
      <c r="M363">
        <v>0</v>
      </c>
      <c r="N363">
        <v>2750</v>
      </c>
    </row>
    <row r="364" spans="1:14" x14ac:dyDescent="0.25">
      <c r="A364">
        <v>32.907733</v>
      </c>
      <c r="B364" s="1">
        <f>DATE(2010,6,2) + TIME(21,47,8)</f>
        <v>40331.907731481479</v>
      </c>
      <c r="C364">
        <v>80</v>
      </c>
      <c r="D364">
        <v>79.949859618999994</v>
      </c>
      <c r="E364">
        <v>40</v>
      </c>
      <c r="F364">
        <v>14.999687195</v>
      </c>
      <c r="G364">
        <v>1341.6274414</v>
      </c>
      <c r="H364">
        <v>1338.9356689000001</v>
      </c>
      <c r="I364">
        <v>1320.2128906</v>
      </c>
      <c r="J364">
        <v>1315.6722411999999</v>
      </c>
      <c r="K364">
        <v>2750</v>
      </c>
      <c r="L364">
        <v>0</v>
      </c>
      <c r="M364">
        <v>0</v>
      </c>
      <c r="N364">
        <v>2750</v>
      </c>
    </row>
    <row r="365" spans="1:14" x14ac:dyDescent="0.25">
      <c r="A365">
        <v>33.055438000000002</v>
      </c>
      <c r="B365" s="1">
        <f>DATE(2010,6,3) + TIME(1,19,49)</f>
        <v>40332.055428240739</v>
      </c>
      <c r="C365">
        <v>80</v>
      </c>
      <c r="D365">
        <v>79.949851989999999</v>
      </c>
      <c r="E365">
        <v>40</v>
      </c>
      <c r="F365">
        <v>14.999688148000001</v>
      </c>
      <c r="G365">
        <v>1341.6232910000001</v>
      </c>
      <c r="H365">
        <v>1338.9326172000001</v>
      </c>
      <c r="I365">
        <v>1320.2132568</v>
      </c>
      <c r="J365">
        <v>1315.6726074000001</v>
      </c>
      <c r="K365">
        <v>2750</v>
      </c>
      <c r="L365">
        <v>0</v>
      </c>
      <c r="M365">
        <v>0</v>
      </c>
      <c r="N365">
        <v>2750</v>
      </c>
    </row>
    <row r="366" spans="1:14" x14ac:dyDescent="0.25">
      <c r="A366">
        <v>33.203142999999997</v>
      </c>
      <c r="B366" s="1">
        <f>DATE(2010,6,3) + TIME(4,52,31)</f>
        <v>40332.203136574077</v>
      </c>
      <c r="C366">
        <v>80</v>
      </c>
      <c r="D366">
        <v>79.949836731000005</v>
      </c>
      <c r="E366">
        <v>40</v>
      </c>
      <c r="F366">
        <v>14.999689102</v>
      </c>
      <c r="G366">
        <v>1341.6191406</v>
      </c>
      <c r="H366">
        <v>1338.9296875</v>
      </c>
      <c r="I366">
        <v>1320.2137451000001</v>
      </c>
      <c r="J366">
        <v>1315.6728516000001</v>
      </c>
      <c r="K366">
        <v>2750</v>
      </c>
      <c r="L366">
        <v>0</v>
      </c>
      <c r="M366">
        <v>0</v>
      </c>
      <c r="N366">
        <v>2750</v>
      </c>
    </row>
    <row r="367" spans="1:14" x14ac:dyDescent="0.25">
      <c r="A367">
        <v>33.350847999999999</v>
      </c>
      <c r="B367" s="1">
        <f>DATE(2010,6,3) + TIME(8,25,13)</f>
        <v>40332.350844907407</v>
      </c>
      <c r="C367">
        <v>80</v>
      </c>
      <c r="D367">
        <v>79.949829101999995</v>
      </c>
      <c r="E367">
        <v>40</v>
      </c>
      <c r="F367">
        <v>14.999689102</v>
      </c>
      <c r="G367">
        <v>1341.6148682</v>
      </c>
      <c r="H367">
        <v>1338.9266356999999</v>
      </c>
      <c r="I367">
        <v>1320.2141113</v>
      </c>
      <c r="J367">
        <v>1315.6732178</v>
      </c>
      <c r="K367">
        <v>2750</v>
      </c>
      <c r="L367">
        <v>0</v>
      </c>
      <c r="M367">
        <v>0</v>
      </c>
      <c r="N367">
        <v>2750</v>
      </c>
    </row>
    <row r="368" spans="1:14" x14ac:dyDescent="0.25">
      <c r="A368">
        <v>33.498553000000001</v>
      </c>
      <c r="B368" s="1">
        <f>DATE(2010,6,3) + TIME(11,57,55)</f>
        <v>40332.498553240737</v>
      </c>
      <c r="C368">
        <v>80</v>
      </c>
      <c r="D368">
        <v>79.949821471999996</v>
      </c>
      <c r="E368">
        <v>40</v>
      </c>
      <c r="F368">
        <v>14.999690056</v>
      </c>
      <c r="G368">
        <v>1341.6107178</v>
      </c>
      <c r="H368">
        <v>1338.9237060999999</v>
      </c>
      <c r="I368">
        <v>1320.2145995999999</v>
      </c>
      <c r="J368">
        <v>1315.6735839999999</v>
      </c>
      <c r="K368">
        <v>2750</v>
      </c>
      <c r="L368">
        <v>0</v>
      </c>
      <c r="M368">
        <v>0</v>
      </c>
      <c r="N368">
        <v>2750</v>
      </c>
    </row>
    <row r="369" spans="1:14" x14ac:dyDescent="0.25">
      <c r="A369">
        <v>33.646258000000003</v>
      </c>
      <c r="B369" s="1">
        <f>DATE(2010,6,3) + TIME(15,30,36)</f>
        <v>40332.646249999998</v>
      </c>
      <c r="C369">
        <v>80</v>
      </c>
      <c r="D369">
        <v>79.949813843000001</v>
      </c>
      <c r="E369">
        <v>40</v>
      </c>
      <c r="F369">
        <v>14.999691009999999</v>
      </c>
      <c r="G369">
        <v>1341.6066894999999</v>
      </c>
      <c r="H369">
        <v>1338.9206543</v>
      </c>
      <c r="I369">
        <v>1320.2149658000001</v>
      </c>
      <c r="J369">
        <v>1315.6739502</v>
      </c>
      <c r="K369">
        <v>2750</v>
      </c>
      <c r="L369">
        <v>0</v>
      </c>
      <c r="M369">
        <v>0</v>
      </c>
      <c r="N369">
        <v>2750</v>
      </c>
    </row>
    <row r="370" spans="1:14" x14ac:dyDescent="0.25">
      <c r="A370">
        <v>33.793962999999998</v>
      </c>
      <c r="B370" s="1">
        <f>DATE(2010,6,3) + TIME(19,3,18)</f>
        <v>40332.793958333335</v>
      </c>
      <c r="C370">
        <v>80</v>
      </c>
      <c r="D370">
        <v>79.949806213000002</v>
      </c>
      <c r="E370">
        <v>40</v>
      </c>
      <c r="F370">
        <v>14.999691009999999</v>
      </c>
      <c r="G370">
        <v>1341.6025391000001</v>
      </c>
      <c r="H370">
        <v>1338.9177245999999</v>
      </c>
      <c r="I370">
        <v>1320.2154541</v>
      </c>
      <c r="J370">
        <v>1315.6741943</v>
      </c>
      <c r="K370">
        <v>2750</v>
      </c>
      <c r="L370">
        <v>0</v>
      </c>
      <c r="M370">
        <v>0</v>
      </c>
      <c r="N370">
        <v>2750</v>
      </c>
    </row>
    <row r="371" spans="1:14" x14ac:dyDescent="0.25">
      <c r="A371">
        <v>33.941668</v>
      </c>
      <c r="B371" s="1">
        <f>DATE(2010,6,3) + TIME(22,36,0)</f>
        <v>40332.941666666666</v>
      </c>
      <c r="C371">
        <v>80</v>
      </c>
      <c r="D371">
        <v>79.949798584000007</v>
      </c>
      <c r="E371">
        <v>40</v>
      </c>
      <c r="F371">
        <v>14.999691963</v>
      </c>
      <c r="G371">
        <v>1341.5983887</v>
      </c>
      <c r="H371">
        <v>1338.9146728999999</v>
      </c>
      <c r="I371">
        <v>1320.2158202999999</v>
      </c>
      <c r="J371">
        <v>1315.6745605000001</v>
      </c>
      <c r="K371">
        <v>2750</v>
      </c>
      <c r="L371">
        <v>0</v>
      </c>
      <c r="M371">
        <v>0</v>
      </c>
      <c r="N371">
        <v>2750</v>
      </c>
    </row>
    <row r="372" spans="1:14" x14ac:dyDescent="0.25">
      <c r="A372">
        <v>34.089373000000002</v>
      </c>
      <c r="B372" s="1">
        <f>DATE(2010,6,4) + TIME(2,8,41)</f>
        <v>40333.089363425926</v>
      </c>
      <c r="C372">
        <v>80</v>
      </c>
      <c r="D372">
        <v>79.949790954999997</v>
      </c>
      <c r="E372">
        <v>40</v>
      </c>
      <c r="F372">
        <v>14.999692917000001</v>
      </c>
      <c r="G372">
        <v>1341.5943603999999</v>
      </c>
      <c r="H372">
        <v>1338.9117432</v>
      </c>
      <c r="I372">
        <v>1320.2163086</v>
      </c>
      <c r="J372">
        <v>1315.6749268000001</v>
      </c>
      <c r="K372">
        <v>2750</v>
      </c>
      <c r="L372">
        <v>0</v>
      </c>
      <c r="M372">
        <v>0</v>
      </c>
      <c r="N372">
        <v>2750</v>
      </c>
    </row>
    <row r="373" spans="1:14" x14ac:dyDescent="0.25">
      <c r="A373">
        <v>34.384782999999999</v>
      </c>
      <c r="B373" s="1">
        <f>DATE(2010,6,4) + TIME(9,14,5)</f>
        <v>40333.384780092594</v>
      </c>
      <c r="C373">
        <v>80</v>
      </c>
      <c r="D373">
        <v>79.949783324999999</v>
      </c>
      <c r="E373">
        <v>40</v>
      </c>
      <c r="F373">
        <v>14.999693871</v>
      </c>
      <c r="G373">
        <v>1341.590332</v>
      </c>
      <c r="H373">
        <v>1338.9089355000001</v>
      </c>
      <c r="I373">
        <v>1320.2166748</v>
      </c>
      <c r="J373">
        <v>1315.675293</v>
      </c>
      <c r="K373">
        <v>2750</v>
      </c>
      <c r="L373">
        <v>0</v>
      </c>
      <c r="M373">
        <v>0</v>
      </c>
      <c r="N373">
        <v>2750</v>
      </c>
    </row>
    <row r="374" spans="1:14" x14ac:dyDescent="0.25">
      <c r="A374">
        <v>34.681015000000002</v>
      </c>
      <c r="B374" s="1">
        <f>DATE(2010,6,4) + TIME(16,20,39)</f>
        <v>40333.681006944447</v>
      </c>
      <c r="C374">
        <v>80</v>
      </c>
      <c r="D374">
        <v>79.949768066000004</v>
      </c>
      <c r="E374">
        <v>40</v>
      </c>
      <c r="F374">
        <v>14.999694824000001</v>
      </c>
      <c r="G374">
        <v>1341.5822754000001</v>
      </c>
      <c r="H374">
        <v>1338.9030762</v>
      </c>
      <c r="I374">
        <v>1320.2175293</v>
      </c>
      <c r="J374">
        <v>1315.6759033000001</v>
      </c>
      <c r="K374">
        <v>2750</v>
      </c>
      <c r="L374">
        <v>0</v>
      </c>
      <c r="M374">
        <v>0</v>
      </c>
      <c r="N374">
        <v>2750</v>
      </c>
    </row>
    <row r="375" spans="1:14" x14ac:dyDescent="0.25">
      <c r="A375">
        <v>34.981028999999999</v>
      </c>
      <c r="B375" s="1">
        <f>DATE(2010,6,4) + TIME(23,32,40)</f>
        <v>40333.98101851852</v>
      </c>
      <c r="C375">
        <v>80</v>
      </c>
      <c r="D375">
        <v>79.949760436999995</v>
      </c>
      <c r="E375">
        <v>40</v>
      </c>
      <c r="F375">
        <v>14.999695778</v>
      </c>
      <c r="G375">
        <v>1341.5742187999999</v>
      </c>
      <c r="H375">
        <v>1338.8972168</v>
      </c>
      <c r="I375">
        <v>1320.2185059000001</v>
      </c>
      <c r="J375">
        <v>1315.6766356999999</v>
      </c>
      <c r="K375">
        <v>2750</v>
      </c>
      <c r="L375">
        <v>0</v>
      </c>
      <c r="M375">
        <v>0</v>
      </c>
      <c r="N375">
        <v>2750</v>
      </c>
    </row>
    <row r="376" spans="1:14" x14ac:dyDescent="0.25">
      <c r="A376">
        <v>35.285474999999998</v>
      </c>
      <c r="B376" s="1">
        <f>DATE(2010,6,5) + TIME(6,51,5)</f>
        <v>40334.285474537035</v>
      </c>
      <c r="C376">
        <v>80</v>
      </c>
      <c r="D376">
        <v>79.949745178000001</v>
      </c>
      <c r="E376">
        <v>40</v>
      </c>
      <c r="F376">
        <v>14.999697684999999</v>
      </c>
      <c r="G376">
        <v>1341.5661620999999</v>
      </c>
      <c r="H376">
        <v>1338.8913574000001</v>
      </c>
      <c r="I376">
        <v>1320.2193603999999</v>
      </c>
      <c r="J376">
        <v>1315.6772461</v>
      </c>
      <c r="K376">
        <v>2750</v>
      </c>
      <c r="L376">
        <v>0</v>
      </c>
      <c r="M376">
        <v>0</v>
      </c>
      <c r="N376">
        <v>2750</v>
      </c>
    </row>
    <row r="377" spans="1:14" x14ac:dyDescent="0.25">
      <c r="A377">
        <v>35.595073999999997</v>
      </c>
      <c r="B377" s="1">
        <f>DATE(2010,6,5) + TIME(14,16,54)</f>
        <v>40334.595069444447</v>
      </c>
      <c r="C377">
        <v>80</v>
      </c>
      <c r="D377">
        <v>79.949729919000006</v>
      </c>
      <c r="E377">
        <v>40</v>
      </c>
      <c r="F377">
        <v>14.999698639</v>
      </c>
      <c r="G377">
        <v>1341.5579834</v>
      </c>
      <c r="H377">
        <v>1338.8854980000001</v>
      </c>
      <c r="I377">
        <v>1320.2202147999999</v>
      </c>
      <c r="J377">
        <v>1315.6779785000001</v>
      </c>
      <c r="K377">
        <v>2750</v>
      </c>
      <c r="L377">
        <v>0</v>
      </c>
      <c r="M377">
        <v>0</v>
      </c>
      <c r="N377">
        <v>2750</v>
      </c>
    </row>
    <row r="378" spans="1:14" x14ac:dyDescent="0.25">
      <c r="A378">
        <v>35.910654000000001</v>
      </c>
      <c r="B378" s="1">
        <f>DATE(2010,6,5) + TIME(21,51,20)</f>
        <v>40334.91064814815</v>
      </c>
      <c r="C378">
        <v>80</v>
      </c>
      <c r="D378">
        <v>79.949714661000002</v>
      </c>
      <c r="E378">
        <v>40</v>
      </c>
      <c r="F378">
        <v>14.999699593000001</v>
      </c>
      <c r="G378">
        <v>1341.5498047000001</v>
      </c>
      <c r="H378">
        <v>1338.8795166</v>
      </c>
      <c r="I378">
        <v>1320.2211914</v>
      </c>
      <c r="J378">
        <v>1315.6787108999999</v>
      </c>
      <c r="K378">
        <v>2750</v>
      </c>
      <c r="L378">
        <v>0</v>
      </c>
      <c r="M378">
        <v>0</v>
      </c>
      <c r="N378">
        <v>2750</v>
      </c>
    </row>
    <row r="379" spans="1:14" x14ac:dyDescent="0.25">
      <c r="A379">
        <v>36.070765999999999</v>
      </c>
      <c r="B379" s="1">
        <f>DATE(2010,6,6) + TIME(1,41,54)</f>
        <v>40335.070763888885</v>
      </c>
      <c r="C379">
        <v>80</v>
      </c>
      <c r="D379">
        <v>79.949699401999993</v>
      </c>
      <c r="E379">
        <v>40</v>
      </c>
      <c r="F379">
        <v>14.999700546</v>
      </c>
      <c r="G379">
        <v>1341.5413818</v>
      </c>
      <c r="H379">
        <v>1338.8734131000001</v>
      </c>
      <c r="I379">
        <v>1320.2220459</v>
      </c>
      <c r="J379">
        <v>1315.6794434000001</v>
      </c>
      <c r="K379">
        <v>2750</v>
      </c>
      <c r="L379">
        <v>0</v>
      </c>
      <c r="M379">
        <v>0</v>
      </c>
      <c r="N379">
        <v>2750</v>
      </c>
    </row>
    <row r="380" spans="1:14" x14ac:dyDescent="0.25">
      <c r="A380">
        <v>36.230352000000003</v>
      </c>
      <c r="B380" s="1">
        <f>DATE(2010,6,6) + TIME(5,31,42)</f>
        <v>40335.230347222219</v>
      </c>
      <c r="C380">
        <v>80</v>
      </c>
      <c r="D380">
        <v>79.949691771999994</v>
      </c>
      <c r="E380">
        <v>40</v>
      </c>
      <c r="F380">
        <v>14.9997015</v>
      </c>
      <c r="G380">
        <v>1341.5372314000001</v>
      </c>
      <c r="H380">
        <v>1338.8702393000001</v>
      </c>
      <c r="I380">
        <v>1320.2225341999999</v>
      </c>
      <c r="J380">
        <v>1315.6798096</v>
      </c>
      <c r="K380">
        <v>2750</v>
      </c>
      <c r="L380">
        <v>0</v>
      </c>
      <c r="M380">
        <v>0</v>
      </c>
      <c r="N380">
        <v>2750</v>
      </c>
    </row>
    <row r="381" spans="1:14" x14ac:dyDescent="0.25">
      <c r="A381">
        <v>36.389384</v>
      </c>
      <c r="B381" s="1">
        <f>DATE(2010,6,6) + TIME(9,20,42)</f>
        <v>40335.389374999999</v>
      </c>
      <c r="C381">
        <v>80</v>
      </c>
      <c r="D381">
        <v>79.949676514000004</v>
      </c>
      <c r="E381">
        <v>40</v>
      </c>
      <c r="F381">
        <v>14.999702453999999</v>
      </c>
      <c r="G381">
        <v>1341.5330810999999</v>
      </c>
      <c r="H381">
        <v>1338.8673096</v>
      </c>
      <c r="I381">
        <v>1320.2230225000001</v>
      </c>
      <c r="J381">
        <v>1315.6801757999999</v>
      </c>
      <c r="K381">
        <v>2750</v>
      </c>
      <c r="L381">
        <v>0</v>
      </c>
      <c r="M381">
        <v>0</v>
      </c>
      <c r="N381">
        <v>2750</v>
      </c>
    </row>
    <row r="382" spans="1:14" x14ac:dyDescent="0.25">
      <c r="A382">
        <v>36.547963000000003</v>
      </c>
      <c r="B382" s="1">
        <f>DATE(2010,6,6) + TIME(13,9,3)</f>
        <v>40335.547951388886</v>
      </c>
      <c r="C382">
        <v>80</v>
      </c>
      <c r="D382">
        <v>79.949668884000005</v>
      </c>
      <c r="E382">
        <v>40</v>
      </c>
      <c r="F382">
        <v>14.999703407</v>
      </c>
      <c r="G382">
        <v>1341.5289307</v>
      </c>
      <c r="H382">
        <v>1338.8642577999999</v>
      </c>
      <c r="I382">
        <v>1320.2235106999999</v>
      </c>
      <c r="J382">
        <v>1315.6805420000001</v>
      </c>
      <c r="K382">
        <v>2750</v>
      </c>
      <c r="L382">
        <v>0</v>
      </c>
      <c r="M382">
        <v>0</v>
      </c>
      <c r="N382">
        <v>2750</v>
      </c>
    </row>
    <row r="383" spans="1:14" x14ac:dyDescent="0.25">
      <c r="A383">
        <v>36.706189999999999</v>
      </c>
      <c r="B383" s="1">
        <f>DATE(2010,6,6) + TIME(16,56,54)</f>
        <v>40335.706180555557</v>
      </c>
      <c r="C383">
        <v>80</v>
      </c>
      <c r="D383">
        <v>79.949661254999995</v>
      </c>
      <c r="E383">
        <v>40</v>
      </c>
      <c r="F383">
        <v>14.999703407</v>
      </c>
      <c r="G383">
        <v>1341.5247803</v>
      </c>
      <c r="H383">
        <v>1338.8612060999999</v>
      </c>
      <c r="I383">
        <v>1320.223999</v>
      </c>
      <c r="J383">
        <v>1315.6809082</v>
      </c>
      <c r="K383">
        <v>2750</v>
      </c>
      <c r="L383">
        <v>0</v>
      </c>
      <c r="M383">
        <v>0</v>
      </c>
      <c r="N383">
        <v>2750</v>
      </c>
    </row>
    <row r="384" spans="1:14" x14ac:dyDescent="0.25">
      <c r="A384">
        <v>36.864164000000002</v>
      </c>
      <c r="B384" s="1">
        <f>DATE(2010,6,6) + TIME(20,44,23)</f>
        <v>40335.864155092589</v>
      </c>
      <c r="C384">
        <v>80</v>
      </c>
      <c r="D384">
        <v>79.949653624999996</v>
      </c>
      <c r="E384">
        <v>40</v>
      </c>
      <c r="F384">
        <v>14.999704360999999</v>
      </c>
      <c r="G384">
        <v>1341.5207519999999</v>
      </c>
      <c r="H384">
        <v>1338.8582764</v>
      </c>
      <c r="I384">
        <v>1320.2244873</v>
      </c>
      <c r="J384">
        <v>1315.6812743999999</v>
      </c>
      <c r="K384">
        <v>2750</v>
      </c>
      <c r="L384">
        <v>0</v>
      </c>
      <c r="M384">
        <v>0</v>
      </c>
      <c r="N384">
        <v>2750</v>
      </c>
    </row>
    <row r="385" spans="1:14" x14ac:dyDescent="0.25">
      <c r="A385">
        <v>37.021963</v>
      </c>
      <c r="B385" s="1">
        <f>DATE(2010,6,7) + TIME(0,31,37)</f>
        <v>40336.021956018521</v>
      </c>
      <c r="C385">
        <v>80</v>
      </c>
      <c r="D385">
        <v>79.949645996000001</v>
      </c>
      <c r="E385">
        <v>40</v>
      </c>
      <c r="F385">
        <v>14.999705315</v>
      </c>
      <c r="G385">
        <v>1341.5167236</v>
      </c>
      <c r="H385">
        <v>1338.8553466999999</v>
      </c>
      <c r="I385">
        <v>1320.2248535000001</v>
      </c>
      <c r="J385">
        <v>1315.6816406</v>
      </c>
      <c r="K385">
        <v>2750</v>
      </c>
      <c r="L385">
        <v>0</v>
      </c>
      <c r="M385">
        <v>0</v>
      </c>
      <c r="N385">
        <v>2750</v>
      </c>
    </row>
    <row r="386" spans="1:14" x14ac:dyDescent="0.25">
      <c r="A386">
        <v>37.179678000000003</v>
      </c>
      <c r="B386" s="1">
        <f>DATE(2010,6,7) + TIME(4,18,44)</f>
        <v>40336.179675925923</v>
      </c>
      <c r="C386">
        <v>80</v>
      </c>
      <c r="D386">
        <v>79.949638367000006</v>
      </c>
      <c r="E386">
        <v>40</v>
      </c>
      <c r="F386">
        <v>14.999705315</v>
      </c>
      <c r="G386">
        <v>1341.5126952999999</v>
      </c>
      <c r="H386">
        <v>1338.8524170000001</v>
      </c>
      <c r="I386">
        <v>1320.2253418</v>
      </c>
      <c r="J386">
        <v>1315.6820068</v>
      </c>
      <c r="K386">
        <v>2750</v>
      </c>
      <c r="L386">
        <v>0</v>
      </c>
      <c r="M386">
        <v>0</v>
      </c>
      <c r="N386">
        <v>2750</v>
      </c>
    </row>
    <row r="387" spans="1:14" x14ac:dyDescent="0.25">
      <c r="A387">
        <v>37.337392999999999</v>
      </c>
      <c r="B387" s="1">
        <f>DATE(2010,6,7) + TIME(8,5,50)</f>
        <v>40336.337384259263</v>
      </c>
      <c r="C387">
        <v>80</v>
      </c>
      <c r="D387">
        <v>79.949630737000007</v>
      </c>
      <c r="E387">
        <v>40</v>
      </c>
      <c r="F387">
        <v>14.999706268000001</v>
      </c>
      <c r="G387">
        <v>1341.5086670000001</v>
      </c>
      <c r="H387">
        <v>1338.8494873</v>
      </c>
      <c r="I387">
        <v>1320.2258300999999</v>
      </c>
      <c r="J387">
        <v>1315.6823730000001</v>
      </c>
      <c r="K387">
        <v>2750</v>
      </c>
      <c r="L387">
        <v>0</v>
      </c>
      <c r="M387">
        <v>0</v>
      </c>
      <c r="N387">
        <v>2750</v>
      </c>
    </row>
    <row r="388" spans="1:14" x14ac:dyDescent="0.25">
      <c r="A388">
        <v>37.495108999999999</v>
      </c>
      <c r="B388" s="1">
        <f>DATE(2010,6,7) + TIME(11,52,57)</f>
        <v>40336.495104166665</v>
      </c>
      <c r="C388">
        <v>80</v>
      </c>
      <c r="D388">
        <v>79.949623107999997</v>
      </c>
      <c r="E388">
        <v>40</v>
      </c>
      <c r="F388">
        <v>14.999707222</v>
      </c>
      <c r="G388">
        <v>1341.5046387</v>
      </c>
      <c r="H388">
        <v>1338.8465576000001</v>
      </c>
      <c r="I388">
        <v>1320.2263184000001</v>
      </c>
      <c r="J388">
        <v>1315.6827393000001</v>
      </c>
      <c r="K388">
        <v>2750</v>
      </c>
      <c r="L388">
        <v>0</v>
      </c>
      <c r="M388">
        <v>0</v>
      </c>
      <c r="N388">
        <v>2750</v>
      </c>
    </row>
    <row r="389" spans="1:14" x14ac:dyDescent="0.25">
      <c r="A389">
        <v>37.652824000000003</v>
      </c>
      <c r="B389" s="1">
        <f>DATE(2010,6,7) + TIME(15,40,4)</f>
        <v>40336.652824074074</v>
      </c>
      <c r="C389">
        <v>80</v>
      </c>
      <c r="D389">
        <v>79.949615479000002</v>
      </c>
      <c r="E389">
        <v>40</v>
      </c>
      <c r="F389">
        <v>14.999708176</v>
      </c>
      <c r="G389">
        <v>1341.5007324000001</v>
      </c>
      <c r="H389">
        <v>1338.8436279</v>
      </c>
      <c r="I389">
        <v>1320.2268065999999</v>
      </c>
      <c r="J389">
        <v>1315.6831055</v>
      </c>
      <c r="K389">
        <v>2750</v>
      </c>
      <c r="L389">
        <v>0</v>
      </c>
      <c r="M389">
        <v>0</v>
      </c>
      <c r="N389">
        <v>2750</v>
      </c>
    </row>
    <row r="390" spans="1:14" x14ac:dyDescent="0.25">
      <c r="A390">
        <v>37.810540000000003</v>
      </c>
      <c r="B390" s="1">
        <f>DATE(2010,6,7) + TIME(19,27,10)</f>
        <v>40336.810532407406</v>
      </c>
      <c r="C390">
        <v>80</v>
      </c>
      <c r="D390">
        <v>79.949615479000002</v>
      </c>
      <c r="E390">
        <v>40</v>
      </c>
      <c r="F390">
        <v>14.999708176</v>
      </c>
      <c r="G390">
        <v>1341.4967041</v>
      </c>
      <c r="H390">
        <v>1338.8406981999999</v>
      </c>
      <c r="I390">
        <v>1320.2272949000001</v>
      </c>
      <c r="J390">
        <v>1315.6834716999999</v>
      </c>
      <c r="K390">
        <v>2750</v>
      </c>
      <c r="L390">
        <v>0</v>
      </c>
      <c r="M390">
        <v>0</v>
      </c>
      <c r="N390">
        <v>2750</v>
      </c>
    </row>
    <row r="391" spans="1:14" x14ac:dyDescent="0.25">
      <c r="A391">
        <v>37.968254999999999</v>
      </c>
      <c r="B391" s="1">
        <f>DATE(2010,6,7) + TIME(23,14,17)</f>
        <v>40336.968252314815</v>
      </c>
      <c r="C391">
        <v>80</v>
      </c>
      <c r="D391">
        <v>79.949607849000003</v>
      </c>
      <c r="E391">
        <v>40</v>
      </c>
      <c r="F391">
        <v>14.999709128999999</v>
      </c>
      <c r="G391">
        <v>1341.4927978999999</v>
      </c>
      <c r="H391">
        <v>1338.8377685999999</v>
      </c>
      <c r="I391">
        <v>1320.2277832</v>
      </c>
      <c r="J391">
        <v>1315.6838379000001</v>
      </c>
      <c r="K391">
        <v>2750</v>
      </c>
      <c r="L391">
        <v>0</v>
      </c>
      <c r="M391">
        <v>0</v>
      </c>
      <c r="N391">
        <v>2750</v>
      </c>
    </row>
    <row r="392" spans="1:14" x14ac:dyDescent="0.25">
      <c r="A392">
        <v>38.125970000000002</v>
      </c>
      <c r="B392" s="1">
        <f>DATE(2010,6,8) + TIME(3,1,23)</f>
        <v>40337.125960648147</v>
      </c>
      <c r="C392">
        <v>80</v>
      </c>
      <c r="D392">
        <v>79.949600219999994</v>
      </c>
      <c r="E392">
        <v>40</v>
      </c>
      <c r="F392">
        <v>14.999710083</v>
      </c>
      <c r="G392">
        <v>1341.4888916</v>
      </c>
      <c r="H392">
        <v>1338.8349608999999</v>
      </c>
      <c r="I392">
        <v>1320.2282714999999</v>
      </c>
      <c r="J392">
        <v>1315.6842041</v>
      </c>
      <c r="K392">
        <v>2750</v>
      </c>
      <c r="L392">
        <v>0</v>
      </c>
      <c r="M392">
        <v>0</v>
      </c>
      <c r="N392">
        <v>2750</v>
      </c>
    </row>
    <row r="393" spans="1:14" x14ac:dyDescent="0.25">
      <c r="A393">
        <v>38.441400999999999</v>
      </c>
      <c r="B393" s="1">
        <f>DATE(2010,6,8) + TIME(10,35,37)</f>
        <v>40337.441400462965</v>
      </c>
      <c r="C393">
        <v>80</v>
      </c>
      <c r="D393">
        <v>79.949600219999994</v>
      </c>
      <c r="E393">
        <v>40</v>
      </c>
      <c r="F393">
        <v>14.999711037000001</v>
      </c>
      <c r="G393">
        <v>1341.4849853999999</v>
      </c>
      <c r="H393">
        <v>1338.8321533000001</v>
      </c>
      <c r="I393">
        <v>1320.2287598</v>
      </c>
      <c r="J393">
        <v>1315.6845702999999</v>
      </c>
      <c r="K393">
        <v>2750</v>
      </c>
      <c r="L393">
        <v>0</v>
      </c>
      <c r="M393">
        <v>0</v>
      </c>
      <c r="N393">
        <v>2750</v>
      </c>
    </row>
    <row r="394" spans="1:14" x14ac:dyDescent="0.25">
      <c r="A394">
        <v>38.756939000000003</v>
      </c>
      <c r="B394" s="1">
        <f>DATE(2010,6,8) + TIME(18,9,59)</f>
        <v>40337.756932870368</v>
      </c>
      <c r="C394">
        <v>80</v>
      </c>
      <c r="D394">
        <v>79.949592589999995</v>
      </c>
      <c r="E394">
        <v>40</v>
      </c>
      <c r="F394">
        <v>14.99971199</v>
      </c>
      <c r="G394">
        <v>1341.4772949000001</v>
      </c>
      <c r="H394">
        <v>1338.8265381000001</v>
      </c>
      <c r="I394">
        <v>1320.2297363</v>
      </c>
      <c r="J394">
        <v>1315.6854248</v>
      </c>
      <c r="K394">
        <v>2750</v>
      </c>
      <c r="L394">
        <v>0</v>
      </c>
      <c r="M394">
        <v>0</v>
      </c>
      <c r="N394">
        <v>2750</v>
      </c>
    </row>
    <row r="395" spans="1:14" x14ac:dyDescent="0.25">
      <c r="A395">
        <v>39.075806999999998</v>
      </c>
      <c r="B395" s="1">
        <f>DATE(2010,6,9) + TIME(1,49,9)</f>
        <v>40338.075798611113</v>
      </c>
      <c r="C395">
        <v>80</v>
      </c>
      <c r="D395">
        <v>79.949577332000004</v>
      </c>
      <c r="E395">
        <v>40</v>
      </c>
      <c r="F395">
        <v>14.999712944000001</v>
      </c>
      <c r="G395">
        <v>1341.4694824000001</v>
      </c>
      <c r="H395">
        <v>1338.8208007999999</v>
      </c>
      <c r="I395">
        <v>1320.2307129000001</v>
      </c>
      <c r="J395">
        <v>1315.6861572</v>
      </c>
      <c r="K395">
        <v>2750</v>
      </c>
      <c r="L395">
        <v>0</v>
      </c>
      <c r="M395">
        <v>0</v>
      </c>
      <c r="N395">
        <v>2750</v>
      </c>
    </row>
    <row r="396" spans="1:14" x14ac:dyDescent="0.25">
      <c r="A396">
        <v>39.398688</v>
      </c>
      <c r="B396" s="1">
        <f>DATE(2010,6,9) + TIME(9,34,6)</f>
        <v>40338.398680555554</v>
      </c>
      <c r="C396">
        <v>80</v>
      </c>
      <c r="D396">
        <v>79.949569702000005</v>
      </c>
      <c r="E396">
        <v>40</v>
      </c>
      <c r="F396">
        <v>14.999713898</v>
      </c>
      <c r="G396">
        <v>1341.4616699000001</v>
      </c>
      <c r="H396">
        <v>1338.8151855000001</v>
      </c>
      <c r="I396">
        <v>1320.2316894999999</v>
      </c>
      <c r="J396">
        <v>1315.6868896000001</v>
      </c>
      <c r="K396">
        <v>2750</v>
      </c>
      <c r="L396">
        <v>0</v>
      </c>
      <c r="M396">
        <v>0</v>
      </c>
      <c r="N396">
        <v>2750</v>
      </c>
    </row>
    <row r="397" spans="1:14" x14ac:dyDescent="0.25">
      <c r="A397">
        <v>39.726345000000002</v>
      </c>
      <c r="B397" s="1">
        <f>DATE(2010,6,9) + TIME(17,25,56)</f>
        <v>40338.726342592592</v>
      </c>
      <c r="C397">
        <v>80</v>
      </c>
      <c r="D397">
        <v>79.949562072999996</v>
      </c>
      <c r="E397">
        <v>40</v>
      </c>
      <c r="F397">
        <v>14.999715804999999</v>
      </c>
      <c r="G397">
        <v>1341.4539795000001</v>
      </c>
      <c r="H397">
        <v>1338.8094481999999</v>
      </c>
      <c r="I397">
        <v>1320.2327881000001</v>
      </c>
      <c r="J397">
        <v>1315.6876221</v>
      </c>
      <c r="K397">
        <v>2750</v>
      </c>
      <c r="L397">
        <v>0</v>
      </c>
      <c r="M397">
        <v>0</v>
      </c>
      <c r="N397">
        <v>2750</v>
      </c>
    </row>
    <row r="398" spans="1:14" x14ac:dyDescent="0.25">
      <c r="A398">
        <v>40.059553999999999</v>
      </c>
      <c r="B398" s="1">
        <f>DATE(2010,6,10) + TIME(1,25,45)</f>
        <v>40339.059548611112</v>
      </c>
      <c r="C398">
        <v>80</v>
      </c>
      <c r="D398">
        <v>79.949546814000001</v>
      </c>
      <c r="E398">
        <v>40</v>
      </c>
      <c r="F398">
        <v>14.999716759</v>
      </c>
      <c r="G398">
        <v>1341.4460449000001</v>
      </c>
      <c r="H398">
        <v>1338.8037108999999</v>
      </c>
      <c r="I398">
        <v>1320.2337646000001</v>
      </c>
      <c r="J398">
        <v>1315.6884766000001</v>
      </c>
      <c r="K398">
        <v>2750</v>
      </c>
      <c r="L398">
        <v>0</v>
      </c>
      <c r="M398">
        <v>0</v>
      </c>
      <c r="N398">
        <v>2750</v>
      </c>
    </row>
    <row r="399" spans="1:14" x14ac:dyDescent="0.25">
      <c r="A399">
        <v>40.399067000000002</v>
      </c>
      <c r="B399" s="1">
        <f>DATE(2010,6,10) + TIME(9,34,39)</f>
        <v>40339.399062500001</v>
      </c>
      <c r="C399">
        <v>80</v>
      </c>
      <c r="D399">
        <v>79.949539185000006</v>
      </c>
      <c r="E399">
        <v>40</v>
      </c>
      <c r="F399">
        <v>14.999717712000001</v>
      </c>
      <c r="G399">
        <v>1341.4381103999999</v>
      </c>
      <c r="H399">
        <v>1338.7979736</v>
      </c>
      <c r="I399">
        <v>1320.2348632999999</v>
      </c>
      <c r="J399">
        <v>1315.6892089999999</v>
      </c>
      <c r="K399">
        <v>2750</v>
      </c>
      <c r="L399">
        <v>0</v>
      </c>
      <c r="M399">
        <v>0</v>
      </c>
      <c r="N399">
        <v>2750</v>
      </c>
    </row>
    <row r="400" spans="1:14" x14ac:dyDescent="0.25">
      <c r="A400">
        <v>40.569043999999998</v>
      </c>
      <c r="B400" s="1">
        <f>DATE(2010,6,10) + TIME(13,39,25)</f>
        <v>40339.569039351853</v>
      </c>
      <c r="C400">
        <v>80</v>
      </c>
      <c r="D400">
        <v>79.949523925999998</v>
      </c>
      <c r="E400">
        <v>40</v>
      </c>
      <c r="F400">
        <v>14.999718666</v>
      </c>
      <c r="G400">
        <v>1341.4300536999999</v>
      </c>
      <c r="H400">
        <v>1338.7919922000001</v>
      </c>
      <c r="I400">
        <v>1320.2358397999999</v>
      </c>
      <c r="J400">
        <v>1315.6900635</v>
      </c>
      <c r="K400">
        <v>2750</v>
      </c>
      <c r="L400">
        <v>0</v>
      </c>
      <c r="M400">
        <v>0</v>
      </c>
      <c r="N400">
        <v>2750</v>
      </c>
    </row>
    <row r="401" spans="1:14" x14ac:dyDescent="0.25">
      <c r="A401">
        <v>40.739021999999999</v>
      </c>
      <c r="B401" s="1">
        <f>DATE(2010,6,10) + TIME(17,44,11)</f>
        <v>40339.739016203705</v>
      </c>
      <c r="C401">
        <v>80</v>
      </c>
      <c r="D401">
        <v>79.949516295999999</v>
      </c>
      <c r="E401">
        <v>40</v>
      </c>
      <c r="F401">
        <v>14.99971962</v>
      </c>
      <c r="G401">
        <v>1341.4260254000001</v>
      </c>
      <c r="H401">
        <v>1338.7890625</v>
      </c>
      <c r="I401">
        <v>1320.2364502</v>
      </c>
      <c r="J401">
        <v>1315.6904297000001</v>
      </c>
      <c r="K401">
        <v>2750</v>
      </c>
      <c r="L401">
        <v>0</v>
      </c>
      <c r="M401">
        <v>0</v>
      </c>
      <c r="N401">
        <v>2750</v>
      </c>
    </row>
    <row r="402" spans="1:14" x14ac:dyDescent="0.25">
      <c r="A402">
        <v>40.908543999999999</v>
      </c>
      <c r="B402" s="1">
        <f>DATE(2010,6,10) + TIME(21,48,18)</f>
        <v>40339.908541666664</v>
      </c>
      <c r="C402">
        <v>80</v>
      </c>
      <c r="D402">
        <v>79.949508667000003</v>
      </c>
      <c r="E402">
        <v>40</v>
      </c>
      <c r="F402">
        <v>14.999720572999999</v>
      </c>
      <c r="G402">
        <v>1341.4219971</v>
      </c>
      <c r="H402">
        <v>1338.7861327999999</v>
      </c>
      <c r="I402">
        <v>1320.2369385</v>
      </c>
      <c r="J402">
        <v>1315.690918</v>
      </c>
      <c r="K402">
        <v>2750</v>
      </c>
      <c r="L402">
        <v>0</v>
      </c>
      <c r="M402">
        <v>0</v>
      </c>
      <c r="N402">
        <v>2750</v>
      </c>
    </row>
    <row r="403" spans="1:14" x14ac:dyDescent="0.25">
      <c r="A403">
        <v>41.077652999999998</v>
      </c>
      <c r="B403" s="1">
        <f>DATE(2010,6,11) + TIME(1,51,49)</f>
        <v>40340.077650462961</v>
      </c>
      <c r="C403">
        <v>80</v>
      </c>
      <c r="D403">
        <v>79.949501037999994</v>
      </c>
      <c r="E403">
        <v>40</v>
      </c>
      <c r="F403">
        <v>14.999721527</v>
      </c>
      <c r="G403">
        <v>1341.4180908000001</v>
      </c>
      <c r="H403">
        <v>1338.7832031</v>
      </c>
      <c r="I403">
        <v>1320.2375488</v>
      </c>
      <c r="J403">
        <v>1315.6912841999999</v>
      </c>
      <c r="K403">
        <v>2750</v>
      </c>
      <c r="L403">
        <v>0</v>
      </c>
      <c r="M403">
        <v>0</v>
      </c>
      <c r="N403">
        <v>2750</v>
      </c>
    </row>
    <row r="404" spans="1:14" x14ac:dyDescent="0.25">
      <c r="A404">
        <v>41.246450000000003</v>
      </c>
      <c r="B404" s="1">
        <f>DATE(2010,6,11) + TIME(5,54,53)</f>
        <v>40340.246446759258</v>
      </c>
      <c r="C404">
        <v>80</v>
      </c>
      <c r="D404">
        <v>79.949493407999995</v>
      </c>
      <c r="E404">
        <v>40</v>
      </c>
      <c r="F404">
        <v>14.999721527</v>
      </c>
      <c r="G404">
        <v>1341.4141846</v>
      </c>
      <c r="H404">
        <v>1338.7803954999999</v>
      </c>
      <c r="I404">
        <v>1320.2380370999999</v>
      </c>
      <c r="J404">
        <v>1315.6917725000001</v>
      </c>
      <c r="K404">
        <v>2750</v>
      </c>
      <c r="L404">
        <v>0</v>
      </c>
      <c r="M404">
        <v>0</v>
      </c>
      <c r="N404">
        <v>2750</v>
      </c>
    </row>
    <row r="405" spans="1:14" x14ac:dyDescent="0.25">
      <c r="A405">
        <v>41.415033999999999</v>
      </c>
      <c r="B405" s="1">
        <f>DATE(2010,6,11) + TIME(9,57,38)</f>
        <v>40340.415023148147</v>
      </c>
      <c r="C405">
        <v>80</v>
      </c>
      <c r="D405">
        <v>79.949485779</v>
      </c>
      <c r="E405">
        <v>40</v>
      </c>
      <c r="F405">
        <v>14.999722480999999</v>
      </c>
      <c r="G405">
        <v>1341.4102783000001</v>
      </c>
      <c r="H405">
        <v>1338.7774658000001</v>
      </c>
      <c r="I405">
        <v>1320.2385254000001</v>
      </c>
      <c r="J405">
        <v>1315.6921387</v>
      </c>
      <c r="K405">
        <v>2750</v>
      </c>
      <c r="L405">
        <v>0</v>
      </c>
      <c r="M405">
        <v>0</v>
      </c>
      <c r="N405">
        <v>2750</v>
      </c>
    </row>
    <row r="406" spans="1:14" x14ac:dyDescent="0.25">
      <c r="A406">
        <v>41.583505000000002</v>
      </c>
      <c r="B406" s="1">
        <f>DATE(2010,6,11) + TIME(14,0,14)</f>
        <v>40340.583495370367</v>
      </c>
      <c r="C406">
        <v>80</v>
      </c>
      <c r="D406">
        <v>79.949485779</v>
      </c>
      <c r="E406">
        <v>40</v>
      </c>
      <c r="F406">
        <v>14.999723434</v>
      </c>
      <c r="G406">
        <v>1341.4063721</v>
      </c>
      <c r="H406">
        <v>1338.7746582</v>
      </c>
      <c r="I406">
        <v>1320.2391356999999</v>
      </c>
      <c r="J406">
        <v>1315.6925048999999</v>
      </c>
      <c r="K406">
        <v>2750</v>
      </c>
      <c r="L406">
        <v>0</v>
      </c>
      <c r="M406">
        <v>0</v>
      </c>
      <c r="N406">
        <v>2750</v>
      </c>
    </row>
    <row r="407" spans="1:14" x14ac:dyDescent="0.25">
      <c r="A407">
        <v>41.751927000000002</v>
      </c>
      <c r="B407" s="1">
        <f>DATE(2010,6,11) + TIME(18,2,46)</f>
        <v>40340.751921296294</v>
      </c>
      <c r="C407">
        <v>80</v>
      </c>
      <c r="D407">
        <v>79.949478149000001</v>
      </c>
      <c r="E407">
        <v>40</v>
      </c>
      <c r="F407">
        <v>14.999723434</v>
      </c>
      <c r="G407">
        <v>1341.4024658000001</v>
      </c>
      <c r="H407">
        <v>1338.7717285000001</v>
      </c>
      <c r="I407">
        <v>1320.239624</v>
      </c>
      <c r="J407">
        <v>1315.6929932</v>
      </c>
      <c r="K407">
        <v>2750</v>
      </c>
      <c r="L407">
        <v>0</v>
      </c>
      <c r="M407">
        <v>0</v>
      </c>
      <c r="N407">
        <v>2750</v>
      </c>
    </row>
    <row r="408" spans="1:14" x14ac:dyDescent="0.25">
      <c r="A408">
        <v>41.920349000000002</v>
      </c>
      <c r="B408" s="1">
        <f>DATE(2010,6,11) + TIME(22,5,18)</f>
        <v>40340.920347222222</v>
      </c>
      <c r="C408">
        <v>80</v>
      </c>
      <c r="D408">
        <v>79.949470520000006</v>
      </c>
      <c r="E408">
        <v>40</v>
      </c>
      <c r="F408">
        <v>14.999724388000001</v>
      </c>
      <c r="G408">
        <v>1341.3986815999999</v>
      </c>
      <c r="H408">
        <v>1338.7689209</v>
      </c>
      <c r="I408">
        <v>1320.2402344</v>
      </c>
      <c r="J408">
        <v>1315.6933594</v>
      </c>
      <c r="K408">
        <v>2750</v>
      </c>
      <c r="L408">
        <v>0</v>
      </c>
      <c r="M408">
        <v>0</v>
      </c>
      <c r="N408">
        <v>2750</v>
      </c>
    </row>
    <row r="409" spans="1:14" x14ac:dyDescent="0.25">
      <c r="A409">
        <v>42.088771999999999</v>
      </c>
      <c r="B409" s="1">
        <f>DATE(2010,6,12) + TIME(2,7,49)</f>
        <v>40341.088761574072</v>
      </c>
      <c r="C409">
        <v>80</v>
      </c>
      <c r="D409">
        <v>79.949462890999996</v>
      </c>
      <c r="E409">
        <v>40</v>
      </c>
      <c r="F409">
        <v>14.999725342</v>
      </c>
      <c r="G409">
        <v>1341.3947754000001</v>
      </c>
      <c r="H409">
        <v>1338.7661132999999</v>
      </c>
      <c r="I409">
        <v>1320.2407227000001</v>
      </c>
      <c r="J409">
        <v>1315.6938477000001</v>
      </c>
      <c r="K409">
        <v>2750</v>
      </c>
      <c r="L409">
        <v>0</v>
      </c>
      <c r="M409">
        <v>0</v>
      </c>
      <c r="N409">
        <v>2750</v>
      </c>
    </row>
    <row r="410" spans="1:14" x14ac:dyDescent="0.25">
      <c r="A410">
        <v>42.257193999999998</v>
      </c>
      <c r="B410" s="1">
        <f>DATE(2010,6,12) + TIME(6,10,21)</f>
        <v>40341.257187499999</v>
      </c>
      <c r="C410">
        <v>80</v>
      </c>
      <c r="D410">
        <v>79.949462890999996</v>
      </c>
      <c r="E410">
        <v>40</v>
      </c>
      <c r="F410">
        <v>14.999725342</v>
      </c>
      <c r="G410">
        <v>1341.3909911999999</v>
      </c>
      <c r="H410">
        <v>1338.7633057</v>
      </c>
      <c r="I410">
        <v>1320.2413329999999</v>
      </c>
      <c r="J410">
        <v>1315.6942139</v>
      </c>
      <c r="K410">
        <v>2750</v>
      </c>
      <c r="L410">
        <v>0</v>
      </c>
      <c r="M410">
        <v>0</v>
      </c>
      <c r="N410">
        <v>2750</v>
      </c>
    </row>
    <row r="411" spans="1:14" x14ac:dyDescent="0.25">
      <c r="A411">
        <v>42.425615999999998</v>
      </c>
      <c r="B411" s="1">
        <f>DATE(2010,6,12) + TIME(10,12,53)</f>
        <v>40341.425613425927</v>
      </c>
      <c r="C411">
        <v>80</v>
      </c>
      <c r="D411">
        <v>79.949455260999997</v>
      </c>
      <c r="E411">
        <v>40</v>
      </c>
      <c r="F411">
        <v>14.999726295</v>
      </c>
      <c r="G411">
        <v>1341.387207</v>
      </c>
      <c r="H411">
        <v>1338.7604980000001</v>
      </c>
      <c r="I411">
        <v>1320.2418213000001</v>
      </c>
      <c r="J411">
        <v>1315.6947021000001</v>
      </c>
      <c r="K411">
        <v>2750</v>
      </c>
      <c r="L411">
        <v>0</v>
      </c>
      <c r="M411">
        <v>0</v>
      </c>
      <c r="N411">
        <v>2750</v>
      </c>
    </row>
    <row r="412" spans="1:14" x14ac:dyDescent="0.25">
      <c r="A412">
        <v>42.594037999999998</v>
      </c>
      <c r="B412" s="1">
        <f>DATE(2010,6,12) + TIME(14,15,24)</f>
        <v>40341.594027777777</v>
      </c>
      <c r="C412">
        <v>80</v>
      </c>
      <c r="D412">
        <v>79.949455260999997</v>
      </c>
      <c r="E412">
        <v>40</v>
      </c>
      <c r="F412">
        <v>14.999727248999999</v>
      </c>
      <c r="G412">
        <v>1341.3834228999999</v>
      </c>
      <c r="H412">
        <v>1338.7576904</v>
      </c>
      <c r="I412">
        <v>1320.2424315999999</v>
      </c>
      <c r="J412">
        <v>1315.6950684000001</v>
      </c>
      <c r="K412">
        <v>2750</v>
      </c>
      <c r="L412">
        <v>0</v>
      </c>
      <c r="M412">
        <v>0</v>
      </c>
      <c r="N412">
        <v>2750</v>
      </c>
    </row>
    <row r="413" spans="1:14" x14ac:dyDescent="0.25">
      <c r="A413">
        <v>42.762461000000002</v>
      </c>
      <c r="B413" s="1">
        <f>DATE(2010,6,12) + TIME(18,17,56)</f>
        <v>40341.762453703705</v>
      </c>
      <c r="C413">
        <v>80</v>
      </c>
      <c r="D413">
        <v>79.949447632000002</v>
      </c>
      <c r="E413">
        <v>40</v>
      </c>
      <c r="F413">
        <v>14.999728203</v>
      </c>
      <c r="G413">
        <v>1341.3796387</v>
      </c>
      <c r="H413">
        <v>1338.7550048999999</v>
      </c>
      <c r="I413">
        <v>1320.2429199000001</v>
      </c>
      <c r="J413">
        <v>1315.6954346</v>
      </c>
      <c r="K413">
        <v>2750</v>
      </c>
      <c r="L413">
        <v>0</v>
      </c>
      <c r="M413">
        <v>0</v>
      </c>
      <c r="N413">
        <v>2750</v>
      </c>
    </row>
    <row r="414" spans="1:14" x14ac:dyDescent="0.25">
      <c r="A414">
        <v>43.099305000000001</v>
      </c>
      <c r="B414" s="1">
        <f>DATE(2010,6,13) + TIME(2,22,59)</f>
        <v>40342.099293981482</v>
      </c>
      <c r="C414">
        <v>80</v>
      </c>
      <c r="D414">
        <v>79.949447632000002</v>
      </c>
      <c r="E414">
        <v>40</v>
      </c>
      <c r="F414">
        <v>14.999729156000001</v>
      </c>
      <c r="G414">
        <v>1341.3759766000001</v>
      </c>
      <c r="H414">
        <v>1338.7523193</v>
      </c>
      <c r="I414">
        <v>1320.2435303</v>
      </c>
      <c r="J414">
        <v>1315.6959228999999</v>
      </c>
      <c r="K414">
        <v>2750</v>
      </c>
      <c r="L414">
        <v>0</v>
      </c>
      <c r="M414">
        <v>0</v>
      </c>
      <c r="N414">
        <v>2750</v>
      </c>
    </row>
    <row r="415" spans="1:14" x14ac:dyDescent="0.25">
      <c r="A415">
        <v>43.437063000000002</v>
      </c>
      <c r="B415" s="1">
        <f>DATE(2010,6,13) + TIME(10,29,22)</f>
        <v>40342.437060185184</v>
      </c>
      <c r="C415">
        <v>80</v>
      </c>
      <c r="D415">
        <v>79.949447632000002</v>
      </c>
      <c r="E415">
        <v>40</v>
      </c>
      <c r="F415">
        <v>14.99973011</v>
      </c>
      <c r="G415">
        <v>1341.3684082</v>
      </c>
      <c r="H415">
        <v>1338.7468262</v>
      </c>
      <c r="I415">
        <v>1320.2446289</v>
      </c>
      <c r="J415">
        <v>1315.6967772999999</v>
      </c>
      <c r="K415">
        <v>2750</v>
      </c>
      <c r="L415">
        <v>0</v>
      </c>
      <c r="M415">
        <v>0</v>
      </c>
      <c r="N415">
        <v>2750</v>
      </c>
    </row>
    <row r="416" spans="1:14" x14ac:dyDescent="0.25">
      <c r="A416">
        <v>43.778879000000003</v>
      </c>
      <c r="B416" s="1">
        <f>DATE(2010,6,13) + TIME(18,41,35)</f>
        <v>40342.778877314813</v>
      </c>
      <c r="C416">
        <v>80</v>
      </c>
      <c r="D416">
        <v>79.949440002000003</v>
      </c>
      <c r="E416">
        <v>40</v>
      </c>
      <c r="F416">
        <v>14.999731064000001</v>
      </c>
      <c r="G416">
        <v>1341.3609618999999</v>
      </c>
      <c r="H416">
        <v>1338.7413329999999</v>
      </c>
      <c r="I416">
        <v>1320.2458495999999</v>
      </c>
      <c r="J416">
        <v>1315.6976318</v>
      </c>
      <c r="K416">
        <v>2750</v>
      </c>
      <c r="L416">
        <v>0</v>
      </c>
      <c r="M416">
        <v>0</v>
      </c>
      <c r="N416">
        <v>2750</v>
      </c>
    </row>
    <row r="417" spans="1:14" x14ac:dyDescent="0.25">
      <c r="A417">
        <v>44.125517000000002</v>
      </c>
      <c r="B417" s="1">
        <f>DATE(2010,6,14) + TIME(3,0,44)</f>
        <v>40343.125509259262</v>
      </c>
      <c r="C417">
        <v>80</v>
      </c>
      <c r="D417">
        <v>79.949432372999993</v>
      </c>
      <c r="E417">
        <v>40</v>
      </c>
      <c r="F417">
        <v>14.999732018</v>
      </c>
      <c r="G417">
        <v>1341.3535156</v>
      </c>
      <c r="H417">
        <v>1338.7357178</v>
      </c>
      <c r="I417">
        <v>1320.2469481999999</v>
      </c>
      <c r="J417">
        <v>1315.6984863</v>
      </c>
      <c r="K417">
        <v>2750</v>
      </c>
      <c r="L417">
        <v>0</v>
      </c>
      <c r="M417">
        <v>0</v>
      </c>
      <c r="N417">
        <v>2750</v>
      </c>
    </row>
    <row r="418" spans="1:14" x14ac:dyDescent="0.25">
      <c r="A418">
        <v>44.477806000000001</v>
      </c>
      <c r="B418" s="1">
        <f>DATE(2010,6,14) + TIME(11,28,2)</f>
        <v>40343.477800925924</v>
      </c>
      <c r="C418">
        <v>80</v>
      </c>
      <c r="D418">
        <v>79.949424743999998</v>
      </c>
      <c r="E418">
        <v>40</v>
      </c>
      <c r="F418">
        <v>14.999733924999999</v>
      </c>
      <c r="G418">
        <v>1341.3459473</v>
      </c>
      <c r="H418">
        <v>1338.7301024999999</v>
      </c>
      <c r="I418">
        <v>1320.2480469</v>
      </c>
      <c r="J418">
        <v>1315.6993408000001</v>
      </c>
      <c r="K418">
        <v>2750</v>
      </c>
      <c r="L418">
        <v>0</v>
      </c>
      <c r="M418">
        <v>0</v>
      </c>
      <c r="N418">
        <v>2750</v>
      </c>
    </row>
    <row r="419" spans="1:14" x14ac:dyDescent="0.25">
      <c r="A419">
        <v>44.836492</v>
      </c>
      <c r="B419" s="1">
        <f>DATE(2010,6,14) + TIME(20,4,32)</f>
        <v>40343.836481481485</v>
      </c>
      <c r="C419">
        <v>80</v>
      </c>
      <c r="D419">
        <v>79.949424743999998</v>
      </c>
      <c r="E419">
        <v>40</v>
      </c>
      <c r="F419">
        <v>14.999734879</v>
      </c>
      <c r="G419">
        <v>1341.3383789</v>
      </c>
      <c r="H419">
        <v>1338.7244873</v>
      </c>
      <c r="I419">
        <v>1320.2492675999999</v>
      </c>
      <c r="J419">
        <v>1315.7003173999999</v>
      </c>
      <c r="K419">
        <v>2750</v>
      </c>
      <c r="L419">
        <v>0</v>
      </c>
      <c r="M419">
        <v>0</v>
      </c>
      <c r="N419">
        <v>2750</v>
      </c>
    </row>
    <row r="420" spans="1:14" x14ac:dyDescent="0.25">
      <c r="A420">
        <v>45.018113</v>
      </c>
      <c r="B420" s="1">
        <f>DATE(2010,6,15) + TIME(0,26,4)</f>
        <v>40344.018101851849</v>
      </c>
      <c r="C420">
        <v>80</v>
      </c>
      <c r="D420">
        <v>79.949409485000004</v>
      </c>
      <c r="E420">
        <v>40</v>
      </c>
      <c r="F420">
        <v>14.999735832000001</v>
      </c>
      <c r="G420">
        <v>1341.3305664</v>
      </c>
      <c r="H420">
        <v>1338.71875</v>
      </c>
      <c r="I420">
        <v>1320.2504882999999</v>
      </c>
      <c r="J420">
        <v>1315.7011719</v>
      </c>
      <c r="K420">
        <v>2750</v>
      </c>
      <c r="L420">
        <v>0</v>
      </c>
      <c r="M420">
        <v>0</v>
      </c>
      <c r="N420">
        <v>2750</v>
      </c>
    </row>
    <row r="421" spans="1:14" x14ac:dyDescent="0.25">
      <c r="A421">
        <v>45.199672999999997</v>
      </c>
      <c r="B421" s="1">
        <f>DATE(2010,6,15) + TIME(4,47,31)</f>
        <v>40344.199664351851</v>
      </c>
      <c r="C421">
        <v>80</v>
      </c>
      <c r="D421">
        <v>79.949401855000005</v>
      </c>
      <c r="E421">
        <v>40</v>
      </c>
      <c r="F421">
        <v>14.999736786</v>
      </c>
      <c r="G421">
        <v>1341.3266602000001</v>
      </c>
      <c r="H421">
        <v>1338.7158202999999</v>
      </c>
      <c r="I421">
        <v>1320.2510986</v>
      </c>
      <c r="J421">
        <v>1315.7016602000001</v>
      </c>
      <c r="K421">
        <v>2750</v>
      </c>
      <c r="L421">
        <v>0</v>
      </c>
      <c r="M421">
        <v>0</v>
      </c>
      <c r="N421">
        <v>2750</v>
      </c>
    </row>
    <row r="422" spans="1:14" x14ac:dyDescent="0.25">
      <c r="A422">
        <v>45.380583000000001</v>
      </c>
      <c r="B422" s="1">
        <f>DATE(2010,6,15) + TIME(9,8,2)</f>
        <v>40344.380578703705</v>
      </c>
      <c r="C422">
        <v>80</v>
      </c>
      <c r="D422">
        <v>79.949401855000005</v>
      </c>
      <c r="E422">
        <v>40</v>
      </c>
      <c r="F422">
        <v>14.999736786</v>
      </c>
      <c r="G422">
        <v>1341.3227539</v>
      </c>
      <c r="H422">
        <v>1338.7130127</v>
      </c>
      <c r="I422">
        <v>1320.2517089999999</v>
      </c>
      <c r="J422">
        <v>1315.7021483999999</v>
      </c>
      <c r="K422">
        <v>2750</v>
      </c>
      <c r="L422">
        <v>0</v>
      </c>
      <c r="M422">
        <v>0</v>
      </c>
      <c r="N422">
        <v>2750</v>
      </c>
    </row>
    <row r="423" spans="1:14" x14ac:dyDescent="0.25">
      <c r="A423">
        <v>45.560955</v>
      </c>
      <c r="B423" s="1">
        <f>DATE(2010,6,15) + TIME(13,27,46)</f>
        <v>40344.560949074075</v>
      </c>
      <c r="C423">
        <v>80</v>
      </c>
      <c r="D423">
        <v>79.949394225999995</v>
      </c>
      <c r="E423">
        <v>40</v>
      </c>
      <c r="F423">
        <v>14.99973774</v>
      </c>
      <c r="G423">
        <v>1341.3189697</v>
      </c>
      <c r="H423">
        <v>1338.7100829999999</v>
      </c>
      <c r="I423">
        <v>1320.2523193</v>
      </c>
      <c r="J423">
        <v>1315.7026367000001</v>
      </c>
      <c r="K423">
        <v>2750</v>
      </c>
      <c r="L423">
        <v>0</v>
      </c>
      <c r="M423">
        <v>0</v>
      </c>
      <c r="N423">
        <v>2750</v>
      </c>
    </row>
    <row r="424" spans="1:14" x14ac:dyDescent="0.25">
      <c r="A424">
        <v>45.740907</v>
      </c>
      <c r="B424" s="1">
        <f>DATE(2010,6,15) + TIME(17,46,54)</f>
        <v>40344.740902777776</v>
      </c>
      <c r="C424">
        <v>80</v>
      </c>
      <c r="D424">
        <v>79.949386597</v>
      </c>
      <c r="E424">
        <v>40</v>
      </c>
      <c r="F424">
        <v>14.999738692999999</v>
      </c>
      <c r="G424">
        <v>1341.3151855000001</v>
      </c>
      <c r="H424">
        <v>1338.7072754000001</v>
      </c>
      <c r="I424">
        <v>1320.2529297000001</v>
      </c>
      <c r="J424">
        <v>1315.7030029</v>
      </c>
      <c r="K424">
        <v>2750</v>
      </c>
      <c r="L424">
        <v>0</v>
      </c>
      <c r="M424">
        <v>0</v>
      </c>
      <c r="N424">
        <v>2750</v>
      </c>
    </row>
    <row r="425" spans="1:14" x14ac:dyDescent="0.25">
      <c r="A425">
        <v>45.920552000000001</v>
      </c>
      <c r="B425" s="1">
        <f>DATE(2010,6,15) + TIME(22,5,35)</f>
        <v>40344.920543981483</v>
      </c>
      <c r="C425">
        <v>80</v>
      </c>
      <c r="D425">
        <v>79.949386597</v>
      </c>
      <c r="E425">
        <v>40</v>
      </c>
      <c r="F425">
        <v>14.999739647</v>
      </c>
      <c r="G425">
        <v>1341.3114014</v>
      </c>
      <c r="H425">
        <v>1338.7044678</v>
      </c>
      <c r="I425">
        <v>1320.2535399999999</v>
      </c>
      <c r="J425">
        <v>1315.7034911999999</v>
      </c>
      <c r="K425">
        <v>2750</v>
      </c>
      <c r="L425">
        <v>0</v>
      </c>
      <c r="M425">
        <v>0</v>
      </c>
      <c r="N425">
        <v>2750</v>
      </c>
    </row>
    <row r="426" spans="1:14" x14ac:dyDescent="0.25">
      <c r="A426">
        <v>46.099998999999997</v>
      </c>
      <c r="B426" s="1">
        <f>DATE(2010,6,16) + TIME(2,23,59)</f>
        <v>40345.099988425929</v>
      </c>
      <c r="C426">
        <v>80</v>
      </c>
      <c r="D426">
        <v>79.949378967000001</v>
      </c>
      <c r="E426">
        <v>40</v>
      </c>
      <c r="F426">
        <v>14.999739647</v>
      </c>
      <c r="G426">
        <v>1341.3076172000001</v>
      </c>
      <c r="H426">
        <v>1338.7016602000001</v>
      </c>
      <c r="I426">
        <v>1320.2541504000001</v>
      </c>
      <c r="J426">
        <v>1315.7039795000001</v>
      </c>
      <c r="K426">
        <v>2750</v>
      </c>
      <c r="L426">
        <v>0</v>
      </c>
      <c r="M426">
        <v>0</v>
      </c>
      <c r="N426">
        <v>2750</v>
      </c>
    </row>
    <row r="427" spans="1:14" x14ac:dyDescent="0.25">
      <c r="A427">
        <v>46.279339999999998</v>
      </c>
      <c r="B427" s="1">
        <f>DATE(2010,6,16) + TIME(6,42,14)</f>
        <v>40345.279328703706</v>
      </c>
      <c r="C427">
        <v>80</v>
      </c>
      <c r="D427">
        <v>79.949378967000001</v>
      </c>
      <c r="E427">
        <v>40</v>
      </c>
      <c r="F427">
        <v>14.999740600999999</v>
      </c>
      <c r="G427">
        <v>1341.3038329999999</v>
      </c>
      <c r="H427">
        <v>1338.6988524999999</v>
      </c>
      <c r="I427">
        <v>1320.2547606999999</v>
      </c>
      <c r="J427">
        <v>1315.7044678</v>
      </c>
      <c r="K427">
        <v>2750</v>
      </c>
      <c r="L427">
        <v>0</v>
      </c>
      <c r="M427">
        <v>0</v>
      </c>
      <c r="N427">
        <v>2750</v>
      </c>
    </row>
    <row r="428" spans="1:14" x14ac:dyDescent="0.25">
      <c r="A428">
        <v>46.458674999999999</v>
      </c>
      <c r="B428" s="1">
        <f>DATE(2010,6,16) + TIME(11,0,29)</f>
        <v>40345.458668981482</v>
      </c>
      <c r="C428">
        <v>80</v>
      </c>
      <c r="D428">
        <v>79.949378967000001</v>
      </c>
      <c r="E428">
        <v>40</v>
      </c>
      <c r="F428">
        <v>14.999741554</v>
      </c>
      <c r="G428">
        <v>1341.3001709</v>
      </c>
      <c r="H428">
        <v>1338.6960449000001</v>
      </c>
      <c r="I428">
        <v>1320.2553711</v>
      </c>
      <c r="J428">
        <v>1315.7049560999999</v>
      </c>
      <c r="K428">
        <v>2750</v>
      </c>
      <c r="L428">
        <v>0</v>
      </c>
      <c r="M428">
        <v>0</v>
      </c>
      <c r="N428">
        <v>2750</v>
      </c>
    </row>
    <row r="429" spans="1:14" x14ac:dyDescent="0.25">
      <c r="A429">
        <v>46.638010999999999</v>
      </c>
      <c r="B429" s="1">
        <f>DATE(2010,6,16) + TIME(15,18,44)</f>
        <v>40345.638009259259</v>
      </c>
      <c r="C429">
        <v>80</v>
      </c>
      <c r="D429">
        <v>79.949371338000006</v>
      </c>
      <c r="E429">
        <v>40</v>
      </c>
      <c r="F429">
        <v>14.999741554</v>
      </c>
      <c r="G429">
        <v>1341.2965088000001</v>
      </c>
      <c r="H429">
        <v>1338.6933594</v>
      </c>
      <c r="I429">
        <v>1320.2559814000001</v>
      </c>
      <c r="J429">
        <v>1315.7054443</v>
      </c>
      <c r="K429">
        <v>2750</v>
      </c>
      <c r="L429">
        <v>0</v>
      </c>
      <c r="M429">
        <v>0</v>
      </c>
      <c r="N429">
        <v>2750</v>
      </c>
    </row>
    <row r="430" spans="1:14" x14ac:dyDescent="0.25">
      <c r="A430">
        <v>46.817346000000001</v>
      </c>
      <c r="B430" s="1">
        <f>DATE(2010,6,16) + TIME(19,36,58)</f>
        <v>40345.817337962966</v>
      </c>
      <c r="C430">
        <v>80</v>
      </c>
      <c r="D430">
        <v>79.949371338000006</v>
      </c>
      <c r="E430">
        <v>40</v>
      </c>
      <c r="F430">
        <v>14.999742508000001</v>
      </c>
      <c r="G430">
        <v>1341.2927245999999</v>
      </c>
      <c r="H430">
        <v>1338.6905518000001</v>
      </c>
      <c r="I430">
        <v>1320.2567139</v>
      </c>
      <c r="J430">
        <v>1315.7059326000001</v>
      </c>
      <c r="K430">
        <v>2750</v>
      </c>
      <c r="L430">
        <v>0</v>
      </c>
      <c r="M430">
        <v>0</v>
      </c>
      <c r="N430">
        <v>2750</v>
      </c>
    </row>
    <row r="431" spans="1:14" x14ac:dyDescent="0.25">
      <c r="A431">
        <v>46.996682</v>
      </c>
      <c r="B431" s="1">
        <f>DATE(2010,6,16) + TIME(23,55,13)</f>
        <v>40345.996678240743</v>
      </c>
      <c r="C431">
        <v>80</v>
      </c>
      <c r="D431">
        <v>79.949371338000006</v>
      </c>
      <c r="E431">
        <v>40</v>
      </c>
      <c r="F431">
        <v>14.999743462</v>
      </c>
      <c r="G431">
        <v>1341.2890625</v>
      </c>
      <c r="H431">
        <v>1338.6877440999999</v>
      </c>
      <c r="I431">
        <v>1320.2573242000001</v>
      </c>
      <c r="J431">
        <v>1315.7062988</v>
      </c>
      <c r="K431">
        <v>2750</v>
      </c>
      <c r="L431">
        <v>0</v>
      </c>
      <c r="M431">
        <v>0</v>
      </c>
      <c r="N431">
        <v>2750</v>
      </c>
    </row>
    <row r="432" spans="1:14" x14ac:dyDescent="0.25">
      <c r="A432">
        <v>47.176017999999999</v>
      </c>
      <c r="B432" s="1">
        <f>DATE(2010,6,17) + TIME(4,13,27)</f>
        <v>40346.176006944443</v>
      </c>
      <c r="C432">
        <v>80</v>
      </c>
      <c r="D432">
        <v>79.949363708000007</v>
      </c>
      <c r="E432">
        <v>40</v>
      </c>
      <c r="F432">
        <v>14.999743462</v>
      </c>
      <c r="G432">
        <v>1341.2854004000001</v>
      </c>
      <c r="H432">
        <v>1338.6850586</v>
      </c>
      <c r="I432">
        <v>1320.2579346</v>
      </c>
      <c r="J432">
        <v>1315.7067870999999</v>
      </c>
      <c r="K432">
        <v>2750</v>
      </c>
      <c r="L432">
        <v>0</v>
      </c>
      <c r="M432">
        <v>0</v>
      </c>
      <c r="N432">
        <v>2750</v>
      </c>
    </row>
    <row r="433" spans="1:14" x14ac:dyDescent="0.25">
      <c r="A433">
        <v>47.355353000000001</v>
      </c>
      <c r="B433" s="1">
        <f>DATE(2010,6,17) + TIME(8,31,42)</f>
        <v>40346.355347222219</v>
      </c>
      <c r="C433">
        <v>80</v>
      </c>
      <c r="D433">
        <v>79.949363708000007</v>
      </c>
      <c r="E433">
        <v>40</v>
      </c>
      <c r="F433">
        <v>14.999744415</v>
      </c>
      <c r="G433">
        <v>1341.2817382999999</v>
      </c>
      <c r="H433">
        <v>1338.6823730000001</v>
      </c>
      <c r="I433">
        <v>1320.2585449000001</v>
      </c>
      <c r="J433">
        <v>1315.7072754000001</v>
      </c>
      <c r="K433">
        <v>2750</v>
      </c>
      <c r="L433">
        <v>0</v>
      </c>
      <c r="M433">
        <v>0</v>
      </c>
      <c r="N433">
        <v>2750</v>
      </c>
    </row>
    <row r="434" spans="1:14" x14ac:dyDescent="0.25">
      <c r="A434">
        <v>47.534689</v>
      </c>
      <c r="B434" s="1">
        <f>DATE(2010,6,17) + TIME(12,49,57)</f>
        <v>40346.534687500003</v>
      </c>
      <c r="C434">
        <v>80</v>
      </c>
      <c r="D434">
        <v>79.949363708000007</v>
      </c>
      <c r="E434">
        <v>40</v>
      </c>
      <c r="F434">
        <v>14.999745368999999</v>
      </c>
      <c r="G434">
        <v>1341.2780762</v>
      </c>
      <c r="H434">
        <v>1338.6795654</v>
      </c>
      <c r="I434">
        <v>1320.2591553</v>
      </c>
      <c r="J434">
        <v>1315.7077637</v>
      </c>
      <c r="K434">
        <v>2750</v>
      </c>
      <c r="L434">
        <v>0</v>
      </c>
      <c r="M434">
        <v>0</v>
      </c>
      <c r="N434">
        <v>2750</v>
      </c>
    </row>
    <row r="435" spans="1:14" x14ac:dyDescent="0.25">
      <c r="A435">
        <v>47.893360000000001</v>
      </c>
      <c r="B435" s="1">
        <f>DATE(2010,6,17) + TIME(21,26,26)</f>
        <v>40346.89335648148</v>
      </c>
      <c r="C435">
        <v>80</v>
      </c>
      <c r="D435">
        <v>79.949371338000006</v>
      </c>
      <c r="E435">
        <v>40</v>
      </c>
      <c r="F435">
        <v>14.999746323</v>
      </c>
      <c r="G435">
        <v>1341.2745361</v>
      </c>
      <c r="H435">
        <v>1338.6770019999999</v>
      </c>
      <c r="I435">
        <v>1320.2598877</v>
      </c>
      <c r="J435">
        <v>1315.7082519999999</v>
      </c>
      <c r="K435">
        <v>2750</v>
      </c>
      <c r="L435">
        <v>0</v>
      </c>
      <c r="M435">
        <v>0</v>
      </c>
      <c r="N435">
        <v>2750</v>
      </c>
    </row>
    <row r="436" spans="1:14" x14ac:dyDescent="0.25">
      <c r="A436">
        <v>48.253241000000003</v>
      </c>
      <c r="B436" s="1">
        <f>DATE(2010,6,18) + TIME(6,4,40)</f>
        <v>40347.253240740742</v>
      </c>
      <c r="C436">
        <v>80</v>
      </c>
      <c r="D436">
        <v>79.949371338000006</v>
      </c>
      <c r="E436">
        <v>40</v>
      </c>
      <c r="F436">
        <v>14.999747276000001</v>
      </c>
      <c r="G436">
        <v>1341.2673339999999</v>
      </c>
      <c r="H436">
        <v>1338.6716309000001</v>
      </c>
      <c r="I436">
        <v>1320.2611084</v>
      </c>
      <c r="J436">
        <v>1315.7092285000001</v>
      </c>
      <c r="K436">
        <v>2750</v>
      </c>
      <c r="L436">
        <v>0</v>
      </c>
      <c r="M436">
        <v>0</v>
      </c>
      <c r="N436">
        <v>2750</v>
      </c>
    </row>
    <row r="437" spans="1:14" x14ac:dyDescent="0.25">
      <c r="A437">
        <v>48.617587</v>
      </c>
      <c r="B437" s="1">
        <f>DATE(2010,6,18) + TIME(14,49,19)</f>
        <v>40347.617581018516</v>
      </c>
      <c r="C437">
        <v>80</v>
      </c>
      <c r="D437">
        <v>79.949371338000006</v>
      </c>
      <c r="E437">
        <v>40</v>
      </c>
      <c r="F437">
        <v>14.99974823</v>
      </c>
      <c r="G437">
        <v>1341.2601318</v>
      </c>
      <c r="H437">
        <v>1338.6662598</v>
      </c>
      <c r="I437">
        <v>1320.2624512</v>
      </c>
      <c r="J437">
        <v>1315.7102050999999</v>
      </c>
      <c r="K437">
        <v>2750</v>
      </c>
      <c r="L437">
        <v>0</v>
      </c>
      <c r="M437">
        <v>0</v>
      </c>
      <c r="N437">
        <v>2750</v>
      </c>
    </row>
    <row r="438" spans="1:14" x14ac:dyDescent="0.25">
      <c r="A438">
        <v>48.987234000000001</v>
      </c>
      <c r="B438" s="1">
        <f>DATE(2010,6,18) + TIME(23,41,37)</f>
        <v>40347.987233796295</v>
      </c>
      <c r="C438">
        <v>80</v>
      </c>
      <c r="D438">
        <v>79.949363708000007</v>
      </c>
      <c r="E438">
        <v>40</v>
      </c>
      <c r="F438">
        <v>14.999749184000001</v>
      </c>
      <c r="G438">
        <v>1341.2529297000001</v>
      </c>
      <c r="H438">
        <v>1338.6607666</v>
      </c>
      <c r="I438">
        <v>1320.2636719</v>
      </c>
      <c r="J438">
        <v>1315.7111815999999</v>
      </c>
      <c r="K438">
        <v>2750</v>
      </c>
      <c r="L438">
        <v>0</v>
      </c>
      <c r="M438">
        <v>0</v>
      </c>
      <c r="N438">
        <v>2750</v>
      </c>
    </row>
    <row r="439" spans="1:14" x14ac:dyDescent="0.25">
      <c r="A439">
        <v>49.363087999999998</v>
      </c>
      <c r="B439" s="1">
        <f>DATE(2010,6,19) + TIME(8,42,50)</f>
        <v>40348.363078703704</v>
      </c>
      <c r="C439">
        <v>80</v>
      </c>
      <c r="D439">
        <v>79.949363708000007</v>
      </c>
      <c r="E439">
        <v>40</v>
      </c>
      <c r="F439">
        <v>14.999751091</v>
      </c>
      <c r="G439">
        <v>1341.2456055</v>
      </c>
      <c r="H439">
        <v>1338.6553954999999</v>
      </c>
      <c r="I439">
        <v>1320.2650146000001</v>
      </c>
      <c r="J439">
        <v>1315.7121582</v>
      </c>
      <c r="K439">
        <v>2750</v>
      </c>
      <c r="L439">
        <v>0</v>
      </c>
      <c r="M439">
        <v>0</v>
      </c>
      <c r="N439">
        <v>2750</v>
      </c>
    </row>
    <row r="440" spans="1:14" x14ac:dyDescent="0.25">
      <c r="A440">
        <v>49.745150000000002</v>
      </c>
      <c r="B440" s="1">
        <f>DATE(2010,6,19) + TIME(17,53,0)</f>
        <v>40348.745138888888</v>
      </c>
      <c r="C440">
        <v>80</v>
      </c>
      <c r="D440">
        <v>79.949363708000007</v>
      </c>
      <c r="E440">
        <v>40</v>
      </c>
      <c r="F440">
        <v>14.999752044999999</v>
      </c>
      <c r="G440">
        <v>1341.2382812000001</v>
      </c>
      <c r="H440">
        <v>1338.6497803</v>
      </c>
      <c r="I440">
        <v>1320.2663574000001</v>
      </c>
      <c r="J440">
        <v>1315.7132568</v>
      </c>
      <c r="K440">
        <v>2750</v>
      </c>
      <c r="L440">
        <v>0</v>
      </c>
      <c r="M440">
        <v>0</v>
      </c>
      <c r="N440">
        <v>2750</v>
      </c>
    </row>
    <row r="441" spans="1:14" x14ac:dyDescent="0.25">
      <c r="A441">
        <v>49.937967</v>
      </c>
      <c r="B441" s="1">
        <f>DATE(2010,6,19) + TIME(22,30,40)</f>
        <v>40348.937962962962</v>
      </c>
      <c r="C441">
        <v>80</v>
      </c>
      <c r="D441">
        <v>79.949356078999998</v>
      </c>
      <c r="E441">
        <v>40</v>
      </c>
      <c r="F441">
        <v>14.999752998</v>
      </c>
      <c r="G441">
        <v>1341.2307129000001</v>
      </c>
      <c r="H441">
        <v>1338.6441649999999</v>
      </c>
      <c r="I441">
        <v>1320.2678223</v>
      </c>
      <c r="J441">
        <v>1315.7142334</v>
      </c>
      <c r="K441">
        <v>2750</v>
      </c>
      <c r="L441">
        <v>0</v>
      </c>
      <c r="M441">
        <v>0</v>
      </c>
      <c r="N441">
        <v>2750</v>
      </c>
    </row>
    <row r="442" spans="1:14" x14ac:dyDescent="0.25">
      <c r="A442">
        <v>50.130513000000001</v>
      </c>
      <c r="B442" s="1">
        <f>DATE(2010,6,20) + TIME(3,7,56)</f>
        <v>40349.130509259259</v>
      </c>
      <c r="C442">
        <v>80</v>
      </c>
      <c r="D442">
        <v>79.949348450000002</v>
      </c>
      <c r="E442">
        <v>40</v>
      </c>
      <c r="F442">
        <v>14.999753952000001</v>
      </c>
      <c r="G442">
        <v>1341.2270507999999</v>
      </c>
      <c r="H442">
        <v>1338.6413574000001</v>
      </c>
      <c r="I442">
        <v>1320.2684326000001</v>
      </c>
      <c r="J442">
        <v>1315.7147216999999</v>
      </c>
      <c r="K442">
        <v>2750</v>
      </c>
      <c r="L442">
        <v>0</v>
      </c>
      <c r="M442">
        <v>0</v>
      </c>
      <c r="N442">
        <v>2750</v>
      </c>
    </row>
    <row r="443" spans="1:14" x14ac:dyDescent="0.25">
      <c r="A443">
        <v>50.322411000000002</v>
      </c>
      <c r="B443" s="1">
        <f>DATE(2010,6,20) + TIME(7,44,16)</f>
        <v>40349.32240740741</v>
      </c>
      <c r="C443">
        <v>80</v>
      </c>
      <c r="D443">
        <v>79.949348450000002</v>
      </c>
      <c r="E443">
        <v>40</v>
      </c>
      <c r="F443">
        <v>14.999754906</v>
      </c>
      <c r="G443">
        <v>1341.2232666</v>
      </c>
      <c r="H443">
        <v>1338.6385498</v>
      </c>
      <c r="I443">
        <v>1320.2691649999999</v>
      </c>
      <c r="J443">
        <v>1315.715332</v>
      </c>
      <c r="K443">
        <v>2750</v>
      </c>
      <c r="L443">
        <v>0</v>
      </c>
      <c r="M443">
        <v>0</v>
      </c>
      <c r="N443">
        <v>2750</v>
      </c>
    </row>
    <row r="444" spans="1:14" x14ac:dyDescent="0.25">
      <c r="A444">
        <v>50.51379</v>
      </c>
      <c r="B444" s="1">
        <f>DATE(2010,6,20) + TIME(12,19,51)</f>
        <v>40349.513784722221</v>
      </c>
      <c r="C444">
        <v>80</v>
      </c>
      <c r="D444">
        <v>79.949340820000003</v>
      </c>
      <c r="E444">
        <v>40</v>
      </c>
      <c r="F444">
        <v>14.999754906</v>
      </c>
      <c r="G444">
        <v>1341.2196045000001</v>
      </c>
      <c r="H444">
        <v>1338.6357422000001</v>
      </c>
      <c r="I444">
        <v>1320.2698975000001</v>
      </c>
      <c r="J444">
        <v>1315.7158202999999</v>
      </c>
      <c r="K444">
        <v>2750</v>
      </c>
      <c r="L444">
        <v>0</v>
      </c>
      <c r="M444">
        <v>0</v>
      </c>
      <c r="N444">
        <v>2750</v>
      </c>
    </row>
    <row r="445" spans="1:14" x14ac:dyDescent="0.25">
      <c r="A445">
        <v>50.704777999999997</v>
      </c>
      <c r="B445" s="1">
        <f>DATE(2010,6,20) + TIME(16,54,52)</f>
        <v>40349.704768518517</v>
      </c>
      <c r="C445">
        <v>80</v>
      </c>
      <c r="D445">
        <v>79.949340820000003</v>
      </c>
      <c r="E445">
        <v>40</v>
      </c>
      <c r="F445">
        <v>14.999755859</v>
      </c>
      <c r="G445">
        <v>1341.2159423999999</v>
      </c>
      <c r="H445">
        <v>1338.6330565999999</v>
      </c>
      <c r="I445">
        <v>1320.2706298999999</v>
      </c>
      <c r="J445">
        <v>1315.7163086</v>
      </c>
      <c r="K445">
        <v>2750</v>
      </c>
      <c r="L445">
        <v>0</v>
      </c>
      <c r="M445">
        <v>0</v>
      </c>
      <c r="N445">
        <v>2750</v>
      </c>
    </row>
    <row r="446" spans="1:14" x14ac:dyDescent="0.25">
      <c r="A446">
        <v>50.895502999999998</v>
      </c>
      <c r="B446" s="1">
        <f>DATE(2010,6,20) + TIME(21,29,31)</f>
        <v>40349.895497685182</v>
      </c>
      <c r="C446">
        <v>80</v>
      </c>
      <c r="D446">
        <v>79.949340820000003</v>
      </c>
      <c r="E446">
        <v>40</v>
      </c>
      <c r="F446">
        <v>14.999756812999999</v>
      </c>
      <c r="G446">
        <v>1341.2122803</v>
      </c>
      <c r="H446">
        <v>1338.6303711</v>
      </c>
      <c r="I446">
        <v>1320.2713623</v>
      </c>
      <c r="J446">
        <v>1315.7169189000001</v>
      </c>
      <c r="K446">
        <v>2750</v>
      </c>
      <c r="L446">
        <v>0</v>
      </c>
      <c r="M446">
        <v>0</v>
      </c>
      <c r="N446">
        <v>2750</v>
      </c>
    </row>
    <row r="447" spans="1:14" x14ac:dyDescent="0.25">
      <c r="A447">
        <v>51.086086000000002</v>
      </c>
      <c r="B447" s="1">
        <f>DATE(2010,6,21) + TIME(2,3,57)</f>
        <v>40350.086076388892</v>
      </c>
      <c r="C447">
        <v>80</v>
      </c>
      <c r="D447">
        <v>79.949340820000003</v>
      </c>
      <c r="E447">
        <v>40</v>
      </c>
      <c r="F447">
        <v>14.999757767</v>
      </c>
      <c r="G447">
        <v>1341.2087402</v>
      </c>
      <c r="H447">
        <v>1338.6275635</v>
      </c>
      <c r="I447">
        <v>1320.2720947</v>
      </c>
      <c r="J447">
        <v>1315.7174072</v>
      </c>
      <c r="K447">
        <v>2750</v>
      </c>
      <c r="L447">
        <v>0</v>
      </c>
      <c r="M447">
        <v>0</v>
      </c>
      <c r="N447">
        <v>2750</v>
      </c>
    </row>
    <row r="448" spans="1:14" x14ac:dyDescent="0.25">
      <c r="A448">
        <v>51.276606999999998</v>
      </c>
      <c r="B448" s="1">
        <f>DATE(2010,6,21) + TIME(6,38,18)</f>
        <v>40350.276597222219</v>
      </c>
      <c r="C448">
        <v>80</v>
      </c>
      <c r="D448">
        <v>79.949340820000003</v>
      </c>
      <c r="E448">
        <v>40</v>
      </c>
      <c r="F448">
        <v>14.999757767</v>
      </c>
      <c r="G448">
        <v>1341.2050781</v>
      </c>
      <c r="H448">
        <v>1338.6248779</v>
      </c>
      <c r="I448">
        <v>1320.2727050999999</v>
      </c>
      <c r="J448">
        <v>1315.7178954999999</v>
      </c>
      <c r="K448">
        <v>2750</v>
      </c>
      <c r="L448">
        <v>0</v>
      </c>
      <c r="M448">
        <v>0</v>
      </c>
      <c r="N448">
        <v>2750</v>
      </c>
    </row>
    <row r="449" spans="1:14" x14ac:dyDescent="0.25">
      <c r="A449">
        <v>51.467129</v>
      </c>
      <c r="B449" s="1">
        <f>DATE(2010,6,21) + TIME(11,12,39)</f>
        <v>40350.467118055552</v>
      </c>
      <c r="C449">
        <v>80</v>
      </c>
      <c r="D449">
        <v>79.949333190999994</v>
      </c>
      <c r="E449">
        <v>40</v>
      </c>
      <c r="F449">
        <v>14.999758720000001</v>
      </c>
      <c r="G449">
        <v>1341.2015381000001</v>
      </c>
      <c r="H449">
        <v>1338.6221923999999</v>
      </c>
      <c r="I449">
        <v>1320.2734375</v>
      </c>
      <c r="J449">
        <v>1315.7185059000001</v>
      </c>
      <c r="K449">
        <v>2750</v>
      </c>
      <c r="L449">
        <v>0</v>
      </c>
      <c r="M449">
        <v>0</v>
      </c>
      <c r="N449">
        <v>2750</v>
      </c>
    </row>
    <row r="450" spans="1:14" x14ac:dyDescent="0.25">
      <c r="A450">
        <v>51.657649999999997</v>
      </c>
      <c r="B450" s="1">
        <f>DATE(2010,6,21) + TIME(15,47,0)</f>
        <v>40350.657638888886</v>
      </c>
      <c r="C450">
        <v>80</v>
      </c>
      <c r="D450">
        <v>79.949333190999994</v>
      </c>
      <c r="E450">
        <v>40</v>
      </c>
      <c r="F450">
        <v>14.999759674</v>
      </c>
      <c r="G450">
        <v>1341.197876</v>
      </c>
      <c r="H450">
        <v>1338.6195068</v>
      </c>
      <c r="I450">
        <v>1320.2741699000001</v>
      </c>
      <c r="J450">
        <v>1315.7189940999999</v>
      </c>
      <c r="K450">
        <v>2750</v>
      </c>
      <c r="L450">
        <v>0</v>
      </c>
      <c r="M450">
        <v>0</v>
      </c>
      <c r="N450">
        <v>2750</v>
      </c>
    </row>
    <row r="451" spans="1:14" x14ac:dyDescent="0.25">
      <c r="A451">
        <v>51.848171999999998</v>
      </c>
      <c r="B451" s="1">
        <f>DATE(2010,6,21) + TIME(20,21,22)</f>
        <v>40350.848171296297</v>
      </c>
      <c r="C451">
        <v>80</v>
      </c>
      <c r="D451">
        <v>79.949333190999994</v>
      </c>
      <c r="E451">
        <v>40</v>
      </c>
      <c r="F451">
        <v>14.999759674</v>
      </c>
      <c r="G451">
        <v>1341.1943358999999</v>
      </c>
      <c r="H451">
        <v>1338.6168213000001</v>
      </c>
      <c r="I451">
        <v>1320.2749022999999</v>
      </c>
      <c r="J451">
        <v>1315.7196045000001</v>
      </c>
      <c r="K451">
        <v>2750</v>
      </c>
      <c r="L451">
        <v>0</v>
      </c>
      <c r="M451">
        <v>0</v>
      </c>
      <c r="N451">
        <v>2750</v>
      </c>
    </row>
    <row r="452" spans="1:14" x14ac:dyDescent="0.25">
      <c r="A452">
        <v>52.038693000000002</v>
      </c>
      <c r="B452" s="1">
        <f>DATE(2010,6,22) + TIME(0,55,43)</f>
        <v>40351.03869212963</v>
      </c>
      <c r="C452">
        <v>80</v>
      </c>
      <c r="D452">
        <v>79.949333190999994</v>
      </c>
      <c r="E452">
        <v>40</v>
      </c>
      <c r="F452">
        <v>14.999760628000001</v>
      </c>
      <c r="G452">
        <v>1341.1907959</v>
      </c>
      <c r="H452">
        <v>1338.6141356999999</v>
      </c>
      <c r="I452">
        <v>1320.2756348</v>
      </c>
      <c r="J452">
        <v>1315.7200928</v>
      </c>
      <c r="K452">
        <v>2750</v>
      </c>
      <c r="L452">
        <v>0</v>
      </c>
      <c r="M452">
        <v>0</v>
      </c>
      <c r="N452">
        <v>2750</v>
      </c>
    </row>
    <row r="453" spans="1:14" x14ac:dyDescent="0.25">
      <c r="A453">
        <v>52.229215000000003</v>
      </c>
      <c r="B453" s="1">
        <f>DATE(2010,6,22) + TIME(5,30,4)</f>
        <v>40351.229212962964</v>
      </c>
      <c r="C453">
        <v>80</v>
      </c>
      <c r="D453">
        <v>79.949333190999994</v>
      </c>
      <c r="E453">
        <v>40</v>
      </c>
      <c r="F453">
        <v>14.999761581</v>
      </c>
      <c r="G453">
        <v>1341.1872559000001</v>
      </c>
      <c r="H453">
        <v>1338.6114502</v>
      </c>
      <c r="I453">
        <v>1320.2763672000001</v>
      </c>
      <c r="J453">
        <v>1315.7205810999999</v>
      </c>
      <c r="K453">
        <v>2750</v>
      </c>
      <c r="L453">
        <v>0</v>
      </c>
      <c r="M453">
        <v>0</v>
      </c>
      <c r="N453">
        <v>2750</v>
      </c>
    </row>
    <row r="454" spans="1:14" x14ac:dyDescent="0.25">
      <c r="A454">
        <v>52.419736</v>
      </c>
      <c r="B454" s="1">
        <f>DATE(2010,6,22) + TIME(10,4,25)</f>
        <v>40351.419733796298</v>
      </c>
      <c r="C454">
        <v>80</v>
      </c>
      <c r="D454">
        <v>79.949333190999994</v>
      </c>
      <c r="E454">
        <v>40</v>
      </c>
      <c r="F454">
        <v>14.999762535</v>
      </c>
      <c r="G454">
        <v>1341.1837158000001</v>
      </c>
      <c r="H454">
        <v>1338.6087646000001</v>
      </c>
      <c r="I454">
        <v>1320.2770995999999</v>
      </c>
      <c r="J454">
        <v>1315.7211914</v>
      </c>
      <c r="K454">
        <v>2750</v>
      </c>
      <c r="L454">
        <v>0</v>
      </c>
      <c r="M454">
        <v>0</v>
      </c>
      <c r="N454">
        <v>2750</v>
      </c>
    </row>
    <row r="455" spans="1:14" x14ac:dyDescent="0.25">
      <c r="A455">
        <v>52.800780000000003</v>
      </c>
      <c r="B455" s="1">
        <f>DATE(2010,6,22) + TIME(19,13,7)</f>
        <v>40351.800775462965</v>
      </c>
      <c r="C455">
        <v>80</v>
      </c>
      <c r="D455">
        <v>79.949340820000003</v>
      </c>
      <c r="E455">
        <v>40</v>
      </c>
      <c r="F455">
        <v>14.999763488999999</v>
      </c>
      <c r="G455">
        <v>1341.1802978999999</v>
      </c>
      <c r="H455">
        <v>1338.6062012</v>
      </c>
      <c r="I455">
        <v>1320.277832</v>
      </c>
      <c r="J455">
        <v>1315.7218018000001</v>
      </c>
      <c r="K455">
        <v>2750</v>
      </c>
      <c r="L455">
        <v>0</v>
      </c>
      <c r="M455">
        <v>0</v>
      </c>
      <c r="N455">
        <v>2750</v>
      </c>
    </row>
    <row r="456" spans="1:14" x14ac:dyDescent="0.25">
      <c r="A456">
        <v>53.182741999999998</v>
      </c>
      <c r="B456" s="1">
        <f>DATE(2010,6,23) + TIME(4,23,8)</f>
        <v>40352.18273148148</v>
      </c>
      <c r="C456">
        <v>80</v>
      </c>
      <c r="D456">
        <v>79.949348450000002</v>
      </c>
      <c r="E456">
        <v>40</v>
      </c>
      <c r="F456">
        <v>14.999764442</v>
      </c>
      <c r="G456">
        <v>1341.1733397999999</v>
      </c>
      <c r="H456">
        <v>1338.6009521000001</v>
      </c>
      <c r="I456">
        <v>1320.2792969</v>
      </c>
      <c r="J456">
        <v>1315.7227783000001</v>
      </c>
      <c r="K456">
        <v>2750</v>
      </c>
      <c r="L456">
        <v>0</v>
      </c>
      <c r="M456">
        <v>0</v>
      </c>
      <c r="N456">
        <v>2750</v>
      </c>
    </row>
    <row r="457" spans="1:14" x14ac:dyDescent="0.25">
      <c r="A457">
        <v>53.569350999999997</v>
      </c>
      <c r="B457" s="1">
        <f>DATE(2010,6,23) + TIME(13,39,51)</f>
        <v>40352.569340277776</v>
      </c>
      <c r="C457">
        <v>80</v>
      </c>
      <c r="D457">
        <v>79.949348450000002</v>
      </c>
      <c r="E457">
        <v>40</v>
      </c>
      <c r="F457">
        <v>14.999765396000001</v>
      </c>
      <c r="G457">
        <v>1341.1663818</v>
      </c>
      <c r="H457">
        <v>1338.5957031</v>
      </c>
      <c r="I457">
        <v>1320.2807617000001</v>
      </c>
      <c r="J457">
        <v>1315.7238769999999</v>
      </c>
      <c r="K457">
        <v>2750</v>
      </c>
      <c r="L457">
        <v>0</v>
      </c>
      <c r="M457">
        <v>0</v>
      </c>
      <c r="N457">
        <v>2750</v>
      </c>
    </row>
    <row r="458" spans="1:14" x14ac:dyDescent="0.25">
      <c r="A458">
        <v>53.961489999999998</v>
      </c>
      <c r="B458" s="1">
        <f>DATE(2010,6,23) + TIME(23,4,32)</f>
        <v>40352.961481481485</v>
      </c>
      <c r="C458">
        <v>80</v>
      </c>
      <c r="D458">
        <v>79.949348450000002</v>
      </c>
      <c r="E458">
        <v>40</v>
      </c>
      <c r="F458">
        <v>14.999767303</v>
      </c>
      <c r="G458">
        <v>1341.1594238</v>
      </c>
      <c r="H458">
        <v>1338.5904541</v>
      </c>
      <c r="I458">
        <v>1320.2823486</v>
      </c>
      <c r="J458">
        <v>1315.7250977000001</v>
      </c>
      <c r="K458">
        <v>2750</v>
      </c>
      <c r="L458">
        <v>0</v>
      </c>
      <c r="M458">
        <v>0</v>
      </c>
      <c r="N458">
        <v>2750</v>
      </c>
    </row>
    <row r="459" spans="1:14" x14ac:dyDescent="0.25">
      <c r="A459">
        <v>54.360131000000003</v>
      </c>
      <c r="B459" s="1">
        <f>DATE(2010,6,24) + TIME(8,38,35)</f>
        <v>40353.360127314816</v>
      </c>
      <c r="C459">
        <v>80</v>
      </c>
      <c r="D459">
        <v>79.949356078999998</v>
      </c>
      <c r="E459">
        <v>40</v>
      </c>
      <c r="F459">
        <v>14.999768256999999</v>
      </c>
      <c r="G459">
        <v>1341.1523437999999</v>
      </c>
      <c r="H459">
        <v>1338.5850829999999</v>
      </c>
      <c r="I459">
        <v>1320.2838135</v>
      </c>
      <c r="J459">
        <v>1315.7261963000001</v>
      </c>
      <c r="K459">
        <v>2750</v>
      </c>
      <c r="L459">
        <v>0</v>
      </c>
      <c r="M459">
        <v>0</v>
      </c>
      <c r="N459">
        <v>2750</v>
      </c>
    </row>
    <row r="460" spans="1:14" x14ac:dyDescent="0.25">
      <c r="A460">
        <v>54.765436000000001</v>
      </c>
      <c r="B460" s="1">
        <f>DATE(2010,6,24) + TIME(18,22,13)</f>
        <v>40353.765428240738</v>
      </c>
      <c r="C460">
        <v>80</v>
      </c>
      <c r="D460">
        <v>79.949356078999998</v>
      </c>
      <c r="E460">
        <v>40</v>
      </c>
      <c r="F460">
        <v>14.999770163999999</v>
      </c>
      <c r="G460">
        <v>1341.1452637</v>
      </c>
      <c r="H460">
        <v>1338.5797118999999</v>
      </c>
      <c r="I460">
        <v>1320.2854004000001</v>
      </c>
      <c r="J460">
        <v>1315.7272949000001</v>
      </c>
      <c r="K460">
        <v>2750</v>
      </c>
      <c r="L460">
        <v>0</v>
      </c>
      <c r="M460">
        <v>0</v>
      </c>
      <c r="N460">
        <v>2750</v>
      </c>
    </row>
    <row r="461" spans="1:14" x14ac:dyDescent="0.25">
      <c r="A461">
        <v>54.969800999999997</v>
      </c>
      <c r="B461" s="1">
        <f>DATE(2010,6,24) + TIME(23,16,30)</f>
        <v>40353.96979166667</v>
      </c>
      <c r="C461">
        <v>80</v>
      </c>
      <c r="D461">
        <v>79.949348450000002</v>
      </c>
      <c r="E461">
        <v>40</v>
      </c>
      <c r="F461">
        <v>14.999771118</v>
      </c>
      <c r="G461">
        <v>1341.1380615</v>
      </c>
      <c r="H461">
        <v>1338.5742187999999</v>
      </c>
      <c r="I461">
        <v>1320.2869873</v>
      </c>
      <c r="J461">
        <v>1315.7285156</v>
      </c>
      <c r="K461">
        <v>2750</v>
      </c>
      <c r="L461">
        <v>0</v>
      </c>
      <c r="M461">
        <v>0</v>
      </c>
      <c r="N461">
        <v>2750</v>
      </c>
    </row>
    <row r="462" spans="1:14" x14ac:dyDescent="0.25">
      <c r="A462">
        <v>55.173681999999999</v>
      </c>
      <c r="B462" s="1">
        <f>DATE(2010,6,25) + TIME(4,10,6)</f>
        <v>40354.173680555556</v>
      </c>
      <c r="C462">
        <v>80</v>
      </c>
      <c r="D462">
        <v>79.949348450000002</v>
      </c>
      <c r="E462">
        <v>40</v>
      </c>
      <c r="F462">
        <v>14.999772072000001</v>
      </c>
      <c r="G462">
        <v>1341.1343993999999</v>
      </c>
      <c r="H462">
        <v>1338.5714111</v>
      </c>
      <c r="I462">
        <v>1320.2878418</v>
      </c>
      <c r="J462">
        <v>1315.729126</v>
      </c>
      <c r="K462">
        <v>2750</v>
      </c>
      <c r="L462">
        <v>0</v>
      </c>
      <c r="M462">
        <v>0</v>
      </c>
      <c r="N462">
        <v>2750</v>
      </c>
    </row>
    <row r="463" spans="1:14" x14ac:dyDescent="0.25">
      <c r="A463">
        <v>55.376911999999997</v>
      </c>
      <c r="B463" s="1">
        <f>DATE(2010,6,25) + TIME(9,2,45)</f>
        <v>40354.376909722225</v>
      </c>
      <c r="C463">
        <v>80</v>
      </c>
      <c r="D463">
        <v>79.949348450000002</v>
      </c>
      <c r="E463">
        <v>40</v>
      </c>
      <c r="F463">
        <v>14.999773026</v>
      </c>
      <c r="G463">
        <v>1341.1308594</v>
      </c>
      <c r="H463">
        <v>1338.5687256000001</v>
      </c>
      <c r="I463">
        <v>1320.2885742000001</v>
      </c>
      <c r="J463">
        <v>1315.7297363</v>
      </c>
      <c r="K463">
        <v>2750</v>
      </c>
      <c r="L463">
        <v>0</v>
      </c>
      <c r="M463">
        <v>0</v>
      </c>
      <c r="N463">
        <v>2750</v>
      </c>
    </row>
    <row r="464" spans="1:14" x14ac:dyDescent="0.25">
      <c r="A464">
        <v>55.579622000000001</v>
      </c>
      <c r="B464" s="1">
        <f>DATE(2010,6,25) + TIME(13,54,39)</f>
        <v>40354.579618055555</v>
      </c>
      <c r="C464">
        <v>80</v>
      </c>
      <c r="D464">
        <v>79.949348450000002</v>
      </c>
      <c r="E464">
        <v>40</v>
      </c>
      <c r="F464">
        <v>14.999773979</v>
      </c>
      <c r="G464">
        <v>1341.1273193</v>
      </c>
      <c r="H464">
        <v>1338.5660399999999</v>
      </c>
      <c r="I464">
        <v>1320.2894286999999</v>
      </c>
      <c r="J464">
        <v>1315.7303466999999</v>
      </c>
      <c r="K464">
        <v>2750</v>
      </c>
      <c r="L464">
        <v>0</v>
      </c>
      <c r="M464">
        <v>0</v>
      </c>
      <c r="N464">
        <v>2750</v>
      </c>
    </row>
    <row r="465" spans="1:14" x14ac:dyDescent="0.25">
      <c r="A465">
        <v>55.781942000000001</v>
      </c>
      <c r="B465" s="1">
        <f>DATE(2010,6,25) + TIME(18,45,59)</f>
        <v>40354.78193287037</v>
      </c>
      <c r="C465">
        <v>80</v>
      </c>
      <c r="D465">
        <v>79.949348450000002</v>
      </c>
      <c r="E465">
        <v>40</v>
      </c>
      <c r="F465">
        <v>14.999773979</v>
      </c>
      <c r="G465">
        <v>1341.1237793</v>
      </c>
      <c r="H465">
        <v>1338.5633545000001</v>
      </c>
      <c r="I465">
        <v>1320.2902832</v>
      </c>
      <c r="J465">
        <v>1315.7308350000001</v>
      </c>
      <c r="K465">
        <v>2750</v>
      </c>
      <c r="L465">
        <v>0</v>
      </c>
      <c r="M465">
        <v>0</v>
      </c>
      <c r="N465">
        <v>2750</v>
      </c>
    </row>
    <row r="466" spans="1:14" x14ac:dyDescent="0.25">
      <c r="A466">
        <v>55.984000000000002</v>
      </c>
      <c r="B466" s="1">
        <f>DATE(2010,6,25) + TIME(23,36,57)</f>
        <v>40354.983993055554</v>
      </c>
      <c r="C466">
        <v>80</v>
      </c>
      <c r="D466">
        <v>79.949348450000002</v>
      </c>
      <c r="E466">
        <v>40</v>
      </c>
      <c r="F466">
        <v>14.999774932999999</v>
      </c>
      <c r="G466">
        <v>1341.1202393000001</v>
      </c>
      <c r="H466">
        <v>1338.5606689000001</v>
      </c>
      <c r="I466">
        <v>1320.2911377</v>
      </c>
      <c r="J466">
        <v>1315.7314452999999</v>
      </c>
      <c r="K466">
        <v>2750</v>
      </c>
      <c r="L466">
        <v>0</v>
      </c>
      <c r="M466">
        <v>0</v>
      </c>
      <c r="N466">
        <v>2750</v>
      </c>
    </row>
    <row r="467" spans="1:14" x14ac:dyDescent="0.25">
      <c r="A467">
        <v>56.185918999999998</v>
      </c>
      <c r="B467" s="1">
        <f>DATE(2010,6,26) + TIME(4,27,43)</f>
        <v>40355.185914351852</v>
      </c>
      <c r="C467">
        <v>80</v>
      </c>
      <c r="D467">
        <v>79.949348450000002</v>
      </c>
      <c r="E467">
        <v>40</v>
      </c>
      <c r="F467">
        <v>14.999775887</v>
      </c>
      <c r="G467">
        <v>1341.1168213000001</v>
      </c>
      <c r="H467">
        <v>1338.5581055</v>
      </c>
      <c r="I467">
        <v>1320.2918701000001</v>
      </c>
      <c r="J467">
        <v>1315.7320557</v>
      </c>
      <c r="K467">
        <v>2750</v>
      </c>
      <c r="L467">
        <v>0</v>
      </c>
      <c r="M467">
        <v>0</v>
      </c>
      <c r="N467">
        <v>2750</v>
      </c>
    </row>
    <row r="468" spans="1:14" x14ac:dyDescent="0.25">
      <c r="A468">
        <v>56.387821000000002</v>
      </c>
      <c r="B468" s="1">
        <f>DATE(2010,6,26) + TIME(9,18,27)</f>
        <v>40355.387812499997</v>
      </c>
      <c r="C468">
        <v>80</v>
      </c>
      <c r="D468">
        <v>79.949348450000002</v>
      </c>
      <c r="E468">
        <v>40</v>
      </c>
      <c r="F468">
        <v>14.999776839999999</v>
      </c>
      <c r="G468">
        <v>1341.1132812000001</v>
      </c>
      <c r="H468">
        <v>1338.5554199000001</v>
      </c>
      <c r="I468">
        <v>1320.2927245999999</v>
      </c>
      <c r="J468">
        <v>1315.7326660000001</v>
      </c>
      <c r="K468">
        <v>2750</v>
      </c>
      <c r="L468">
        <v>0</v>
      </c>
      <c r="M468">
        <v>0</v>
      </c>
      <c r="N468">
        <v>2750</v>
      </c>
    </row>
    <row r="469" spans="1:14" x14ac:dyDescent="0.25">
      <c r="A469">
        <v>56.589722999999999</v>
      </c>
      <c r="B469" s="1">
        <f>DATE(2010,6,26) + TIME(14,9,12)</f>
        <v>40355.589722222219</v>
      </c>
      <c r="C469">
        <v>80</v>
      </c>
      <c r="D469">
        <v>79.949348450000002</v>
      </c>
      <c r="E469">
        <v>40</v>
      </c>
      <c r="F469">
        <v>14.999777794</v>
      </c>
      <c r="G469">
        <v>1341.1098632999999</v>
      </c>
      <c r="H469">
        <v>1338.5527344</v>
      </c>
      <c r="I469">
        <v>1320.2935791</v>
      </c>
      <c r="J469">
        <v>1315.7332764</v>
      </c>
      <c r="K469">
        <v>2750</v>
      </c>
      <c r="L469">
        <v>0</v>
      </c>
      <c r="M469">
        <v>0</v>
      </c>
      <c r="N469">
        <v>2750</v>
      </c>
    </row>
    <row r="470" spans="1:14" x14ac:dyDescent="0.25">
      <c r="A470">
        <v>56.791625000000003</v>
      </c>
      <c r="B470" s="1">
        <f>DATE(2010,6,26) + TIME(18,59,56)</f>
        <v>40355.791620370372</v>
      </c>
      <c r="C470">
        <v>80</v>
      </c>
      <c r="D470">
        <v>79.949348450000002</v>
      </c>
      <c r="E470">
        <v>40</v>
      </c>
      <c r="F470">
        <v>14.999778748000001</v>
      </c>
      <c r="G470">
        <v>1341.1064452999999</v>
      </c>
      <c r="H470">
        <v>1338.5501709</v>
      </c>
      <c r="I470">
        <v>1320.2944336</v>
      </c>
      <c r="J470">
        <v>1315.7338867000001</v>
      </c>
      <c r="K470">
        <v>2750</v>
      </c>
      <c r="L470">
        <v>0</v>
      </c>
      <c r="M470">
        <v>0</v>
      </c>
      <c r="N470">
        <v>2750</v>
      </c>
    </row>
    <row r="471" spans="1:14" x14ac:dyDescent="0.25">
      <c r="A471">
        <v>56.993526000000003</v>
      </c>
      <c r="B471" s="1">
        <f>DATE(2010,6,26) + TIME(23,50,40)</f>
        <v>40355.993518518517</v>
      </c>
      <c r="C471">
        <v>80</v>
      </c>
      <c r="D471">
        <v>79.949348450000002</v>
      </c>
      <c r="E471">
        <v>40</v>
      </c>
      <c r="F471">
        <v>14.999779701</v>
      </c>
      <c r="G471">
        <v>1341.1029053</v>
      </c>
      <c r="H471">
        <v>1338.5474853999999</v>
      </c>
      <c r="I471">
        <v>1320.2952881000001</v>
      </c>
      <c r="J471">
        <v>1315.7344971</v>
      </c>
      <c r="K471">
        <v>2750</v>
      </c>
      <c r="L471">
        <v>0</v>
      </c>
      <c r="M471">
        <v>0</v>
      </c>
      <c r="N471">
        <v>2750</v>
      </c>
    </row>
    <row r="472" spans="1:14" x14ac:dyDescent="0.25">
      <c r="A472">
        <v>57.195428</v>
      </c>
      <c r="B472" s="1">
        <f>DATE(2010,6,27) + TIME(4,41,24)</f>
        <v>40356.195416666669</v>
      </c>
      <c r="C472">
        <v>80</v>
      </c>
      <c r="D472">
        <v>79.949356078999998</v>
      </c>
      <c r="E472">
        <v>40</v>
      </c>
      <c r="F472">
        <v>14.999780655</v>
      </c>
      <c r="G472">
        <v>1341.0994873</v>
      </c>
      <c r="H472">
        <v>1338.5449219</v>
      </c>
      <c r="I472">
        <v>1320.2960204999999</v>
      </c>
      <c r="J472">
        <v>1315.7351074000001</v>
      </c>
      <c r="K472">
        <v>2750</v>
      </c>
      <c r="L472">
        <v>0</v>
      </c>
      <c r="M472">
        <v>0</v>
      </c>
      <c r="N472">
        <v>2750</v>
      </c>
    </row>
    <row r="473" spans="1:14" x14ac:dyDescent="0.25">
      <c r="A473">
        <v>57.397329999999997</v>
      </c>
      <c r="B473" s="1">
        <f>DATE(2010,6,27) + TIME(9,32,9)</f>
        <v>40356.397326388891</v>
      </c>
      <c r="C473">
        <v>80</v>
      </c>
      <c r="D473">
        <v>79.949356078999998</v>
      </c>
      <c r="E473">
        <v>40</v>
      </c>
      <c r="F473">
        <v>14.999781608999999</v>
      </c>
      <c r="G473">
        <v>1341.0960693</v>
      </c>
      <c r="H473">
        <v>1338.5423584</v>
      </c>
      <c r="I473">
        <v>1320.296875</v>
      </c>
      <c r="J473">
        <v>1315.7357178</v>
      </c>
      <c r="K473">
        <v>2750</v>
      </c>
      <c r="L473">
        <v>0</v>
      </c>
      <c r="M473">
        <v>0</v>
      </c>
      <c r="N473">
        <v>2750</v>
      </c>
    </row>
    <row r="474" spans="1:14" x14ac:dyDescent="0.25">
      <c r="A474">
        <v>57.801133999999998</v>
      </c>
      <c r="B474" s="1">
        <f>DATE(2010,6,27) + TIME(19,13,37)</f>
        <v>40356.801122685189</v>
      </c>
      <c r="C474">
        <v>80</v>
      </c>
      <c r="D474">
        <v>79.949363708000007</v>
      </c>
      <c r="E474">
        <v>40</v>
      </c>
      <c r="F474">
        <v>14.999783516000001</v>
      </c>
      <c r="G474">
        <v>1341.0927733999999</v>
      </c>
      <c r="H474">
        <v>1338.5397949000001</v>
      </c>
      <c r="I474">
        <v>1320.2978516000001</v>
      </c>
      <c r="J474">
        <v>1315.7364502</v>
      </c>
      <c r="K474">
        <v>2750</v>
      </c>
      <c r="L474">
        <v>0</v>
      </c>
      <c r="M474">
        <v>0</v>
      </c>
      <c r="N474">
        <v>2750</v>
      </c>
    </row>
    <row r="475" spans="1:14" x14ac:dyDescent="0.25">
      <c r="A475">
        <v>58.205229000000003</v>
      </c>
      <c r="B475" s="1">
        <f>DATE(2010,6,28) + TIME(4,55,31)</f>
        <v>40357.20521990741</v>
      </c>
      <c r="C475">
        <v>80</v>
      </c>
      <c r="D475">
        <v>79.949371338000006</v>
      </c>
      <c r="E475">
        <v>40</v>
      </c>
      <c r="F475">
        <v>14.999785423000001</v>
      </c>
      <c r="G475">
        <v>1341.0860596</v>
      </c>
      <c r="H475">
        <v>1338.534668</v>
      </c>
      <c r="I475">
        <v>1320.2995605000001</v>
      </c>
      <c r="J475">
        <v>1315.7376709</v>
      </c>
      <c r="K475">
        <v>2750</v>
      </c>
      <c r="L475">
        <v>0</v>
      </c>
      <c r="M475">
        <v>0</v>
      </c>
      <c r="N475">
        <v>2750</v>
      </c>
    </row>
    <row r="476" spans="1:14" x14ac:dyDescent="0.25">
      <c r="A476">
        <v>58.613905000000003</v>
      </c>
      <c r="B476" s="1">
        <f>DATE(2010,6,28) + TIME(14,44,1)</f>
        <v>40357.613900462966</v>
      </c>
      <c r="C476">
        <v>80</v>
      </c>
      <c r="D476">
        <v>79.949378967000001</v>
      </c>
      <c r="E476">
        <v>40</v>
      </c>
      <c r="F476">
        <v>14.999787331</v>
      </c>
      <c r="G476">
        <v>1341.0793457</v>
      </c>
      <c r="H476">
        <v>1338.5295410000001</v>
      </c>
      <c r="I476">
        <v>1320.3012695</v>
      </c>
      <c r="J476">
        <v>1315.7388916</v>
      </c>
      <c r="K476">
        <v>2750</v>
      </c>
      <c r="L476">
        <v>0</v>
      </c>
      <c r="M476">
        <v>0</v>
      </c>
      <c r="N476">
        <v>2750</v>
      </c>
    </row>
    <row r="477" spans="1:14" x14ac:dyDescent="0.25">
      <c r="A477">
        <v>59.028111000000003</v>
      </c>
      <c r="B477" s="1">
        <f>DATE(2010,6,29) + TIME(0,40,28)</f>
        <v>40358.028101851851</v>
      </c>
      <c r="C477">
        <v>80</v>
      </c>
      <c r="D477">
        <v>79.949386597</v>
      </c>
      <c r="E477">
        <v>40</v>
      </c>
      <c r="F477">
        <v>14.999789238</v>
      </c>
      <c r="G477">
        <v>1341.0725098</v>
      </c>
      <c r="H477">
        <v>1338.5244141000001</v>
      </c>
      <c r="I477">
        <v>1320.3029785000001</v>
      </c>
      <c r="J477">
        <v>1315.7401123</v>
      </c>
      <c r="K477">
        <v>2750</v>
      </c>
      <c r="L477">
        <v>0</v>
      </c>
      <c r="M477">
        <v>0</v>
      </c>
      <c r="N477">
        <v>2750</v>
      </c>
    </row>
    <row r="478" spans="1:14" x14ac:dyDescent="0.25">
      <c r="A478">
        <v>59.448886000000002</v>
      </c>
      <c r="B478" s="1">
        <f>DATE(2010,6,29) + TIME(10,46,23)</f>
        <v>40358.448877314811</v>
      </c>
      <c r="C478">
        <v>80</v>
      </c>
      <c r="D478">
        <v>79.949394225999995</v>
      </c>
      <c r="E478">
        <v>40</v>
      </c>
      <c r="F478">
        <v>14.999792099</v>
      </c>
      <c r="G478">
        <v>1341.0657959</v>
      </c>
      <c r="H478">
        <v>1338.5191649999999</v>
      </c>
      <c r="I478">
        <v>1320.3046875</v>
      </c>
      <c r="J478">
        <v>1315.7414550999999</v>
      </c>
      <c r="K478">
        <v>2750</v>
      </c>
      <c r="L478">
        <v>0</v>
      </c>
      <c r="M478">
        <v>0</v>
      </c>
      <c r="N478">
        <v>2750</v>
      </c>
    </row>
    <row r="479" spans="1:14" x14ac:dyDescent="0.25">
      <c r="A479">
        <v>59.875931999999999</v>
      </c>
      <c r="B479" s="1">
        <f>DATE(2010,6,29) + TIME(21,1,20)</f>
        <v>40358.875925925924</v>
      </c>
      <c r="C479">
        <v>80</v>
      </c>
      <c r="D479">
        <v>79.949394225999995</v>
      </c>
      <c r="E479">
        <v>40</v>
      </c>
      <c r="F479">
        <v>14.999794959999999</v>
      </c>
      <c r="G479">
        <v>1341.0588379000001</v>
      </c>
      <c r="H479">
        <v>1338.5139160000001</v>
      </c>
      <c r="I479">
        <v>1320.3065185999999</v>
      </c>
      <c r="J479">
        <v>1315.7427978999999</v>
      </c>
      <c r="K479">
        <v>2750</v>
      </c>
      <c r="L479">
        <v>0</v>
      </c>
      <c r="M479">
        <v>0</v>
      </c>
      <c r="N479">
        <v>2750</v>
      </c>
    </row>
    <row r="480" spans="1:14" x14ac:dyDescent="0.25">
      <c r="A480">
        <v>60.307433000000003</v>
      </c>
      <c r="B480" s="1">
        <f>DATE(2010,6,30) + TIME(7,22,42)</f>
        <v>40359.307430555556</v>
      </c>
      <c r="C480">
        <v>80</v>
      </c>
      <c r="D480">
        <v>79.949401855000005</v>
      </c>
      <c r="E480">
        <v>40</v>
      </c>
      <c r="F480">
        <v>14.999797821</v>
      </c>
      <c r="G480">
        <v>1341.0520019999999</v>
      </c>
      <c r="H480">
        <v>1338.5086670000001</v>
      </c>
      <c r="I480">
        <v>1320.3084716999999</v>
      </c>
      <c r="J480">
        <v>1315.7441406</v>
      </c>
      <c r="K480">
        <v>2750</v>
      </c>
      <c r="L480">
        <v>0</v>
      </c>
      <c r="M480">
        <v>0</v>
      </c>
      <c r="N480">
        <v>2750</v>
      </c>
    </row>
    <row r="481" spans="1:14" x14ac:dyDescent="0.25">
      <c r="A481">
        <v>60.523468000000001</v>
      </c>
      <c r="B481" s="1">
        <f>DATE(2010,6,30) + TIME(12,33,47)</f>
        <v>40359.523460648146</v>
      </c>
      <c r="C481">
        <v>80</v>
      </c>
      <c r="D481">
        <v>79.949401855000005</v>
      </c>
      <c r="E481">
        <v>40</v>
      </c>
      <c r="F481">
        <v>14.999799727999999</v>
      </c>
      <c r="G481">
        <v>1341.0449219</v>
      </c>
      <c r="H481">
        <v>1338.5032959</v>
      </c>
      <c r="I481">
        <v>1320.3103027</v>
      </c>
      <c r="J481">
        <v>1315.7454834</v>
      </c>
      <c r="K481">
        <v>2750</v>
      </c>
      <c r="L481">
        <v>0</v>
      </c>
      <c r="M481">
        <v>0</v>
      </c>
      <c r="N481">
        <v>2750</v>
      </c>
    </row>
    <row r="482" spans="1:14" x14ac:dyDescent="0.25">
      <c r="A482">
        <v>60.738810999999998</v>
      </c>
      <c r="B482" s="1">
        <f>DATE(2010,6,30) + TIME(17,43,53)</f>
        <v>40359.738807870373</v>
      </c>
      <c r="C482">
        <v>80</v>
      </c>
      <c r="D482">
        <v>79.949401855000005</v>
      </c>
      <c r="E482">
        <v>40</v>
      </c>
      <c r="F482">
        <v>14.999801636000001</v>
      </c>
      <c r="G482">
        <v>1341.0415039</v>
      </c>
      <c r="H482">
        <v>1338.5006103999999</v>
      </c>
      <c r="I482">
        <v>1320.3112793</v>
      </c>
      <c r="J482">
        <v>1315.7460937999999</v>
      </c>
      <c r="K482">
        <v>2750</v>
      </c>
      <c r="L482">
        <v>0</v>
      </c>
      <c r="M482">
        <v>0</v>
      </c>
      <c r="N482">
        <v>2750</v>
      </c>
    </row>
    <row r="483" spans="1:14" x14ac:dyDescent="0.25">
      <c r="A483">
        <v>61</v>
      </c>
      <c r="B483" s="1">
        <f>DATE(2010,7,1) + TIME(0,0,0)</f>
        <v>40360</v>
      </c>
      <c r="C483">
        <v>80</v>
      </c>
      <c r="D483">
        <v>79.949401855000005</v>
      </c>
      <c r="E483">
        <v>40</v>
      </c>
      <c r="F483">
        <v>14.999804497</v>
      </c>
      <c r="G483">
        <v>1341.0380858999999</v>
      </c>
      <c r="H483">
        <v>1338.4980469</v>
      </c>
      <c r="I483">
        <v>1320.3122559000001</v>
      </c>
      <c r="J483">
        <v>1315.7468262</v>
      </c>
      <c r="K483">
        <v>2750</v>
      </c>
      <c r="L483">
        <v>0</v>
      </c>
      <c r="M483">
        <v>0</v>
      </c>
      <c r="N483">
        <v>2750</v>
      </c>
    </row>
    <row r="484" spans="1:14" x14ac:dyDescent="0.25">
      <c r="A484">
        <v>61.214832999999999</v>
      </c>
      <c r="B484" s="1">
        <f>DATE(2010,7,1) + TIME(5,9,21)</f>
        <v>40360.214826388888</v>
      </c>
      <c r="C484">
        <v>80</v>
      </c>
      <c r="D484">
        <v>79.949401855000005</v>
      </c>
      <c r="E484">
        <v>40</v>
      </c>
      <c r="F484">
        <v>14.999806403999999</v>
      </c>
      <c r="G484">
        <v>1341.0339355000001</v>
      </c>
      <c r="H484">
        <v>1338.494751</v>
      </c>
      <c r="I484">
        <v>1320.3133545000001</v>
      </c>
      <c r="J484">
        <v>1315.7476807</v>
      </c>
      <c r="K484">
        <v>2750</v>
      </c>
      <c r="L484">
        <v>0</v>
      </c>
      <c r="M484">
        <v>0</v>
      </c>
      <c r="N484">
        <v>2750</v>
      </c>
    </row>
    <row r="485" spans="1:14" x14ac:dyDescent="0.25">
      <c r="A485">
        <v>61.429031000000002</v>
      </c>
      <c r="B485" s="1">
        <f>DATE(2010,7,1) + TIME(10,17,48)</f>
        <v>40360.429027777776</v>
      </c>
      <c r="C485">
        <v>80</v>
      </c>
      <c r="D485">
        <v>79.949401855000005</v>
      </c>
      <c r="E485">
        <v>40</v>
      </c>
      <c r="F485">
        <v>14.999809265</v>
      </c>
      <c r="G485">
        <v>1341.0305175999999</v>
      </c>
      <c r="H485">
        <v>1338.4921875</v>
      </c>
      <c r="I485">
        <v>1320.3143310999999</v>
      </c>
      <c r="J485">
        <v>1315.7484131000001</v>
      </c>
      <c r="K485">
        <v>2750</v>
      </c>
      <c r="L485">
        <v>0</v>
      </c>
      <c r="M485">
        <v>0</v>
      </c>
      <c r="N485">
        <v>2750</v>
      </c>
    </row>
    <row r="486" spans="1:14" x14ac:dyDescent="0.25">
      <c r="A486">
        <v>61.643160999999999</v>
      </c>
      <c r="B486" s="1">
        <f>DATE(2010,7,1) + TIME(15,26,9)</f>
        <v>40360.643159722225</v>
      </c>
      <c r="C486">
        <v>80</v>
      </c>
      <c r="D486">
        <v>79.949409485000004</v>
      </c>
      <c r="E486">
        <v>40</v>
      </c>
      <c r="F486">
        <v>14.999811171999999</v>
      </c>
      <c r="G486">
        <v>1341.0270995999999</v>
      </c>
      <c r="H486">
        <v>1338.489624</v>
      </c>
      <c r="I486">
        <v>1320.3153076000001</v>
      </c>
      <c r="J486">
        <v>1315.7490233999999</v>
      </c>
      <c r="K486">
        <v>2750</v>
      </c>
      <c r="L486">
        <v>0</v>
      </c>
      <c r="M486">
        <v>0</v>
      </c>
      <c r="N486">
        <v>2750</v>
      </c>
    </row>
    <row r="487" spans="1:14" x14ac:dyDescent="0.25">
      <c r="A487">
        <v>61.857290999999996</v>
      </c>
      <c r="B487" s="1">
        <f>DATE(2010,7,1) + TIME(20,34,29)</f>
        <v>40360.85728009259</v>
      </c>
      <c r="C487">
        <v>80</v>
      </c>
      <c r="D487">
        <v>79.949409485000004</v>
      </c>
      <c r="E487">
        <v>40</v>
      </c>
      <c r="F487">
        <v>14.999814034</v>
      </c>
      <c r="G487">
        <v>1341.0238036999999</v>
      </c>
      <c r="H487">
        <v>1338.4870605000001</v>
      </c>
      <c r="I487">
        <v>1320.3162841999999</v>
      </c>
      <c r="J487">
        <v>1315.7497559000001</v>
      </c>
      <c r="K487">
        <v>2750</v>
      </c>
      <c r="L487">
        <v>0</v>
      </c>
      <c r="M487">
        <v>0</v>
      </c>
      <c r="N487">
        <v>2750</v>
      </c>
    </row>
    <row r="488" spans="1:14" x14ac:dyDescent="0.25">
      <c r="A488">
        <v>62.071421999999998</v>
      </c>
      <c r="B488" s="1">
        <f>DATE(2010,7,2) + TIME(1,42,50)</f>
        <v>40361.071412037039</v>
      </c>
      <c r="C488">
        <v>80</v>
      </c>
      <c r="D488">
        <v>79.949409485000004</v>
      </c>
      <c r="E488">
        <v>40</v>
      </c>
      <c r="F488">
        <v>14.999816895</v>
      </c>
      <c r="G488">
        <v>1341.0205077999999</v>
      </c>
      <c r="H488">
        <v>1338.484375</v>
      </c>
      <c r="I488">
        <v>1320.3172606999999</v>
      </c>
      <c r="J488">
        <v>1315.7504882999999</v>
      </c>
      <c r="K488">
        <v>2750</v>
      </c>
      <c r="L488">
        <v>0</v>
      </c>
      <c r="M488">
        <v>0</v>
      </c>
      <c r="N488">
        <v>2750</v>
      </c>
    </row>
    <row r="489" spans="1:14" x14ac:dyDescent="0.25">
      <c r="A489">
        <v>62.285552000000003</v>
      </c>
      <c r="B489" s="1">
        <f>DATE(2010,7,2) + TIME(6,51,11)</f>
        <v>40361.285543981481</v>
      </c>
      <c r="C489">
        <v>80</v>
      </c>
      <c r="D489">
        <v>79.949417113999999</v>
      </c>
      <c r="E489">
        <v>40</v>
      </c>
      <c r="F489">
        <v>14.999819756000001</v>
      </c>
      <c r="G489">
        <v>1341.0170897999999</v>
      </c>
      <c r="H489">
        <v>1338.4818115</v>
      </c>
      <c r="I489">
        <v>1320.3182373</v>
      </c>
      <c r="J489">
        <v>1315.7512207</v>
      </c>
      <c r="K489">
        <v>2750</v>
      </c>
      <c r="L489">
        <v>0</v>
      </c>
      <c r="M489">
        <v>0</v>
      </c>
      <c r="N489">
        <v>2750</v>
      </c>
    </row>
    <row r="490" spans="1:14" x14ac:dyDescent="0.25">
      <c r="A490">
        <v>62.499682999999997</v>
      </c>
      <c r="B490" s="1">
        <f>DATE(2010,7,2) + TIME(11,59,32)</f>
        <v>40361.499675925923</v>
      </c>
      <c r="C490">
        <v>80</v>
      </c>
      <c r="D490">
        <v>79.949417113999999</v>
      </c>
      <c r="E490">
        <v>40</v>
      </c>
      <c r="F490">
        <v>14.999822617</v>
      </c>
      <c r="G490">
        <v>1341.0137939000001</v>
      </c>
      <c r="H490">
        <v>1338.4793701000001</v>
      </c>
      <c r="I490">
        <v>1320.3192139</v>
      </c>
      <c r="J490">
        <v>1315.7518310999999</v>
      </c>
      <c r="K490">
        <v>2750</v>
      </c>
      <c r="L490">
        <v>0</v>
      </c>
      <c r="M490">
        <v>0</v>
      </c>
      <c r="N490">
        <v>2750</v>
      </c>
    </row>
    <row r="491" spans="1:14" x14ac:dyDescent="0.25">
      <c r="A491">
        <v>62.713813000000002</v>
      </c>
      <c r="B491" s="1">
        <f>DATE(2010,7,2) + TIME(17,7,53)</f>
        <v>40361.713807870372</v>
      </c>
      <c r="C491">
        <v>80</v>
      </c>
      <c r="D491">
        <v>79.949424743999998</v>
      </c>
      <c r="E491">
        <v>40</v>
      </c>
      <c r="F491">
        <v>14.999825478</v>
      </c>
      <c r="G491">
        <v>1341.0104980000001</v>
      </c>
      <c r="H491">
        <v>1338.4768065999999</v>
      </c>
      <c r="I491">
        <v>1320.3201904</v>
      </c>
      <c r="J491">
        <v>1315.7525635</v>
      </c>
      <c r="K491">
        <v>2750</v>
      </c>
      <c r="L491">
        <v>0</v>
      </c>
      <c r="M491">
        <v>0</v>
      </c>
      <c r="N491">
        <v>2750</v>
      </c>
    </row>
    <row r="492" spans="1:14" x14ac:dyDescent="0.25">
      <c r="A492">
        <v>63.142074000000001</v>
      </c>
      <c r="B492" s="1">
        <f>DATE(2010,7,3) + TIME(3,24,35)</f>
        <v>40362.142071759263</v>
      </c>
      <c r="C492">
        <v>80</v>
      </c>
      <c r="D492">
        <v>79.949440002000003</v>
      </c>
      <c r="E492">
        <v>40</v>
      </c>
      <c r="F492">
        <v>14.999831199999999</v>
      </c>
      <c r="G492">
        <v>1341.0073242000001</v>
      </c>
      <c r="H492">
        <v>1338.4742432</v>
      </c>
      <c r="I492">
        <v>1320.3212891000001</v>
      </c>
      <c r="J492">
        <v>1315.7532959</v>
      </c>
      <c r="K492">
        <v>2750</v>
      </c>
      <c r="L492">
        <v>0</v>
      </c>
      <c r="M492">
        <v>0</v>
      </c>
      <c r="N492">
        <v>2750</v>
      </c>
    </row>
    <row r="493" spans="1:14" x14ac:dyDescent="0.25">
      <c r="A493">
        <v>63.570779999999999</v>
      </c>
      <c r="B493" s="1">
        <f>DATE(2010,7,3) + TIME(13,41,55)</f>
        <v>40362.570775462962</v>
      </c>
      <c r="C493">
        <v>80</v>
      </c>
      <c r="D493">
        <v>79.949447632000002</v>
      </c>
      <c r="E493">
        <v>40</v>
      </c>
      <c r="F493">
        <v>14.999837875000001</v>
      </c>
      <c r="G493">
        <v>1341.0007324000001</v>
      </c>
      <c r="H493">
        <v>1338.4692382999999</v>
      </c>
      <c r="I493">
        <v>1320.3232422000001</v>
      </c>
      <c r="J493">
        <v>1315.7547606999999</v>
      </c>
      <c r="K493">
        <v>2750</v>
      </c>
      <c r="L493">
        <v>0</v>
      </c>
      <c r="M493">
        <v>0</v>
      </c>
      <c r="N493">
        <v>2750</v>
      </c>
    </row>
    <row r="494" spans="1:14" x14ac:dyDescent="0.25">
      <c r="A494">
        <v>64.004115999999996</v>
      </c>
      <c r="B494" s="1">
        <f>DATE(2010,7,4) + TIME(0,5,55)</f>
        <v>40363.004108796296</v>
      </c>
      <c r="C494">
        <v>80</v>
      </c>
      <c r="D494">
        <v>79.949462890999996</v>
      </c>
      <c r="E494">
        <v>40</v>
      </c>
      <c r="F494">
        <v>14.999846458</v>
      </c>
      <c r="G494">
        <v>1340.9941406</v>
      </c>
      <c r="H494">
        <v>1338.4642334</v>
      </c>
      <c r="I494">
        <v>1320.3253173999999</v>
      </c>
      <c r="J494">
        <v>1315.7562256000001</v>
      </c>
      <c r="K494">
        <v>2750</v>
      </c>
      <c r="L494">
        <v>0</v>
      </c>
      <c r="M494">
        <v>0</v>
      </c>
      <c r="N494">
        <v>2750</v>
      </c>
    </row>
    <row r="495" spans="1:14" x14ac:dyDescent="0.25">
      <c r="A495">
        <v>64.443138000000005</v>
      </c>
      <c r="B495" s="1">
        <f>DATE(2010,7,4) + TIME(10,38,7)</f>
        <v>40363.443136574075</v>
      </c>
      <c r="C495">
        <v>80</v>
      </c>
      <c r="D495">
        <v>79.949470520000006</v>
      </c>
      <c r="E495">
        <v>40</v>
      </c>
      <c r="F495">
        <v>14.999855042</v>
      </c>
      <c r="G495">
        <v>1340.9876709</v>
      </c>
      <c r="H495">
        <v>1338.4591064000001</v>
      </c>
      <c r="I495">
        <v>1320.3273925999999</v>
      </c>
      <c r="J495">
        <v>1315.7576904</v>
      </c>
      <c r="K495">
        <v>2750</v>
      </c>
      <c r="L495">
        <v>0</v>
      </c>
      <c r="M495">
        <v>0</v>
      </c>
      <c r="N495">
        <v>2750</v>
      </c>
    </row>
    <row r="496" spans="1:14" x14ac:dyDescent="0.25">
      <c r="A496">
        <v>64.888964999999999</v>
      </c>
      <c r="B496" s="1">
        <f>DATE(2010,7,4) + TIME(21,20,6)</f>
        <v>40363.888958333337</v>
      </c>
      <c r="C496">
        <v>80</v>
      </c>
      <c r="D496">
        <v>79.949478149000001</v>
      </c>
      <c r="E496">
        <v>40</v>
      </c>
      <c r="F496">
        <v>14.999866486</v>
      </c>
      <c r="G496">
        <v>1340.9810791</v>
      </c>
      <c r="H496">
        <v>1338.4541016000001</v>
      </c>
      <c r="I496">
        <v>1320.3294678</v>
      </c>
      <c r="J496">
        <v>1315.7591553</v>
      </c>
      <c r="K496">
        <v>2750</v>
      </c>
      <c r="L496">
        <v>0</v>
      </c>
      <c r="M496">
        <v>0</v>
      </c>
      <c r="N496">
        <v>2750</v>
      </c>
    </row>
    <row r="497" spans="1:14" x14ac:dyDescent="0.25">
      <c r="A497">
        <v>65.339606000000003</v>
      </c>
      <c r="B497" s="1">
        <f>DATE(2010,7,5) + TIME(8,9,1)</f>
        <v>40364.339594907404</v>
      </c>
      <c r="C497">
        <v>80</v>
      </c>
      <c r="D497">
        <v>79.949485779</v>
      </c>
      <c r="E497">
        <v>40</v>
      </c>
      <c r="F497">
        <v>14.999878882999999</v>
      </c>
      <c r="G497">
        <v>1340.9743652</v>
      </c>
      <c r="H497">
        <v>1338.4489745999999</v>
      </c>
      <c r="I497">
        <v>1320.3316649999999</v>
      </c>
      <c r="J497">
        <v>1315.7606201000001</v>
      </c>
      <c r="K497">
        <v>2750</v>
      </c>
      <c r="L497">
        <v>0</v>
      </c>
      <c r="M497">
        <v>0</v>
      </c>
      <c r="N497">
        <v>2750</v>
      </c>
    </row>
    <row r="498" spans="1:14" x14ac:dyDescent="0.25">
      <c r="A498">
        <v>65.795603999999997</v>
      </c>
      <c r="B498" s="1">
        <f>DATE(2010,7,5) + TIME(19,5,40)</f>
        <v>40364.795601851853</v>
      </c>
      <c r="C498">
        <v>80</v>
      </c>
      <c r="D498">
        <v>79.949493407999995</v>
      </c>
      <c r="E498">
        <v>40</v>
      </c>
      <c r="F498">
        <v>14.999894142</v>
      </c>
      <c r="G498">
        <v>1340.9677733999999</v>
      </c>
      <c r="H498">
        <v>1338.4438477000001</v>
      </c>
      <c r="I498">
        <v>1320.3338623</v>
      </c>
      <c r="J498">
        <v>1315.762207</v>
      </c>
      <c r="K498">
        <v>2750</v>
      </c>
      <c r="L498">
        <v>0</v>
      </c>
      <c r="M498">
        <v>0</v>
      </c>
      <c r="N498">
        <v>2750</v>
      </c>
    </row>
    <row r="499" spans="1:14" x14ac:dyDescent="0.25">
      <c r="A499">
        <v>66.023999000000003</v>
      </c>
      <c r="B499" s="1">
        <f>DATE(2010,7,6) + TIME(0,34,33)</f>
        <v>40365.023993055554</v>
      </c>
      <c r="C499">
        <v>80</v>
      </c>
      <c r="D499">
        <v>79.949493407999995</v>
      </c>
      <c r="E499">
        <v>40</v>
      </c>
      <c r="F499">
        <v>14.999904633</v>
      </c>
      <c r="G499">
        <v>1340.9609375</v>
      </c>
      <c r="H499">
        <v>1338.4384766000001</v>
      </c>
      <c r="I499">
        <v>1320.3360596</v>
      </c>
      <c r="J499">
        <v>1315.7637939000001</v>
      </c>
      <c r="K499">
        <v>2750</v>
      </c>
      <c r="L499">
        <v>0</v>
      </c>
      <c r="M499">
        <v>0</v>
      </c>
      <c r="N499">
        <v>2750</v>
      </c>
    </row>
    <row r="500" spans="1:14" x14ac:dyDescent="0.25">
      <c r="A500">
        <v>66.251721000000003</v>
      </c>
      <c r="B500" s="1">
        <f>DATE(2010,7,6) + TIME(6,2,28)</f>
        <v>40365.251712962963</v>
      </c>
      <c r="C500">
        <v>80</v>
      </c>
      <c r="D500">
        <v>79.949493407999995</v>
      </c>
      <c r="E500">
        <v>40</v>
      </c>
      <c r="F500">
        <v>14.999915122999999</v>
      </c>
      <c r="G500">
        <v>1340.9576416</v>
      </c>
      <c r="H500">
        <v>1338.4359131000001</v>
      </c>
      <c r="I500">
        <v>1320.3371582</v>
      </c>
      <c r="J500">
        <v>1315.7645264</v>
      </c>
      <c r="K500">
        <v>2750</v>
      </c>
      <c r="L500">
        <v>0</v>
      </c>
      <c r="M500">
        <v>0</v>
      </c>
      <c r="N500">
        <v>2750</v>
      </c>
    </row>
    <row r="501" spans="1:14" x14ac:dyDescent="0.25">
      <c r="A501">
        <v>66.478908000000004</v>
      </c>
      <c r="B501" s="1">
        <f>DATE(2010,7,6) + TIME(11,29,37)</f>
        <v>40365.478900462964</v>
      </c>
      <c r="C501">
        <v>80</v>
      </c>
      <c r="D501">
        <v>79.949501037999994</v>
      </c>
      <c r="E501">
        <v>40</v>
      </c>
      <c r="F501">
        <v>14.999926566999999</v>
      </c>
      <c r="G501">
        <v>1340.9543457</v>
      </c>
      <c r="H501">
        <v>1338.4333495999999</v>
      </c>
      <c r="I501">
        <v>1320.3382568</v>
      </c>
      <c r="J501">
        <v>1315.7653809000001</v>
      </c>
      <c r="K501">
        <v>2750</v>
      </c>
      <c r="L501">
        <v>0</v>
      </c>
      <c r="M501">
        <v>0</v>
      </c>
      <c r="N501">
        <v>2750</v>
      </c>
    </row>
    <row r="502" spans="1:14" x14ac:dyDescent="0.25">
      <c r="A502">
        <v>66.705713000000003</v>
      </c>
      <c r="B502" s="1">
        <f>DATE(2010,7,6) + TIME(16,56,13)</f>
        <v>40365.705706018518</v>
      </c>
      <c r="C502">
        <v>80</v>
      </c>
      <c r="D502">
        <v>79.949501037999994</v>
      </c>
      <c r="E502">
        <v>40</v>
      </c>
      <c r="F502">
        <v>14.999938965</v>
      </c>
      <c r="G502">
        <v>1340.9510498</v>
      </c>
      <c r="H502">
        <v>1338.4307861</v>
      </c>
      <c r="I502">
        <v>1320.3394774999999</v>
      </c>
      <c r="J502">
        <v>1315.7661132999999</v>
      </c>
      <c r="K502">
        <v>2750</v>
      </c>
      <c r="L502">
        <v>0</v>
      </c>
      <c r="M502">
        <v>0</v>
      </c>
      <c r="N502">
        <v>2750</v>
      </c>
    </row>
    <row r="503" spans="1:14" x14ac:dyDescent="0.25">
      <c r="A503">
        <v>66.932289999999995</v>
      </c>
      <c r="B503" s="1">
        <f>DATE(2010,7,6) + TIME(22,22,29)</f>
        <v>40365.932280092595</v>
      </c>
      <c r="C503">
        <v>80</v>
      </c>
      <c r="D503">
        <v>79.949508667000003</v>
      </c>
      <c r="E503">
        <v>40</v>
      </c>
      <c r="F503">
        <v>14.999951362999999</v>
      </c>
      <c r="G503">
        <v>1340.9477539</v>
      </c>
      <c r="H503">
        <v>1338.4282227000001</v>
      </c>
      <c r="I503">
        <v>1320.3405762</v>
      </c>
      <c r="J503">
        <v>1315.7669678</v>
      </c>
      <c r="K503">
        <v>2750</v>
      </c>
      <c r="L503">
        <v>0</v>
      </c>
      <c r="M503">
        <v>0</v>
      </c>
      <c r="N503">
        <v>2750</v>
      </c>
    </row>
    <row r="504" spans="1:14" x14ac:dyDescent="0.25">
      <c r="A504">
        <v>67.158788000000001</v>
      </c>
      <c r="B504" s="1">
        <f>DATE(2010,7,7) + TIME(3,48,39)</f>
        <v>40366.158784722225</v>
      </c>
      <c r="C504">
        <v>80</v>
      </c>
      <c r="D504">
        <v>79.949508667000003</v>
      </c>
      <c r="E504">
        <v>40</v>
      </c>
      <c r="F504">
        <v>14.999965668</v>
      </c>
      <c r="G504">
        <v>1340.9444579999999</v>
      </c>
      <c r="H504">
        <v>1338.4257812000001</v>
      </c>
      <c r="I504">
        <v>1320.3417969</v>
      </c>
      <c r="J504">
        <v>1315.7678223</v>
      </c>
      <c r="K504">
        <v>2750</v>
      </c>
      <c r="L504">
        <v>0</v>
      </c>
      <c r="M504">
        <v>0</v>
      </c>
      <c r="N504">
        <v>2750</v>
      </c>
    </row>
    <row r="505" spans="1:14" x14ac:dyDescent="0.25">
      <c r="A505">
        <v>67.385285999999994</v>
      </c>
      <c r="B505" s="1">
        <f>DATE(2010,7,7) + TIME(9,14,48)</f>
        <v>40366.385277777779</v>
      </c>
      <c r="C505">
        <v>80</v>
      </c>
      <c r="D505">
        <v>79.949516295999999</v>
      </c>
      <c r="E505">
        <v>40</v>
      </c>
      <c r="F505">
        <v>14.999979973</v>
      </c>
      <c r="G505">
        <v>1340.9411620999999</v>
      </c>
      <c r="H505">
        <v>1338.4232178</v>
      </c>
      <c r="I505">
        <v>1320.3428954999999</v>
      </c>
      <c r="J505">
        <v>1315.7685547000001</v>
      </c>
      <c r="K505">
        <v>2750</v>
      </c>
      <c r="L505">
        <v>0</v>
      </c>
      <c r="M505">
        <v>0</v>
      </c>
      <c r="N505">
        <v>2750</v>
      </c>
    </row>
    <row r="506" spans="1:14" x14ac:dyDescent="0.25">
      <c r="A506">
        <v>67.611783000000003</v>
      </c>
      <c r="B506" s="1">
        <f>DATE(2010,7,7) + TIME(14,40,58)</f>
        <v>40366.61178240741</v>
      </c>
      <c r="C506">
        <v>80</v>
      </c>
      <c r="D506">
        <v>79.949523925999998</v>
      </c>
      <c r="E506">
        <v>40</v>
      </c>
      <c r="F506">
        <v>14.999995232</v>
      </c>
      <c r="G506">
        <v>1340.9379882999999</v>
      </c>
      <c r="H506">
        <v>1338.4206543</v>
      </c>
      <c r="I506">
        <v>1320.3441161999999</v>
      </c>
      <c r="J506">
        <v>1315.7694091999999</v>
      </c>
      <c r="K506">
        <v>2750</v>
      </c>
      <c r="L506">
        <v>0</v>
      </c>
      <c r="M506">
        <v>0</v>
      </c>
      <c r="N506">
        <v>2750</v>
      </c>
    </row>
    <row r="507" spans="1:14" x14ac:dyDescent="0.25">
      <c r="A507">
        <v>67.838280999999995</v>
      </c>
      <c r="B507" s="1">
        <f>DATE(2010,7,7) + TIME(20,7,7)</f>
        <v>40366.838275462964</v>
      </c>
      <c r="C507">
        <v>80</v>
      </c>
      <c r="D507">
        <v>79.949523925999998</v>
      </c>
      <c r="E507">
        <v>40</v>
      </c>
      <c r="F507">
        <v>15.000011444</v>
      </c>
      <c r="G507">
        <v>1340.9346923999999</v>
      </c>
      <c r="H507">
        <v>1338.4182129000001</v>
      </c>
      <c r="I507">
        <v>1320.3452147999999</v>
      </c>
      <c r="J507">
        <v>1315.7702637</v>
      </c>
      <c r="K507">
        <v>2750</v>
      </c>
      <c r="L507">
        <v>0</v>
      </c>
      <c r="M507">
        <v>0</v>
      </c>
      <c r="N507">
        <v>2750</v>
      </c>
    </row>
    <row r="508" spans="1:14" x14ac:dyDescent="0.25">
      <c r="A508">
        <v>68.064778000000004</v>
      </c>
      <c r="B508" s="1">
        <f>DATE(2010,7,8) + TIME(1,33,16)</f>
        <v>40367.064768518518</v>
      </c>
      <c r="C508">
        <v>80</v>
      </c>
      <c r="D508">
        <v>79.949531554999993</v>
      </c>
      <c r="E508">
        <v>40</v>
      </c>
      <c r="F508">
        <v>15.000029564</v>
      </c>
      <c r="G508">
        <v>1340.9315185999999</v>
      </c>
      <c r="H508">
        <v>1338.4156493999999</v>
      </c>
      <c r="I508">
        <v>1320.3464355000001</v>
      </c>
      <c r="J508">
        <v>1315.7709961</v>
      </c>
      <c r="K508">
        <v>2750</v>
      </c>
      <c r="L508">
        <v>0</v>
      </c>
      <c r="M508">
        <v>0</v>
      </c>
      <c r="N508">
        <v>2750</v>
      </c>
    </row>
    <row r="509" spans="1:14" x14ac:dyDescent="0.25">
      <c r="A509">
        <v>68.291275999999996</v>
      </c>
      <c r="B509" s="1">
        <f>DATE(2010,7,8) + TIME(6,59,26)</f>
        <v>40367.291273148148</v>
      </c>
      <c r="C509">
        <v>80</v>
      </c>
      <c r="D509">
        <v>79.949539185000006</v>
      </c>
      <c r="E509">
        <v>40</v>
      </c>
      <c r="F509">
        <v>15.000048637000001</v>
      </c>
      <c r="G509">
        <v>1340.9283447</v>
      </c>
      <c r="H509">
        <v>1338.4132079999999</v>
      </c>
      <c r="I509">
        <v>1320.3476562000001</v>
      </c>
      <c r="J509">
        <v>1315.7718506000001</v>
      </c>
      <c r="K509">
        <v>2750</v>
      </c>
      <c r="L509">
        <v>0</v>
      </c>
      <c r="M509">
        <v>0</v>
      </c>
      <c r="N509">
        <v>2750</v>
      </c>
    </row>
    <row r="510" spans="1:14" x14ac:dyDescent="0.25">
      <c r="A510">
        <v>68.517773000000005</v>
      </c>
      <c r="B510" s="1">
        <f>DATE(2010,7,8) + TIME(12,25,35)</f>
        <v>40367.517766203702</v>
      </c>
      <c r="C510">
        <v>80</v>
      </c>
      <c r="D510">
        <v>79.949539185000006</v>
      </c>
      <c r="E510">
        <v>40</v>
      </c>
      <c r="F510">
        <v>15.000068665000001</v>
      </c>
      <c r="G510">
        <v>1340.9251709</v>
      </c>
      <c r="H510">
        <v>1338.4106445</v>
      </c>
      <c r="I510">
        <v>1320.3488769999999</v>
      </c>
      <c r="J510">
        <v>1315.7727050999999</v>
      </c>
      <c r="K510">
        <v>2750</v>
      </c>
      <c r="L510">
        <v>0</v>
      </c>
      <c r="M510">
        <v>0</v>
      </c>
      <c r="N510">
        <v>2750</v>
      </c>
    </row>
    <row r="511" spans="1:14" x14ac:dyDescent="0.25">
      <c r="A511">
        <v>68.970768000000007</v>
      </c>
      <c r="B511" s="1">
        <f>DATE(2010,7,8) + TIME(23,17,54)</f>
        <v>40367.970763888887</v>
      </c>
      <c r="C511">
        <v>80</v>
      </c>
      <c r="D511">
        <v>79.949562072999996</v>
      </c>
      <c r="E511">
        <v>40</v>
      </c>
      <c r="F511">
        <v>15.000104904000001</v>
      </c>
      <c r="G511">
        <v>1340.9219971</v>
      </c>
      <c r="H511">
        <v>1338.4083252</v>
      </c>
      <c r="I511">
        <v>1320.3500977000001</v>
      </c>
      <c r="J511">
        <v>1315.7735596</v>
      </c>
      <c r="K511">
        <v>2750</v>
      </c>
      <c r="L511">
        <v>0</v>
      </c>
      <c r="M511">
        <v>0</v>
      </c>
      <c r="N511">
        <v>2750</v>
      </c>
    </row>
    <row r="512" spans="1:14" x14ac:dyDescent="0.25">
      <c r="A512">
        <v>69.424952000000005</v>
      </c>
      <c r="B512" s="1">
        <f>DATE(2010,7,9) + TIME(10,11,55)</f>
        <v>40368.424942129626</v>
      </c>
      <c r="C512">
        <v>80</v>
      </c>
      <c r="D512">
        <v>79.949577332000004</v>
      </c>
      <c r="E512">
        <v>40</v>
      </c>
      <c r="F512">
        <v>15.000148772999999</v>
      </c>
      <c r="G512">
        <v>1340.9156493999999</v>
      </c>
      <c r="H512">
        <v>1338.4034423999999</v>
      </c>
      <c r="I512">
        <v>1320.3524170000001</v>
      </c>
      <c r="J512">
        <v>1315.7752685999999</v>
      </c>
      <c r="K512">
        <v>2750</v>
      </c>
      <c r="L512">
        <v>0</v>
      </c>
      <c r="M512">
        <v>0</v>
      </c>
      <c r="N512">
        <v>2750</v>
      </c>
    </row>
    <row r="513" spans="1:14" x14ac:dyDescent="0.25">
      <c r="A513">
        <v>69.884567000000004</v>
      </c>
      <c r="B513" s="1">
        <f>DATE(2010,7,9) + TIME(21,13,46)</f>
        <v>40368.884560185186</v>
      </c>
      <c r="C513">
        <v>80</v>
      </c>
      <c r="D513">
        <v>79.949592589999995</v>
      </c>
      <c r="E513">
        <v>40</v>
      </c>
      <c r="F513">
        <v>15.000202179</v>
      </c>
      <c r="G513">
        <v>1340.9094238</v>
      </c>
      <c r="H513">
        <v>1338.3984375</v>
      </c>
      <c r="I513">
        <v>1320.3548584</v>
      </c>
      <c r="J513">
        <v>1315.7768555</v>
      </c>
      <c r="K513">
        <v>2750</v>
      </c>
      <c r="L513">
        <v>0</v>
      </c>
      <c r="M513">
        <v>0</v>
      </c>
      <c r="N513">
        <v>2750</v>
      </c>
    </row>
    <row r="514" spans="1:14" x14ac:dyDescent="0.25">
      <c r="A514">
        <v>70.350722000000005</v>
      </c>
      <c r="B514" s="1">
        <f>DATE(2010,7,10) + TIME(8,25,2)</f>
        <v>40369.350717592592</v>
      </c>
      <c r="C514">
        <v>80</v>
      </c>
      <c r="D514">
        <v>79.949600219999994</v>
      </c>
      <c r="E514">
        <v>40</v>
      </c>
      <c r="F514">
        <v>15.000266075000001</v>
      </c>
      <c r="G514">
        <v>1340.9030762</v>
      </c>
      <c r="H514">
        <v>1338.3935547000001</v>
      </c>
      <c r="I514">
        <v>1320.3574219</v>
      </c>
      <c r="J514">
        <v>1315.7785644999999</v>
      </c>
      <c r="K514">
        <v>2750</v>
      </c>
      <c r="L514">
        <v>0</v>
      </c>
      <c r="M514">
        <v>0</v>
      </c>
      <c r="N514">
        <v>2750</v>
      </c>
    </row>
    <row r="515" spans="1:14" x14ac:dyDescent="0.25">
      <c r="A515">
        <v>70.824618999999998</v>
      </c>
      <c r="B515" s="1">
        <f>DATE(2010,7,10) + TIME(19,47,27)</f>
        <v>40369.824618055558</v>
      </c>
      <c r="C515">
        <v>80</v>
      </c>
      <c r="D515">
        <v>79.949615479000002</v>
      </c>
      <c r="E515">
        <v>40</v>
      </c>
      <c r="F515">
        <v>15.000340462</v>
      </c>
      <c r="G515">
        <v>1340.8966064000001</v>
      </c>
      <c r="H515">
        <v>1338.3885498</v>
      </c>
      <c r="I515">
        <v>1320.3599853999999</v>
      </c>
      <c r="J515">
        <v>1315.7803954999999</v>
      </c>
      <c r="K515">
        <v>2750</v>
      </c>
      <c r="L515">
        <v>0</v>
      </c>
      <c r="M515">
        <v>0</v>
      </c>
      <c r="N515">
        <v>2750</v>
      </c>
    </row>
    <row r="516" spans="1:14" x14ac:dyDescent="0.25">
      <c r="A516">
        <v>71.302824999999999</v>
      </c>
      <c r="B516" s="1">
        <f>DATE(2010,7,11) + TIME(7,16,4)</f>
        <v>40370.302824074075</v>
      </c>
      <c r="C516">
        <v>80</v>
      </c>
      <c r="D516">
        <v>79.949630737000007</v>
      </c>
      <c r="E516">
        <v>40</v>
      </c>
      <c r="F516">
        <v>15.0004282</v>
      </c>
      <c r="G516">
        <v>1340.8902588000001</v>
      </c>
      <c r="H516">
        <v>1338.3835449000001</v>
      </c>
      <c r="I516">
        <v>1320.3626709</v>
      </c>
      <c r="J516">
        <v>1315.7822266000001</v>
      </c>
      <c r="K516">
        <v>2750</v>
      </c>
      <c r="L516">
        <v>0</v>
      </c>
      <c r="M516">
        <v>0</v>
      </c>
      <c r="N516">
        <v>2750</v>
      </c>
    </row>
    <row r="517" spans="1:14" x14ac:dyDescent="0.25">
      <c r="A517">
        <v>71.54468</v>
      </c>
      <c r="B517" s="1">
        <f>DATE(2010,7,11) + TIME(13,4,20)</f>
        <v>40370.544675925928</v>
      </c>
      <c r="C517">
        <v>80</v>
      </c>
      <c r="D517">
        <v>79.949630737000007</v>
      </c>
      <c r="E517">
        <v>40</v>
      </c>
      <c r="F517">
        <v>15.000492096</v>
      </c>
      <c r="G517">
        <v>1340.8836670000001</v>
      </c>
      <c r="H517">
        <v>1338.378418</v>
      </c>
      <c r="I517">
        <v>1320.3652344</v>
      </c>
      <c r="J517">
        <v>1315.7839355000001</v>
      </c>
      <c r="K517">
        <v>2750</v>
      </c>
      <c r="L517">
        <v>0</v>
      </c>
      <c r="M517">
        <v>0</v>
      </c>
      <c r="N517">
        <v>2750</v>
      </c>
    </row>
    <row r="518" spans="1:14" x14ac:dyDescent="0.25">
      <c r="A518">
        <v>71.786394999999999</v>
      </c>
      <c r="B518" s="1">
        <f>DATE(2010,7,11) + TIME(18,52,24)</f>
        <v>40370.78638888889</v>
      </c>
      <c r="C518">
        <v>80</v>
      </c>
      <c r="D518">
        <v>79.949630737000007</v>
      </c>
      <c r="E518">
        <v>40</v>
      </c>
      <c r="F518">
        <v>15.000557899</v>
      </c>
      <c r="G518">
        <v>1340.8803711</v>
      </c>
      <c r="H518">
        <v>1338.3758545000001</v>
      </c>
      <c r="I518">
        <v>1320.3666992000001</v>
      </c>
      <c r="J518">
        <v>1315.7849120999999</v>
      </c>
      <c r="K518">
        <v>2750</v>
      </c>
      <c r="L518">
        <v>0</v>
      </c>
      <c r="M518">
        <v>0</v>
      </c>
      <c r="N518">
        <v>2750</v>
      </c>
    </row>
    <row r="519" spans="1:14" x14ac:dyDescent="0.25">
      <c r="A519">
        <v>72.027392000000006</v>
      </c>
      <c r="B519" s="1">
        <f>DATE(2010,7,12) + TIME(0,39,26)</f>
        <v>40371.027384259258</v>
      </c>
      <c r="C519">
        <v>80</v>
      </c>
      <c r="D519">
        <v>79.949638367000006</v>
      </c>
      <c r="E519">
        <v>40</v>
      </c>
      <c r="F519">
        <v>15.000626563999999</v>
      </c>
      <c r="G519">
        <v>1340.8771973</v>
      </c>
      <c r="H519">
        <v>1338.3732910000001</v>
      </c>
      <c r="I519">
        <v>1320.3680420000001</v>
      </c>
      <c r="J519">
        <v>1315.7858887</v>
      </c>
      <c r="K519">
        <v>2750</v>
      </c>
      <c r="L519">
        <v>0</v>
      </c>
      <c r="M519">
        <v>0</v>
      </c>
      <c r="N519">
        <v>2750</v>
      </c>
    </row>
    <row r="520" spans="1:14" x14ac:dyDescent="0.25">
      <c r="A520">
        <v>72.267838999999995</v>
      </c>
      <c r="B520" s="1">
        <f>DATE(2010,7,12) + TIME(6,25,41)</f>
        <v>40371.267835648148</v>
      </c>
      <c r="C520">
        <v>80</v>
      </c>
      <c r="D520">
        <v>79.949645996000001</v>
      </c>
      <c r="E520">
        <v>40</v>
      </c>
      <c r="F520">
        <v>15.000699042999999</v>
      </c>
      <c r="G520">
        <v>1340.8740233999999</v>
      </c>
      <c r="H520">
        <v>1338.3708495999999</v>
      </c>
      <c r="I520">
        <v>1320.3695068</v>
      </c>
      <c r="J520">
        <v>1315.7868652</v>
      </c>
      <c r="K520">
        <v>2750</v>
      </c>
      <c r="L520">
        <v>0</v>
      </c>
      <c r="M520">
        <v>0</v>
      </c>
      <c r="N520">
        <v>2750</v>
      </c>
    </row>
    <row r="521" spans="1:14" x14ac:dyDescent="0.25">
      <c r="A521">
        <v>72.507906000000006</v>
      </c>
      <c r="B521" s="1">
        <f>DATE(2010,7,12) + TIME(12,11,23)</f>
        <v>40371.507905092592</v>
      </c>
      <c r="C521">
        <v>80</v>
      </c>
      <c r="D521">
        <v>79.949645996000001</v>
      </c>
      <c r="E521">
        <v>40</v>
      </c>
      <c r="F521">
        <v>15.000775337</v>
      </c>
      <c r="G521">
        <v>1340.8707274999999</v>
      </c>
      <c r="H521">
        <v>1338.3682861</v>
      </c>
      <c r="I521">
        <v>1320.3708495999999</v>
      </c>
      <c r="J521">
        <v>1315.7877197</v>
      </c>
      <c r="K521">
        <v>2750</v>
      </c>
      <c r="L521">
        <v>0</v>
      </c>
      <c r="M521">
        <v>0</v>
      </c>
      <c r="N521">
        <v>2750</v>
      </c>
    </row>
    <row r="522" spans="1:14" x14ac:dyDescent="0.25">
      <c r="A522">
        <v>72.747754</v>
      </c>
      <c r="B522" s="1">
        <f>DATE(2010,7,12) + TIME(17,56,45)</f>
        <v>40371.747743055559</v>
      </c>
      <c r="C522">
        <v>80</v>
      </c>
      <c r="D522">
        <v>79.949653624999996</v>
      </c>
      <c r="E522">
        <v>40</v>
      </c>
      <c r="F522">
        <v>15.0008564</v>
      </c>
      <c r="G522">
        <v>1340.8675536999999</v>
      </c>
      <c r="H522">
        <v>1338.3658447</v>
      </c>
      <c r="I522">
        <v>1320.3723144999999</v>
      </c>
      <c r="J522">
        <v>1315.7886963000001</v>
      </c>
      <c r="K522">
        <v>2750</v>
      </c>
      <c r="L522">
        <v>0</v>
      </c>
      <c r="M522">
        <v>0</v>
      </c>
      <c r="N522">
        <v>2750</v>
      </c>
    </row>
    <row r="523" spans="1:14" x14ac:dyDescent="0.25">
      <c r="A523">
        <v>72.987547000000006</v>
      </c>
      <c r="B523" s="1">
        <f>DATE(2010,7,12) + TIME(23,42,4)</f>
        <v>40371.987546296295</v>
      </c>
      <c r="C523">
        <v>80</v>
      </c>
      <c r="D523">
        <v>79.949661254999995</v>
      </c>
      <c r="E523">
        <v>40</v>
      </c>
      <c r="F523">
        <v>15.000944137999999</v>
      </c>
      <c r="G523">
        <v>1340.8645019999999</v>
      </c>
      <c r="H523">
        <v>1338.3632812000001</v>
      </c>
      <c r="I523">
        <v>1320.3736572</v>
      </c>
      <c r="J523">
        <v>1315.7896728999999</v>
      </c>
      <c r="K523">
        <v>2750</v>
      </c>
      <c r="L523">
        <v>0</v>
      </c>
      <c r="M523">
        <v>0</v>
      </c>
      <c r="N523">
        <v>2750</v>
      </c>
    </row>
    <row r="524" spans="1:14" x14ac:dyDescent="0.25">
      <c r="A524">
        <v>73.227339000000001</v>
      </c>
      <c r="B524" s="1">
        <f>DATE(2010,7,13) + TIME(5,27,22)</f>
        <v>40372.227337962962</v>
      </c>
      <c r="C524">
        <v>80</v>
      </c>
      <c r="D524">
        <v>79.949668884000005</v>
      </c>
      <c r="E524">
        <v>40</v>
      </c>
      <c r="F524">
        <v>15.001036643999999</v>
      </c>
      <c r="G524">
        <v>1340.8613281</v>
      </c>
      <c r="H524">
        <v>1338.3608397999999</v>
      </c>
      <c r="I524">
        <v>1320.3751221</v>
      </c>
      <c r="J524">
        <v>1315.7906493999999</v>
      </c>
      <c r="K524">
        <v>2750</v>
      </c>
      <c r="L524">
        <v>0</v>
      </c>
      <c r="M524">
        <v>0</v>
      </c>
      <c r="N524">
        <v>2750</v>
      </c>
    </row>
    <row r="525" spans="1:14" x14ac:dyDescent="0.25">
      <c r="A525">
        <v>73.467132000000007</v>
      </c>
      <c r="B525" s="1">
        <f>DATE(2010,7,13) + TIME(11,12,40)</f>
        <v>40372.467129629629</v>
      </c>
      <c r="C525">
        <v>80</v>
      </c>
      <c r="D525">
        <v>79.949676514000004</v>
      </c>
      <c r="E525">
        <v>40</v>
      </c>
      <c r="F525">
        <v>15.001135826000001</v>
      </c>
      <c r="G525">
        <v>1340.8581543</v>
      </c>
      <c r="H525">
        <v>1338.3583983999999</v>
      </c>
      <c r="I525">
        <v>1320.3765868999999</v>
      </c>
      <c r="J525">
        <v>1315.791626</v>
      </c>
      <c r="K525">
        <v>2750</v>
      </c>
      <c r="L525">
        <v>0</v>
      </c>
      <c r="M525">
        <v>0</v>
      </c>
      <c r="N525">
        <v>2750</v>
      </c>
    </row>
    <row r="526" spans="1:14" x14ac:dyDescent="0.25">
      <c r="A526">
        <v>73.706924000000001</v>
      </c>
      <c r="B526" s="1">
        <f>DATE(2010,7,13) + TIME(16,57,58)</f>
        <v>40372.706921296296</v>
      </c>
      <c r="C526">
        <v>80</v>
      </c>
      <c r="D526">
        <v>79.949684142999999</v>
      </c>
      <c r="E526">
        <v>40</v>
      </c>
      <c r="F526">
        <v>15.001242638000001</v>
      </c>
      <c r="G526">
        <v>1340.8549805</v>
      </c>
      <c r="H526">
        <v>1338.355957</v>
      </c>
      <c r="I526">
        <v>1320.3779297000001</v>
      </c>
      <c r="J526">
        <v>1315.7926024999999</v>
      </c>
      <c r="K526">
        <v>2750</v>
      </c>
      <c r="L526">
        <v>0</v>
      </c>
      <c r="M526">
        <v>0</v>
      </c>
      <c r="N526">
        <v>2750</v>
      </c>
    </row>
    <row r="527" spans="1:14" x14ac:dyDescent="0.25">
      <c r="A527">
        <v>73.946717000000007</v>
      </c>
      <c r="B527" s="1">
        <f>DATE(2010,7,13) + TIME(22,43,16)</f>
        <v>40372.946712962963</v>
      </c>
      <c r="C527">
        <v>80</v>
      </c>
      <c r="D527">
        <v>79.949691771999994</v>
      </c>
      <c r="E527">
        <v>40</v>
      </c>
      <c r="F527">
        <v>15.001357079</v>
      </c>
      <c r="G527">
        <v>1340.8519286999999</v>
      </c>
      <c r="H527">
        <v>1338.3535156</v>
      </c>
      <c r="I527">
        <v>1320.3793945</v>
      </c>
      <c r="J527">
        <v>1315.7935791</v>
      </c>
      <c r="K527">
        <v>2750</v>
      </c>
      <c r="L527">
        <v>0</v>
      </c>
      <c r="M527">
        <v>0</v>
      </c>
      <c r="N527">
        <v>2750</v>
      </c>
    </row>
    <row r="528" spans="1:14" x14ac:dyDescent="0.25">
      <c r="A528">
        <v>74.186509000000001</v>
      </c>
      <c r="B528" s="1">
        <f>DATE(2010,7,14) + TIME(4,28,34)</f>
        <v>40373.18650462963</v>
      </c>
      <c r="C528">
        <v>80</v>
      </c>
      <c r="D528">
        <v>79.949699401999993</v>
      </c>
      <c r="E528">
        <v>40</v>
      </c>
      <c r="F528">
        <v>15.001480103</v>
      </c>
      <c r="G528">
        <v>1340.8487548999999</v>
      </c>
      <c r="H528">
        <v>1338.3510742000001</v>
      </c>
      <c r="I528">
        <v>1320.3808594</v>
      </c>
      <c r="J528">
        <v>1315.7945557</v>
      </c>
      <c r="K528">
        <v>2750</v>
      </c>
      <c r="L528">
        <v>0</v>
      </c>
      <c r="M528">
        <v>0</v>
      </c>
      <c r="N528">
        <v>2750</v>
      </c>
    </row>
    <row r="529" spans="1:14" x14ac:dyDescent="0.25">
      <c r="A529">
        <v>74.426300999999995</v>
      </c>
      <c r="B529" s="1">
        <f>DATE(2010,7,14) + TIME(10,13,52)</f>
        <v>40373.426296296297</v>
      </c>
      <c r="C529">
        <v>80</v>
      </c>
      <c r="D529">
        <v>79.949707031000003</v>
      </c>
      <c r="E529">
        <v>40</v>
      </c>
      <c r="F529">
        <v>15.001611710000001</v>
      </c>
      <c r="G529">
        <v>1340.8457031</v>
      </c>
      <c r="H529">
        <v>1338.3486327999999</v>
      </c>
      <c r="I529">
        <v>1320.3823242000001</v>
      </c>
      <c r="J529">
        <v>1315.7955322</v>
      </c>
      <c r="K529">
        <v>2750</v>
      </c>
      <c r="L529">
        <v>0</v>
      </c>
      <c r="M529">
        <v>0</v>
      </c>
      <c r="N529">
        <v>2750</v>
      </c>
    </row>
    <row r="530" spans="1:14" x14ac:dyDescent="0.25">
      <c r="A530">
        <v>74.905885999999995</v>
      </c>
      <c r="B530" s="1">
        <f>DATE(2010,7,14) + TIME(21,44,28)</f>
        <v>40373.90587962963</v>
      </c>
      <c r="C530">
        <v>80</v>
      </c>
      <c r="D530">
        <v>79.949722289999997</v>
      </c>
      <c r="E530">
        <v>40</v>
      </c>
      <c r="F530">
        <v>15.001839638</v>
      </c>
      <c r="G530">
        <v>1340.8426514</v>
      </c>
      <c r="H530">
        <v>1338.3463135</v>
      </c>
      <c r="I530">
        <v>1320.3839111</v>
      </c>
      <c r="J530">
        <v>1315.7965088000001</v>
      </c>
      <c r="K530">
        <v>2750</v>
      </c>
      <c r="L530">
        <v>0</v>
      </c>
      <c r="M530">
        <v>0</v>
      </c>
      <c r="N530">
        <v>2750</v>
      </c>
    </row>
    <row r="531" spans="1:14" x14ac:dyDescent="0.25">
      <c r="A531">
        <v>75.385859999999994</v>
      </c>
      <c r="B531" s="1">
        <f>DATE(2010,7,15) + TIME(9,15,38)</f>
        <v>40374.38585648148</v>
      </c>
      <c r="C531">
        <v>80</v>
      </c>
      <c r="D531">
        <v>79.949745178000001</v>
      </c>
      <c r="E531">
        <v>40</v>
      </c>
      <c r="F531">
        <v>15.002121925000001</v>
      </c>
      <c r="G531">
        <v>1340.8365478999999</v>
      </c>
      <c r="H531">
        <v>1338.3414307</v>
      </c>
      <c r="I531">
        <v>1320.3868408000001</v>
      </c>
      <c r="J531">
        <v>1315.7984618999999</v>
      </c>
      <c r="K531">
        <v>2750</v>
      </c>
      <c r="L531">
        <v>0</v>
      </c>
      <c r="M531">
        <v>0</v>
      </c>
      <c r="N531">
        <v>2750</v>
      </c>
    </row>
    <row r="532" spans="1:14" x14ac:dyDescent="0.25">
      <c r="A532">
        <v>75.871517999999995</v>
      </c>
      <c r="B532" s="1">
        <f>DATE(2010,7,15) + TIME(20,54,59)</f>
        <v>40374.871516203704</v>
      </c>
      <c r="C532">
        <v>80</v>
      </c>
      <c r="D532">
        <v>79.949760436999995</v>
      </c>
      <c r="E532">
        <v>40</v>
      </c>
      <c r="F532">
        <v>15.002461433000001</v>
      </c>
      <c r="G532">
        <v>1340.8304443</v>
      </c>
      <c r="H532">
        <v>1338.3366699000001</v>
      </c>
      <c r="I532">
        <v>1320.3898925999999</v>
      </c>
      <c r="J532">
        <v>1315.8005370999999</v>
      </c>
      <c r="K532">
        <v>2750</v>
      </c>
      <c r="L532">
        <v>0</v>
      </c>
      <c r="M532">
        <v>0</v>
      </c>
      <c r="N532">
        <v>2750</v>
      </c>
    </row>
    <row r="533" spans="1:14" x14ac:dyDescent="0.25">
      <c r="A533">
        <v>76.364020999999994</v>
      </c>
      <c r="B533" s="1">
        <f>DATE(2010,7,16) + TIME(8,44,11)</f>
        <v>40375.364016203705</v>
      </c>
      <c r="C533">
        <v>80</v>
      </c>
      <c r="D533">
        <v>79.949775696000003</v>
      </c>
      <c r="E533">
        <v>40</v>
      </c>
      <c r="F533">
        <v>15.002861977</v>
      </c>
      <c r="G533">
        <v>1340.8242187999999</v>
      </c>
      <c r="H533">
        <v>1338.3317870999999</v>
      </c>
      <c r="I533">
        <v>1320.3930664</v>
      </c>
      <c r="J533">
        <v>1315.8026123</v>
      </c>
      <c r="K533">
        <v>2750</v>
      </c>
      <c r="L533">
        <v>0</v>
      </c>
      <c r="M533">
        <v>0</v>
      </c>
      <c r="N533">
        <v>2750</v>
      </c>
    </row>
    <row r="534" spans="1:14" x14ac:dyDescent="0.25">
      <c r="A534">
        <v>76.864637000000002</v>
      </c>
      <c r="B534" s="1">
        <f>DATE(2010,7,16) + TIME(20,45,4)</f>
        <v>40375.864629629628</v>
      </c>
      <c r="C534">
        <v>80</v>
      </c>
      <c r="D534">
        <v>79.949790954999997</v>
      </c>
      <c r="E534">
        <v>40</v>
      </c>
      <c r="F534">
        <v>15.003333092</v>
      </c>
      <c r="G534">
        <v>1340.8181152</v>
      </c>
      <c r="H534">
        <v>1338.3270264</v>
      </c>
      <c r="I534">
        <v>1320.3962402</v>
      </c>
      <c r="J534">
        <v>1315.8046875</v>
      </c>
      <c r="K534">
        <v>2750</v>
      </c>
      <c r="L534">
        <v>0</v>
      </c>
      <c r="M534">
        <v>0</v>
      </c>
      <c r="N534">
        <v>2750</v>
      </c>
    </row>
    <row r="535" spans="1:14" x14ac:dyDescent="0.25">
      <c r="A535">
        <v>77.370143999999996</v>
      </c>
      <c r="B535" s="1">
        <f>DATE(2010,7,17) + TIME(8,53,0)</f>
        <v>40376.370138888888</v>
      </c>
      <c r="C535">
        <v>80</v>
      </c>
      <c r="D535">
        <v>79.949806213000002</v>
      </c>
      <c r="E535">
        <v>40</v>
      </c>
      <c r="F535">
        <v>15.003882408000001</v>
      </c>
      <c r="G535">
        <v>1340.8118896000001</v>
      </c>
      <c r="H535">
        <v>1338.3220214999999</v>
      </c>
      <c r="I535">
        <v>1320.3995361</v>
      </c>
      <c r="J535">
        <v>1315.8068848</v>
      </c>
      <c r="K535">
        <v>2750</v>
      </c>
      <c r="L535">
        <v>0</v>
      </c>
      <c r="M535">
        <v>0</v>
      </c>
      <c r="N535">
        <v>2750</v>
      </c>
    </row>
    <row r="536" spans="1:14" x14ac:dyDescent="0.25">
      <c r="A536">
        <v>77.625538000000006</v>
      </c>
      <c r="B536" s="1">
        <f>DATE(2010,7,17) + TIME(15,0,46)</f>
        <v>40376.625532407408</v>
      </c>
      <c r="C536">
        <v>80</v>
      </c>
      <c r="D536">
        <v>79.949813843000001</v>
      </c>
      <c r="E536">
        <v>40</v>
      </c>
      <c r="F536">
        <v>15.004282951</v>
      </c>
      <c r="G536">
        <v>1340.8055420000001</v>
      </c>
      <c r="H536">
        <v>1338.3171387</v>
      </c>
      <c r="I536">
        <v>1320.4029541</v>
      </c>
      <c r="J536">
        <v>1315.809082</v>
      </c>
      <c r="K536">
        <v>2750</v>
      </c>
      <c r="L536">
        <v>0</v>
      </c>
      <c r="M536">
        <v>0</v>
      </c>
      <c r="N536">
        <v>2750</v>
      </c>
    </row>
    <row r="537" spans="1:14" x14ac:dyDescent="0.25">
      <c r="A537">
        <v>77.880932999999999</v>
      </c>
      <c r="B537" s="1">
        <f>DATE(2010,7,17) + TIME(21,8,32)</f>
        <v>40376.880925925929</v>
      </c>
      <c r="C537">
        <v>80</v>
      </c>
      <c r="D537">
        <v>79.949813843000001</v>
      </c>
      <c r="E537">
        <v>40</v>
      </c>
      <c r="F537">
        <v>15.004694939</v>
      </c>
      <c r="G537">
        <v>1340.8023682</v>
      </c>
      <c r="H537">
        <v>1338.3145752</v>
      </c>
      <c r="I537">
        <v>1320.4046631000001</v>
      </c>
      <c r="J537">
        <v>1315.8101807</v>
      </c>
      <c r="K537">
        <v>2750</v>
      </c>
      <c r="L537">
        <v>0</v>
      </c>
      <c r="M537">
        <v>0</v>
      </c>
      <c r="N537">
        <v>2750</v>
      </c>
    </row>
    <row r="538" spans="1:14" x14ac:dyDescent="0.25">
      <c r="A538">
        <v>78.136326999999994</v>
      </c>
      <c r="B538" s="1">
        <f>DATE(2010,7,18) + TIME(3,16,18)</f>
        <v>40377.136319444442</v>
      </c>
      <c r="C538">
        <v>80</v>
      </c>
      <c r="D538">
        <v>79.949821471999996</v>
      </c>
      <c r="E538">
        <v>40</v>
      </c>
      <c r="F538">
        <v>15.005122184999999</v>
      </c>
      <c r="G538">
        <v>1340.7991943</v>
      </c>
      <c r="H538">
        <v>1338.3121338000001</v>
      </c>
      <c r="I538">
        <v>1320.4064940999999</v>
      </c>
      <c r="J538">
        <v>1315.8114014</v>
      </c>
      <c r="K538">
        <v>2750</v>
      </c>
      <c r="L538">
        <v>0</v>
      </c>
      <c r="M538">
        <v>0</v>
      </c>
      <c r="N538">
        <v>2750</v>
      </c>
    </row>
    <row r="539" spans="1:14" x14ac:dyDescent="0.25">
      <c r="A539">
        <v>78.391226000000003</v>
      </c>
      <c r="B539" s="1">
        <f>DATE(2010,7,18) + TIME(9,23,21)</f>
        <v>40377.391215277778</v>
      </c>
      <c r="C539">
        <v>80</v>
      </c>
      <c r="D539">
        <v>79.949829101999995</v>
      </c>
      <c r="E539">
        <v>40</v>
      </c>
      <c r="F539">
        <v>15.005569458</v>
      </c>
      <c r="G539">
        <v>1340.7961425999999</v>
      </c>
      <c r="H539">
        <v>1338.3096923999999</v>
      </c>
      <c r="I539">
        <v>1320.4082031</v>
      </c>
      <c r="J539">
        <v>1315.8125</v>
      </c>
      <c r="K539">
        <v>2750</v>
      </c>
      <c r="L539">
        <v>0</v>
      </c>
      <c r="M539">
        <v>0</v>
      </c>
      <c r="N539">
        <v>2750</v>
      </c>
    </row>
    <row r="540" spans="1:14" x14ac:dyDescent="0.25">
      <c r="A540">
        <v>78.645712000000003</v>
      </c>
      <c r="B540" s="1">
        <f>DATE(2010,7,18) + TIME(15,29,49)</f>
        <v>40377.64570601852</v>
      </c>
      <c r="C540">
        <v>80</v>
      </c>
      <c r="D540">
        <v>79.949836731000005</v>
      </c>
      <c r="E540">
        <v>40</v>
      </c>
      <c r="F540">
        <v>15.006041527000001</v>
      </c>
      <c r="G540">
        <v>1340.7929687999999</v>
      </c>
      <c r="H540">
        <v>1338.3071289</v>
      </c>
      <c r="I540">
        <v>1320.4100341999999</v>
      </c>
      <c r="J540">
        <v>1315.8137207</v>
      </c>
      <c r="K540">
        <v>2750</v>
      </c>
      <c r="L540">
        <v>0</v>
      </c>
      <c r="M540">
        <v>0</v>
      </c>
      <c r="N540">
        <v>2750</v>
      </c>
    </row>
    <row r="541" spans="1:14" x14ac:dyDescent="0.25">
      <c r="A541">
        <v>78.899952999999996</v>
      </c>
      <c r="B541" s="1">
        <f>DATE(2010,7,18) + TIME(21,35,55)</f>
        <v>40377.899942129632</v>
      </c>
      <c r="C541">
        <v>80</v>
      </c>
      <c r="D541">
        <v>79.94984436</v>
      </c>
      <c r="E541">
        <v>40</v>
      </c>
      <c r="F541">
        <v>15.006541252</v>
      </c>
      <c r="G541">
        <v>1340.7899170000001</v>
      </c>
      <c r="H541">
        <v>1338.3046875</v>
      </c>
      <c r="I541">
        <v>1320.4118652</v>
      </c>
      <c r="J541">
        <v>1315.8148193</v>
      </c>
      <c r="K541">
        <v>2750</v>
      </c>
      <c r="L541">
        <v>0</v>
      </c>
      <c r="M541">
        <v>0</v>
      </c>
      <c r="N541">
        <v>2750</v>
      </c>
    </row>
    <row r="542" spans="1:14" x14ac:dyDescent="0.25">
      <c r="A542">
        <v>79.154115000000004</v>
      </c>
      <c r="B542" s="1">
        <f>DATE(2010,7,19) + TIME(3,41,55)</f>
        <v>40378.154108796298</v>
      </c>
      <c r="C542">
        <v>80</v>
      </c>
      <c r="D542">
        <v>79.949851989999999</v>
      </c>
      <c r="E542">
        <v>40</v>
      </c>
      <c r="F542">
        <v>15.007072449000001</v>
      </c>
      <c r="G542">
        <v>1340.7868652</v>
      </c>
      <c r="H542">
        <v>1338.3023682</v>
      </c>
      <c r="I542">
        <v>1320.4136963000001</v>
      </c>
      <c r="J542">
        <v>1315.8160399999999</v>
      </c>
      <c r="K542">
        <v>2750</v>
      </c>
      <c r="L542">
        <v>0</v>
      </c>
      <c r="M542">
        <v>0</v>
      </c>
      <c r="N542">
        <v>2750</v>
      </c>
    </row>
    <row r="543" spans="1:14" x14ac:dyDescent="0.25">
      <c r="A543">
        <v>79.408276000000001</v>
      </c>
      <c r="B543" s="1">
        <f>DATE(2010,7,19) + TIME(9,47,55)</f>
        <v>40378.408275462964</v>
      </c>
      <c r="C543">
        <v>80</v>
      </c>
      <c r="D543">
        <v>79.949867248999993</v>
      </c>
      <c r="E543">
        <v>40</v>
      </c>
      <c r="F543">
        <v>15.007639885</v>
      </c>
      <c r="G543">
        <v>1340.7838135</v>
      </c>
      <c r="H543">
        <v>1338.2999268000001</v>
      </c>
      <c r="I543">
        <v>1320.4155272999999</v>
      </c>
      <c r="J543">
        <v>1315.8172606999999</v>
      </c>
      <c r="K543">
        <v>2750</v>
      </c>
      <c r="L543">
        <v>0</v>
      </c>
      <c r="M543">
        <v>0</v>
      </c>
      <c r="N543">
        <v>2750</v>
      </c>
    </row>
    <row r="544" spans="1:14" x14ac:dyDescent="0.25">
      <c r="A544">
        <v>79.662437999999995</v>
      </c>
      <c r="B544" s="1">
        <f>DATE(2010,7,19) + TIME(15,53,54)</f>
        <v>40378.662430555552</v>
      </c>
      <c r="C544">
        <v>80</v>
      </c>
      <c r="D544">
        <v>79.949874878000003</v>
      </c>
      <c r="E544">
        <v>40</v>
      </c>
      <c r="F544">
        <v>15.008244513999999</v>
      </c>
      <c r="G544">
        <v>1340.7806396000001</v>
      </c>
      <c r="H544">
        <v>1338.2974853999999</v>
      </c>
      <c r="I544">
        <v>1320.4173584</v>
      </c>
      <c r="J544">
        <v>1315.8183594</v>
      </c>
      <c r="K544">
        <v>2750</v>
      </c>
      <c r="L544">
        <v>0</v>
      </c>
      <c r="M544">
        <v>0</v>
      </c>
      <c r="N544">
        <v>2750</v>
      </c>
    </row>
    <row r="545" spans="1:14" x14ac:dyDescent="0.25">
      <c r="A545">
        <v>79.916600000000003</v>
      </c>
      <c r="B545" s="1">
        <f>DATE(2010,7,19) + TIME(21,59,54)</f>
        <v>40378.916597222225</v>
      </c>
      <c r="C545">
        <v>80</v>
      </c>
      <c r="D545">
        <v>79.949882506999998</v>
      </c>
      <c r="E545">
        <v>40</v>
      </c>
      <c r="F545">
        <v>15.008890151999999</v>
      </c>
      <c r="G545">
        <v>1340.7777100000001</v>
      </c>
      <c r="H545">
        <v>1338.2950439000001</v>
      </c>
      <c r="I545">
        <v>1320.4191894999999</v>
      </c>
      <c r="J545">
        <v>1315.8195800999999</v>
      </c>
      <c r="K545">
        <v>2750</v>
      </c>
      <c r="L545">
        <v>0</v>
      </c>
      <c r="M545">
        <v>0</v>
      </c>
      <c r="N545">
        <v>2750</v>
      </c>
    </row>
    <row r="546" spans="1:14" x14ac:dyDescent="0.25">
      <c r="A546">
        <v>80.170760999999999</v>
      </c>
      <c r="B546" s="1">
        <f>DATE(2010,7,20) + TIME(4,5,53)</f>
        <v>40379.170752314814</v>
      </c>
      <c r="C546">
        <v>80</v>
      </c>
      <c r="D546">
        <v>79.949890136999997</v>
      </c>
      <c r="E546">
        <v>40</v>
      </c>
      <c r="F546">
        <v>15.009580612000001</v>
      </c>
      <c r="G546">
        <v>1340.7746582</v>
      </c>
      <c r="H546">
        <v>1338.2926024999999</v>
      </c>
      <c r="I546">
        <v>1320.4211425999999</v>
      </c>
      <c r="J546">
        <v>1315.8208007999999</v>
      </c>
      <c r="K546">
        <v>2750</v>
      </c>
      <c r="L546">
        <v>0</v>
      </c>
      <c r="M546">
        <v>0</v>
      </c>
      <c r="N546">
        <v>2750</v>
      </c>
    </row>
    <row r="547" spans="1:14" x14ac:dyDescent="0.25">
      <c r="A547">
        <v>80.424923000000007</v>
      </c>
      <c r="B547" s="1">
        <f>DATE(2010,7,20) + TIME(10,11,53)</f>
        <v>40379.42491898148</v>
      </c>
      <c r="C547">
        <v>80</v>
      </c>
      <c r="D547">
        <v>79.949897766000007</v>
      </c>
      <c r="E547">
        <v>40</v>
      </c>
      <c r="F547">
        <v>15.010318756</v>
      </c>
      <c r="G547">
        <v>1340.7716064000001</v>
      </c>
      <c r="H547">
        <v>1338.2902832</v>
      </c>
      <c r="I547">
        <v>1320.4229736</v>
      </c>
      <c r="J547">
        <v>1315.8220214999999</v>
      </c>
      <c r="K547">
        <v>2750</v>
      </c>
      <c r="L547">
        <v>0</v>
      </c>
      <c r="M547">
        <v>0</v>
      </c>
      <c r="N547">
        <v>2750</v>
      </c>
    </row>
    <row r="548" spans="1:14" x14ac:dyDescent="0.25">
      <c r="A548">
        <v>80.679085000000001</v>
      </c>
      <c r="B548" s="1">
        <f>DATE(2010,7,20) + TIME(16,17,52)</f>
        <v>40379.679074074076</v>
      </c>
      <c r="C548">
        <v>80</v>
      </c>
      <c r="D548">
        <v>79.949905396000005</v>
      </c>
      <c r="E548">
        <v>40</v>
      </c>
      <c r="F548">
        <v>15.011108397999999</v>
      </c>
      <c r="G548">
        <v>1340.7685547000001</v>
      </c>
      <c r="H548">
        <v>1338.2878418</v>
      </c>
      <c r="I548">
        <v>1320.4249268000001</v>
      </c>
      <c r="J548">
        <v>1315.8232422000001</v>
      </c>
      <c r="K548">
        <v>2750</v>
      </c>
      <c r="L548">
        <v>0</v>
      </c>
      <c r="M548">
        <v>0</v>
      </c>
      <c r="N548">
        <v>2750</v>
      </c>
    </row>
    <row r="549" spans="1:14" x14ac:dyDescent="0.25">
      <c r="A549">
        <v>81.187408000000005</v>
      </c>
      <c r="B549" s="1">
        <f>DATE(2010,7,21) + TIME(4,29,52)</f>
        <v>40380.187407407408</v>
      </c>
      <c r="C549">
        <v>80</v>
      </c>
      <c r="D549">
        <v>79.949935913000004</v>
      </c>
      <c r="E549">
        <v>40</v>
      </c>
      <c r="F549">
        <v>15.012457848</v>
      </c>
      <c r="G549">
        <v>1340.765625</v>
      </c>
      <c r="H549">
        <v>1338.2855225000001</v>
      </c>
      <c r="I549">
        <v>1320.4268798999999</v>
      </c>
      <c r="J549">
        <v>1315.8245850000001</v>
      </c>
      <c r="K549">
        <v>2750</v>
      </c>
      <c r="L549">
        <v>0</v>
      </c>
      <c r="M549">
        <v>0</v>
      </c>
      <c r="N549">
        <v>2750</v>
      </c>
    </row>
    <row r="550" spans="1:14" x14ac:dyDescent="0.25">
      <c r="A550">
        <v>81.697291000000007</v>
      </c>
      <c r="B550" s="1">
        <f>DATE(2010,7,21) + TIME(16,44,5)</f>
        <v>40380.697280092594</v>
      </c>
      <c r="C550">
        <v>80</v>
      </c>
      <c r="D550">
        <v>79.949951171999999</v>
      </c>
      <c r="E550">
        <v>40</v>
      </c>
      <c r="F550">
        <v>15.014133452999999</v>
      </c>
      <c r="G550">
        <v>1340.7596435999999</v>
      </c>
      <c r="H550">
        <v>1338.2808838000001</v>
      </c>
      <c r="I550">
        <v>1320.4307861</v>
      </c>
      <c r="J550">
        <v>1315.8270264</v>
      </c>
      <c r="K550">
        <v>2750</v>
      </c>
      <c r="L550">
        <v>0</v>
      </c>
      <c r="M550">
        <v>0</v>
      </c>
      <c r="N550">
        <v>2750</v>
      </c>
    </row>
    <row r="551" spans="1:14" x14ac:dyDescent="0.25">
      <c r="A551">
        <v>82.213813000000002</v>
      </c>
      <c r="B551" s="1">
        <f>DATE(2010,7,22) + TIME(5,7,53)</f>
        <v>40381.213807870372</v>
      </c>
      <c r="C551">
        <v>80</v>
      </c>
      <c r="D551">
        <v>79.949974060000002</v>
      </c>
      <c r="E551">
        <v>40</v>
      </c>
      <c r="F551">
        <v>15.01613903</v>
      </c>
      <c r="G551">
        <v>1340.7536620999999</v>
      </c>
      <c r="H551">
        <v>1338.2761230000001</v>
      </c>
      <c r="I551">
        <v>1320.4348144999999</v>
      </c>
      <c r="J551">
        <v>1315.8295897999999</v>
      </c>
      <c r="K551">
        <v>2750</v>
      </c>
      <c r="L551">
        <v>0</v>
      </c>
      <c r="M551">
        <v>0</v>
      </c>
      <c r="N551">
        <v>2750</v>
      </c>
    </row>
    <row r="552" spans="1:14" x14ac:dyDescent="0.25">
      <c r="A552">
        <v>82.738270999999997</v>
      </c>
      <c r="B552" s="1">
        <f>DATE(2010,7,22) + TIME(17,43,6)</f>
        <v>40381.738263888888</v>
      </c>
      <c r="C552">
        <v>80</v>
      </c>
      <c r="D552">
        <v>79.949996948000006</v>
      </c>
      <c r="E552">
        <v>40</v>
      </c>
      <c r="F552">
        <v>15.018499373999999</v>
      </c>
      <c r="G552">
        <v>1340.7476807</v>
      </c>
      <c r="H552">
        <v>1338.2713623</v>
      </c>
      <c r="I552">
        <v>1320.4389647999999</v>
      </c>
      <c r="J552">
        <v>1315.8321533000001</v>
      </c>
      <c r="K552">
        <v>2750</v>
      </c>
      <c r="L552">
        <v>0</v>
      </c>
      <c r="M552">
        <v>0</v>
      </c>
      <c r="N552">
        <v>2750</v>
      </c>
    </row>
    <row r="553" spans="1:14" x14ac:dyDescent="0.25">
      <c r="A553">
        <v>83.269379000000001</v>
      </c>
      <c r="B553" s="1">
        <f>DATE(2010,7,23) + TIME(6,27,54)</f>
        <v>40382.269375000003</v>
      </c>
      <c r="C553">
        <v>80</v>
      </c>
      <c r="D553">
        <v>79.950012207</v>
      </c>
      <c r="E553">
        <v>40</v>
      </c>
      <c r="F553">
        <v>15.021251678</v>
      </c>
      <c r="G553">
        <v>1340.7415771000001</v>
      </c>
      <c r="H553">
        <v>1338.2664795000001</v>
      </c>
      <c r="I553">
        <v>1320.4432373</v>
      </c>
      <c r="J553">
        <v>1315.8349608999999</v>
      </c>
      <c r="K553">
        <v>2750</v>
      </c>
      <c r="L553">
        <v>0</v>
      </c>
      <c r="M553">
        <v>0</v>
      </c>
      <c r="N553">
        <v>2750</v>
      </c>
    </row>
    <row r="554" spans="1:14" x14ac:dyDescent="0.25">
      <c r="A554">
        <v>83.804508999999996</v>
      </c>
      <c r="B554" s="1">
        <f>DATE(2010,7,23) + TIME(19,18,29)</f>
        <v>40382.804502314815</v>
      </c>
      <c r="C554">
        <v>80</v>
      </c>
      <c r="D554">
        <v>79.950035095000004</v>
      </c>
      <c r="E554">
        <v>40</v>
      </c>
      <c r="F554">
        <v>15.024435043</v>
      </c>
      <c r="G554">
        <v>1340.7354736</v>
      </c>
      <c r="H554">
        <v>1338.2617187999999</v>
      </c>
      <c r="I554">
        <v>1320.4477539</v>
      </c>
      <c r="J554">
        <v>1315.8377685999999</v>
      </c>
      <c r="K554">
        <v>2750</v>
      </c>
      <c r="L554">
        <v>0</v>
      </c>
      <c r="M554">
        <v>0</v>
      </c>
      <c r="N554">
        <v>2750</v>
      </c>
    </row>
    <row r="555" spans="1:14" x14ac:dyDescent="0.25">
      <c r="A555">
        <v>84.344303999999994</v>
      </c>
      <c r="B555" s="1">
        <f>DATE(2010,7,24) + TIME(8,15,47)</f>
        <v>40383.344293981485</v>
      </c>
      <c r="C555">
        <v>80</v>
      </c>
      <c r="D555">
        <v>79.950050353999998</v>
      </c>
      <c r="E555">
        <v>40</v>
      </c>
      <c r="F555">
        <v>15.028108596999999</v>
      </c>
      <c r="G555">
        <v>1340.7293701000001</v>
      </c>
      <c r="H555">
        <v>1338.2568358999999</v>
      </c>
      <c r="I555">
        <v>1320.4522704999999</v>
      </c>
      <c r="J555">
        <v>1315.8405762</v>
      </c>
      <c r="K555">
        <v>2750</v>
      </c>
      <c r="L555">
        <v>0</v>
      </c>
      <c r="M555">
        <v>0</v>
      </c>
      <c r="N555">
        <v>2750</v>
      </c>
    </row>
    <row r="556" spans="1:14" x14ac:dyDescent="0.25">
      <c r="A556">
        <v>84.615368000000004</v>
      </c>
      <c r="B556" s="1">
        <f>DATE(2010,7,24) + TIME(14,46,7)</f>
        <v>40383.615358796298</v>
      </c>
      <c r="C556">
        <v>80</v>
      </c>
      <c r="D556">
        <v>79.950057982999994</v>
      </c>
      <c r="E556">
        <v>40</v>
      </c>
      <c r="F556">
        <v>15.030776978</v>
      </c>
      <c r="G556">
        <v>1340.7232666</v>
      </c>
      <c r="H556">
        <v>1338.2519531</v>
      </c>
      <c r="I556">
        <v>1320.4570312000001</v>
      </c>
      <c r="J556">
        <v>1315.8435059000001</v>
      </c>
      <c r="K556">
        <v>2750</v>
      </c>
      <c r="L556">
        <v>0</v>
      </c>
      <c r="M556">
        <v>0</v>
      </c>
      <c r="N556">
        <v>2750</v>
      </c>
    </row>
    <row r="557" spans="1:14" x14ac:dyDescent="0.25">
      <c r="A557">
        <v>84.885900000000007</v>
      </c>
      <c r="B557" s="1">
        <f>DATE(2010,7,24) + TIME(21,15,41)</f>
        <v>40383.885891203703</v>
      </c>
      <c r="C557">
        <v>80</v>
      </c>
      <c r="D557">
        <v>79.950065613000007</v>
      </c>
      <c r="E557">
        <v>40</v>
      </c>
      <c r="F557">
        <v>15.033485412999999</v>
      </c>
      <c r="G557">
        <v>1340.7202147999999</v>
      </c>
      <c r="H557">
        <v>1338.2495117000001</v>
      </c>
      <c r="I557">
        <v>1320.4594727000001</v>
      </c>
      <c r="J557">
        <v>1315.8449707</v>
      </c>
      <c r="K557">
        <v>2750</v>
      </c>
      <c r="L557">
        <v>0</v>
      </c>
      <c r="M557">
        <v>0</v>
      </c>
      <c r="N557">
        <v>2750</v>
      </c>
    </row>
    <row r="558" spans="1:14" x14ac:dyDescent="0.25">
      <c r="A558">
        <v>85.156031999999996</v>
      </c>
      <c r="B558" s="1">
        <f>DATE(2010,7,25) + TIME(3,44,41)</f>
        <v>40384.156030092592</v>
      </c>
      <c r="C558">
        <v>80</v>
      </c>
      <c r="D558">
        <v>79.950073242000002</v>
      </c>
      <c r="E558">
        <v>40</v>
      </c>
      <c r="F558">
        <v>15.036273956</v>
      </c>
      <c r="G558">
        <v>1340.7171631000001</v>
      </c>
      <c r="H558">
        <v>1338.2470702999999</v>
      </c>
      <c r="I558">
        <v>1320.4619141000001</v>
      </c>
      <c r="J558">
        <v>1315.8465576000001</v>
      </c>
      <c r="K558">
        <v>2750</v>
      </c>
      <c r="L558">
        <v>0</v>
      </c>
      <c r="M558">
        <v>0</v>
      </c>
      <c r="N558">
        <v>2750</v>
      </c>
    </row>
    <row r="559" spans="1:14" x14ac:dyDescent="0.25">
      <c r="A559">
        <v>85.425956999999997</v>
      </c>
      <c r="B559" s="1">
        <f>DATE(2010,7,25) + TIME(10,13,22)</f>
        <v>40384.425949074073</v>
      </c>
      <c r="C559">
        <v>80</v>
      </c>
      <c r="D559">
        <v>79.950080872000001</v>
      </c>
      <c r="E559">
        <v>40</v>
      </c>
      <c r="F559">
        <v>15.039176940999999</v>
      </c>
      <c r="G559">
        <v>1340.7141113</v>
      </c>
      <c r="H559">
        <v>1338.2446289</v>
      </c>
      <c r="I559">
        <v>1320.4643555</v>
      </c>
      <c r="J559">
        <v>1315.8481445</v>
      </c>
      <c r="K559">
        <v>2750</v>
      </c>
      <c r="L559">
        <v>0</v>
      </c>
      <c r="M559">
        <v>0</v>
      </c>
      <c r="N559">
        <v>2750</v>
      </c>
    </row>
    <row r="560" spans="1:14" x14ac:dyDescent="0.25">
      <c r="A560">
        <v>85.695865999999995</v>
      </c>
      <c r="B560" s="1">
        <f>DATE(2010,7,25) + TIME(16,42,2)</f>
        <v>40384.695856481485</v>
      </c>
      <c r="C560">
        <v>80</v>
      </c>
      <c r="D560">
        <v>79.950096130000006</v>
      </c>
      <c r="E560">
        <v>40</v>
      </c>
      <c r="F560">
        <v>15.042222023000001</v>
      </c>
      <c r="G560">
        <v>1340.7111815999999</v>
      </c>
      <c r="H560">
        <v>1338.2423096</v>
      </c>
      <c r="I560">
        <v>1320.4669189000001</v>
      </c>
      <c r="J560">
        <v>1315.8497314000001</v>
      </c>
      <c r="K560">
        <v>2750</v>
      </c>
      <c r="L560">
        <v>0</v>
      </c>
      <c r="M560">
        <v>0</v>
      </c>
      <c r="N560">
        <v>2750</v>
      </c>
    </row>
    <row r="561" spans="1:14" x14ac:dyDescent="0.25">
      <c r="A561">
        <v>85.965773999999996</v>
      </c>
      <c r="B561" s="1">
        <f>DATE(2010,7,25) + TIME(23,10,42)</f>
        <v>40384.965763888889</v>
      </c>
      <c r="C561">
        <v>80</v>
      </c>
      <c r="D561">
        <v>79.950103760000005</v>
      </c>
      <c r="E561">
        <v>40</v>
      </c>
      <c r="F561">
        <v>15.045433998</v>
      </c>
      <c r="G561">
        <v>1340.7081298999999</v>
      </c>
      <c r="H561">
        <v>1338.2398682</v>
      </c>
      <c r="I561">
        <v>1320.4694824000001</v>
      </c>
      <c r="J561">
        <v>1315.8513184000001</v>
      </c>
      <c r="K561">
        <v>2750</v>
      </c>
      <c r="L561">
        <v>0</v>
      </c>
      <c r="M561">
        <v>0</v>
      </c>
      <c r="N561">
        <v>2750</v>
      </c>
    </row>
    <row r="562" spans="1:14" x14ac:dyDescent="0.25">
      <c r="A562">
        <v>86.235682999999995</v>
      </c>
      <c r="B562" s="1">
        <f>DATE(2010,7,26) + TIME(5,39,23)</f>
        <v>40385.235682870371</v>
      </c>
      <c r="C562">
        <v>80</v>
      </c>
      <c r="D562">
        <v>79.950111389</v>
      </c>
      <c r="E562">
        <v>40</v>
      </c>
      <c r="F562">
        <v>15.048832893</v>
      </c>
      <c r="G562">
        <v>1340.7050781</v>
      </c>
      <c r="H562">
        <v>1338.2375488</v>
      </c>
      <c r="I562">
        <v>1320.4720459</v>
      </c>
      <c r="J562">
        <v>1315.8529053</v>
      </c>
      <c r="K562">
        <v>2750</v>
      </c>
      <c r="L562">
        <v>0</v>
      </c>
      <c r="M562">
        <v>0</v>
      </c>
      <c r="N562">
        <v>2750</v>
      </c>
    </row>
    <row r="563" spans="1:14" x14ac:dyDescent="0.25">
      <c r="A563">
        <v>86.505591999999993</v>
      </c>
      <c r="B563" s="1">
        <f>DATE(2010,7,26) + TIME(12,8,3)</f>
        <v>40385.505590277775</v>
      </c>
      <c r="C563">
        <v>80</v>
      </c>
      <c r="D563">
        <v>79.950119018999999</v>
      </c>
      <c r="E563">
        <v>40</v>
      </c>
      <c r="F563">
        <v>15.052438735999999</v>
      </c>
      <c r="G563">
        <v>1340.7021483999999</v>
      </c>
      <c r="H563">
        <v>1338.2351074000001</v>
      </c>
      <c r="I563">
        <v>1320.4746094</v>
      </c>
      <c r="J563">
        <v>1315.8544922000001</v>
      </c>
      <c r="K563">
        <v>2750</v>
      </c>
      <c r="L563">
        <v>0</v>
      </c>
      <c r="M563">
        <v>0</v>
      </c>
      <c r="N563">
        <v>2750</v>
      </c>
    </row>
    <row r="564" spans="1:14" x14ac:dyDescent="0.25">
      <c r="A564">
        <v>86.775499999999994</v>
      </c>
      <c r="B564" s="1">
        <f>DATE(2010,7,26) + TIME(18,36,43)</f>
        <v>40385.775497685187</v>
      </c>
      <c r="C564">
        <v>80</v>
      </c>
      <c r="D564">
        <v>79.950134277000004</v>
      </c>
      <c r="E564">
        <v>40</v>
      </c>
      <c r="F564">
        <v>15.056270598999999</v>
      </c>
      <c r="G564">
        <v>1340.6992187999999</v>
      </c>
      <c r="H564">
        <v>1338.2327881000001</v>
      </c>
      <c r="I564">
        <v>1320.4772949000001</v>
      </c>
      <c r="J564">
        <v>1315.8562012</v>
      </c>
      <c r="K564">
        <v>2750</v>
      </c>
      <c r="L564">
        <v>0</v>
      </c>
      <c r="M564">
        <v>0</v>
      </c>
      <c r="N564">
        <v>2750</v>
      </c>
    </row>
    <row r="565" spans="1:14" x14ac:dyDescent="0.25">
      <c r="A565">
        <v>87.045409000000006</v>
      </c>
      <c r="B565" s="1">
        <f>DATE(2010,7,27) + TIME(1,5,23)</f>
        <v>40386.045405092591</v>
      </c>
      <c r="C565">
        <v>80</v>
      </c>
      <c r="D565">
        <v>79.950141907000003</v>
      </c>
      <c r="E565">
        <v>40</v>
      </c>
      <c r="F565">
        <v>15.060346602999999</v>
      </c>
      <c r="G565">
        <v>1340.6961670000001</v>
      </c>
      <c r="H565">
        <v>1338.2303466999999</v>
      </c>
      <c r="I565">
        <v>1320.4798584</v>
      </c>
      <c r="J565">
        <v>1315.8579102000001</v>
      </c>
      <c r="K565">
        <v>2750</v>
      </c>
      <c r="L565">
        <v>0</v>
      </c>
      <c r="M565">
        <v>0</v>
      </c>
      <c r="N565">
        <v>2750</v>
      </c>
    </row>
    <row r="566" spans="1:14" x14ac:dyDescent="0.25">
      <c r="A566">
        <v>87.585226000000006</v>
      </c>
      <c r="B566" s="1">
        <f>DATE(2010,7,27) + TIME(14,2,43)</f>
        <v>40386.585219907407</v>
      </c>
      <c r="C566">
        <v>80</v>
      </c>
      <c r="D566">
        <v>79.950172424000002</v>
      </c>
      <c r="E566">
        <v>40</v>
      </c>
      <c r="F566">
        <v>15.067209244000001</v>
      </c>
      <c r="G566">
        <v>1340.6933594</v>
      </c>
      <c r="H566">
        <v>1338.2281493999999</v>
      </c>
      <c r="I566">
        <v>1320.4825439000001</v>
      </c>
      <c r="J566">
        <v>1315.8596190999999</v>
      </c>
      <c r="K566">
        <v>2750</v>
      </c>
      <c r="L566">
        <v>0</v>
      </c>
      <c r="M566">
        <v>0</v>
      </c>
      <c r="N566">
        <v>2750</v>
      </c>
    </row>
    <row r="567" spans="1:14" x14ac:dyDescent="0.25">
      <c r="A567">
        <v>88.125781000000003</v>
      </c>
      <c r="B567" s="1">
        <f>DATE(2010,7,28) + TIME(3,1,7)</f>
        <v>40387.125775462962</v>
      </c>
      <c r="C567">
        <v>80</v>
      </c>
      <c r="D567">
        <v>79.950195312000005</v>
      </c>
      <c r="E567">
        <v>40</v>
      </c>
      <c r="F567">
        <v>15.075723648</v>
      </c>
      <c r="G567">
        <v>1340.6875</v>
      </c>
      <c r="H567">
        <v>1338.2233887</v>
      </c>
      <c r="I567">
        <v>1320.4880370999999</v>
      </c>
      <c r="J567">
        <v>1315.8630370999999</v>
      </c>
      <c r="K567">
        <v>2750</v>
      </c>
      <c r="L567">
        <v>0</v>
      </c>
      <c r="M567">
        <v>0</v>
      </c>
      <c r="N567">
        <v>2750</v>
      </c>
    </row>
    <row r="568" spans="1:14" x14ac:dyDescent="0.25">
      <c r="A568">
        <v>88.672706000000005</v>
      </c>
      <c r="B568" s="1">
        <f>DATE(2010,7,28) + TIME(16,8,41)</f>
        <v>40387.672696759262</v>
      </c>
      <c r="C568">
        <v>80</v>
      </c>
      <c r="D568">
        <v>79.950218200999998</v>
      </c>
      <c r="E568">
        <v>40</v>
      </c>
      <c r="F568">
        <v>15.085857390999999</v>
      </c>
      <c r="G568">
        <v>1340.6816406</v>
      </c>
      <c r="H568">
        <v>1338.21875</v>
      </c>
      <c r="I568">
        <v>1320.4936522999999</v>
      </c>
      <c r="J568">
        <v>1315.8665771000001</v>
      </c>
      <c r="K568">
        <v>2750</v>
      </c>
      <c r="L568">
        <v>0</v>
      </c>
      <c r="M568">
        <v>0</v>
      </c>
      <c r="N568">
        <v>2750</v>
      </c>
    </row>
    <row r="569" spans="1:14" x14ac:dyDescent="0.25">
      <c r="A569">
        <v>89.227400000000003</v>
      </c>
      <c r="B569" s="1">
        <f>DATE(2010,7,29) + TIME(5,27,27)</f>
        <v>40388.227395833332</v>
      </c>
      <c r="C569">
        <v>80</v>
      </c>
      <c r="D569">
        <v>79.950241089000002</v>
      </c>
      <c r="E569">
        <v>40</v>
      </c>
      <c r="F569">
        <v>15.097702026</v>
      </c>
      <c r="G569">
        <v>1340.6756591999999</v>
      </c>
      <c r="H569">
        <v>1338.2139893000001</v>
      </c>
      <c r="I569">
        <v>1320.4995117000001</v>
      </c>
      <c r="J569">
        <v>1315.8702393000001</v>
      </c>
      <c r="K569">
        <v>2750</v>
      </c>
      <c r="L569">
        <v>0</v>
      </c>
      <c r="M569">
        <v>0</v>
      </c>
      <c r="N569">
        <v>2750</v>
      </c>
    </row>
    <row r="570" spans="1:14" x14ac:dyDescent="0.25">
      <c r="A570">
        <v>89.788487000000003</v>
      </c>
      <c r="B570" s="1">
        <f>DATE(2010,7,29) + TIME(18,55,25)</f>
        <v>40388.788483796299</v>
      </c>
      <c r="C570">
        <v>80</v>
      </c>
      <c r="D570">
        <v>79.950263977000006</v>
      </c>
      <c r="E570">
        <v>40</v>
      </c>
      <c r="F570">
        <v>15.111401558000001</v>
      </c>
      <c r="G570">
        <v>1340.6697998</v>
      </c>
      <c r="H570">
        <v>1338.2092285000001</v>
      </c>
      <c r="I570">
        <v>1320.5056152</v>
      </c>
      <c r="J570">
        <v>1315.8740233999999</v>
      </c>
      <c r="K570">
        <v>2750</v>
      </c>
      <c r="L570">
        <v>0</v>
      </c>
      <c r="M570">
        <v>0</v>
      </c>
      <c r="N570">
        <v>2750</v>
      </c>
    </row>
    <row r="571" spans="1:14" x14ac:dyDescent="0.25">
      <c r="A571">
        <v>90.352318999999994</v>
      </c>
      <c r="B571" s="1">
        <f>DATE(2010,7,30) + TIME(8,27,20)</f>
        <v>40389.352314814816</v>
      </c>
      <c r="C571">
        <v>80</v>
      </c>
      <c r="D571">
        <v>79.950286864999995</v>
      </c>
      <c r="E571">
        <v>40</v>
      </c>
      <c r="F571">
        <v>15.127110481000001</v>
      </c>
      <c r="G571">
        <v>1340.6638184000001</v>
      </c>
      <c r="H571">
        <v>1338.2044678</v>
      </c>
      <c r="I571">
        <v>1320.5119629000001</v>
      </c>
      <c r="J571">
        <v>1315.8780518000001</v>
      </c>
      <c r="K571">
        <v>2750</v>
      </c>
      <c r="L571">
        <v>0</v>
      </c>
      <c r="M571">
        <v>0</v>
      </c>
      <c r="N571">
        <v>2750</v>
      </c>
    </row>
    <row r="572" spans="1:14" x14ac:dyDescent="0.25">
      <c r="A572">
        <v>90.917207000000005</v>
      </c>
      <c r="B572" s="1">
        <f>DATE(2010,7,30) + TIME(22,0,46)</f>
        <v>40389.917199074072</v>
      </c>
      <c r="C572">
        <v>80</v>
      </c>
      <c r="D572">
        <v>79.950309752999999</v>
      </c>
      <c r="E572">
        <v>40</v>
      </c>
      <c r="F572">
        <v>15.145015717</v>
      </c>
      <c r="G572">
        <v>1340.6578368999999</v>
      </c>
      <c r="H572">
        <v>1338.199707</v>
      </c>
      <c r="I572">
        <v>1320.5184326000001</v>
      </c>
      <c r="J572">
        <v>1315.8822021000001</v>
      </c>
      <c r="K572">
        <v>2750</v>
      </c>
      <c r="L572">
        <v>0</v>
      </c>
      <c r="M572">
        <v>0</v>
      </c>
      <c r="N572">
        <v>2750</v>
      </c>
    </row>
    <row r="573" spans="1:14" x14ac:dyDescent="0.25">
      <c r="A573">
        <v>91.484716000000006</v>
      </c>
      <c r="B573" s="1">
        <f>DATE(2010,7,31) + TIME(11,37,59)</f>
        <v>40390.484710648147</v>
      </c>
      <c r="C573">
        <v>80</v>
      </c>
      <c r="D573">
        <v>79.950332642000006</v>
      </c>
      <c r="E573">
        <v>40</v>
      </c>
      <c r="F573">
        <v>15.165390015</v>
      </c>
      <c r="G573">
        <v>1340.6518555</v>
      </c>
      <c r="H573">
        <v>1338.1949463000001</v>
      </c>
      <c r="I573">
        <v>1320.5251464999999</v>
      </c>
      <c r="J573">
        <v>1315.8865966999999</v>
      </c>
      <c r="K573">
        <v>2750</v>
      </c>
      <c r="L573">
        <v>0</v>
      </c>
      <c r="M573">
        <v>0</v>
      </c>
      <c r="N573">
        <v>2750</v>
      </c>
    </row>
    <row r="574" spans="1:14" x14ac:dyDescent="0.25">
      <c r="A574">
        <v>92</v>
      </c>
      <c r="B574" s="1">
        <f>DATE(2010,8,1) + TIME(0,0,0)</f>
        <v>40391</v>
      </c>
      <c r="C574">
        <v>80</v>
      </c>
      <c r="D574">
        <v>79.950355529999996</v>
      </c>
      <c r="E574">
        <v>40</v>
      </c>
      <c r="F574">
        <v>15.187225342</v>
      </c>
      <c r="G574">
        <v>1340.6459961</v>
      </c>
      <c r="H574">
        <v>1338.1901855000001</v>
      </c>
      <c r="I574">
        <v>1320.5322266000001</v>
      </c>
      <c r="J574">
        <v>1315.8911132999999</v>
      </c>
      <c r="K574">
        <v>2750</v>
      </c>
      <c r="L574">
        <v>0</v>
      </c>
      <c r="M574">
        <v>0</v>
      </c>
      <c r="N574">
        <v>2750</v>
      </c>
    </row>
    <row r="575" spans="1:14" x14ac:dyDescent="0.25">
      <c r="A575">
        <v>92.283863999999994</v>
      </c>
      <c r="B575" s="1">
        <f>DATE(2010,8,1) + TIME(6,48,45)</f>
        <v>40391.283854166664</v>
      </c>
      <c r="C575">
        <v>80</v>
      </c>
      <c r="D575">
        <v>79.950363159000005</v>
      </c>
      <c r="E575">
        <v>40</v>
      </c>
      <c r="F575">
        <v>15.203472137</v>
      </c>
      <c r="G575">
        <v>1340.640625</v>
      </c>
      <c r="H575">
        <v>1338.1859131000001</v>
      </c>
      <c r="I575">
        <v>1320.5391846</v>
      </c>
      <c r="J575">
        <v>1315.8952637</v>
      </c>
      <c r="K575">
        <v>2750</v>
      </c>
      <c r="L575">
        <v>0</v>
      </c>
      <c r="M575">
        <v>0</v>
      </c>
      <c r="N575">
        <v>2750</v>
      </c>
    </row>
    <row r="576" spans="1:14" x14ac:dyDescent="0.25">
      <c r="A576">
        <v>92.567728000000002</v>
      </c>
      <c r="B576" s="1">
        <f>DATE(2010,8,1) + TIME(13,37,31)</f>
        <v>40391.567719907405</v>
      </c>
      <c r="C576">
        <v>80</v>
      </c>
      <c r="D576">
        <v>79.950370789000004</v>
      </c>
      <c r="E576">
        <v>40</v>
      </c>
      <c r="F576">
        <v>15.219862938</v>
      </c>
      <c r="G576">
        <v>1340.6375731999999</v>
      </c>
      <c r="H576">
        <v>1338.1834716999999</v>
      </c>
      <c r="I576">
        <v>1320.5427245999999</v>
      </c>
      <c r="J576">
        <v>1315.8977050999999</v>
      </c>
      <c r="K576">
        <v>2750</v>
      </c>
      <c r="L576">
        <v>0</v>
      </c>
      <c r="M576">
        <v>0</v>
      </c>
      <c r="N576">
        <v>2750</v>
      </c>
    </row>
    <row r="577" spans="1:14" x14ac:dyDescent="0.25">
      <c r="A577">
        <v>92.851590999999999</v>
      </c>
      <c r="B577" s="1">
        <f>DATE(2010,8,1) + TIME(20,26,17)</f>
        <v>40391.851585648146</v>
      </c>
      <c r="C577">
        <v>80</v>
      </c>
      <c r="D577">
        <v>79.950378418</v>
      </c>
      <c r="E577">
        <v>40</v>
      </c>
      <c r="F577">
        <v>15.236644745</v>
      </c>
      <c r="G577">
        <v>1340.6346435999999</v>
      </c>
      <c r="H577">
        <v>1338.1811522999999</v>
      </c>
      <c r="I577">
        <v>1320.5463867000001</v>
      </c>
      <c r="J577">
        <v>1315.9002685999999</v>
      </c>
      <c r="K577">
        <v>2750</v>
      </c>
      <c r="L577">
        <v>0</v>
      </c>
      <c r="M577">
        <v>0</v>
      </c>
      <c r="N577">
        <v>2750</v>
      </c>
    </row>
    <row r="578" spans="1:14" x14ac:dyDescent="0.25">
      <c r="A578">
        <v>93.135454999999993</v>
      </c>
      <c r="B578" s="1">
        <f>DATE(2010,8,2) + TIME(3,15,3)</f>
        <v>40392.135451388887</v>
      </c>
      <c r="C578">
        <v>80</v>
      </c>
      <c r="D578">
        <v>79.950393676999994</v>
      </c>
      <c r="E578">
        <v>40</v>
      </c>
      <c r="F578">
        <v>15.254015923000001</v>
      </c>
      <c r="G578">
        <v>1340.6317139</v>
      </c>
      <c r="H578">
        <v>1338.1788329999999</v>
      </c>
      <c r="I578">
        <v>1320.5501709</v>
      </c>
      <c r="J578">
        <v>1315.902832</v>
      </c>
      <c r="K578">
        <v>2750</v>
      </c>
      <c r="L578">
        <v>0</v>
      </c>
      <c r="M578">
        <v>0</v>
      </c>
      <c r="N578">
        <v>2750</v>
      </c>
    </row>
    <row r="579" spans="1:14" x14ac:dyDescent="0.25">
      <c r="A579">
        <v>93.419319000000002</v>
      </c>
      <c r="B579" s="1">
        <f>DATE(2010,8,2) + TIME(10,3,49)</f>
        <v>40392.419317129628</v>
      </c>
      <c r="C579">
        <v>80</v>
      </c>
      <c r="D579">
        <v>79.950401306000003</v>
      </c>
      <c r="E579">
        <v>40</v>
      </c>
      <c r="F579">
        <v>15.272132874</v>
      </c>
      <c r="G579">
        <v>1340.6289062000001</v>
      </c>
      <c r="H579">
        <v>1338.1763916</v>
      </c>
      <c r="I579">
        <v>1320.5539550999999</v>
      </c>
      <c r="J579">
        <v>1315.9053954999999</v>
      </c>
      <c r="K579">
        <v>2750</v>
      </c>
      <c r="L579">
        <v>0</v>
      </c>
      <c r="M579">
        <v>0</v>
      </c>
      <c r="N579">
        <v>2750</v>
      </c>
    </row>
    <row r="580" spans="1:14" x14ac:dyDescent="0.25">
      <c r="A580">
        <v>93.703182999999996</v>
      </c>
      <c r="B580" s="1">
        <f>DATE(2010,8,2) + TIME(16,52,34)</f>
        <v>40392.7031712963</v>
      </c>
      <c r="C580">
        <v>80</v>
      </c>
      <c r="D580">
        <v>79.950416564999998</v>
      </c>
      <c r="E580">
        <v>40</v>
      </c>
      <c r="F580">
        <v>15.291129112</v>
      </c>
      <c r="G580">
        <v>1340.6259766000001</v>
      </c>
      <c r="H580">
        <v>1338.1740723</v>
      </c>
      <c r="I580">
        <v>1320.5578613</v>
      </c>
      <c r="J580">
        <v>1315.9080810999999</v>
      </c>
      <c r="K580">
        <v>2750</v>
      </c>
      <c r="L580">
        <v>0</v>
      </c>
      <c r="M580">
        <v>0</v>
      </c>
      <c r="N580">
        <v>2750</v>
      </c>
    </row>
    <row r="581" spans="1:14" x14ac:dyDescent="0.25">
      <c r="A581">
        <v>93.987046000000007</v>
      </c>
      <c r="B581" s="1">
        <f>DATE(2010,8,2) + TIME(23,41,20)</f>
        <v>40392.987037037034</v>
      </c>
      <c r="C581">
        <v>80</v>
      </c>
      <c r="D581">
        <v>79.950424193999993</v>
      </c>
      <c r="E581">
        <v>40</v>
      </c>
      <c r="F581">
        <v>15.311118126</v>
      </c>
      <c r="G581">
        <v>1340.6230469</v>
      </c>
      <c r="H581">
        <v>1338.1717529</v>
      </c>
      <c r="I581">
        <v>1320.5617675999999</v>
      </c>
      <c r="J581">
        <v>1315.9107666</v>
      </c>
      <c r="K581">
        <v>2750</v>
      </c>
      <c r="L581">
        <v>0</v>
      </c>
      <c r="M581">
        <v>0</v>
      </c>
      <c r="N581">
        <v>2750</v>
      </c>
    </row>
    <row r="582" spans="1:14" x14ac:dyDescent="0.25">
      <c r="A582">
        <v>94.270910000000001</v>
      </c>
      <c r="B582" s="1">
        <f>DATE(2010,8,3) + TIME(6,30,6)</f>
        <v>40393.270902777775</v>
      </c>
      <c r="C582">
        <v>80</v>
      </c>
      <c r="D582">
        <v>79.950439453000001</v>
      </c>
      <c r="E582">
        <v>40</v>
      </c>
      <c r="F582">
        <v>15.332200050000001</v>
      </c>
      <c r="G582">
        <v>1340.6201172000001</v>
      </c>
      <c r="H582">
        <v>1338.1694336</v>
      </c>
      <c r="I582">
        <v>1320.5657959</v>
      </c>
      <c r="J582">
        <v>1315.9135742000001</v>
      </c>
      <c r="K582">
        <v>2750</v>
      </c>
      <c r="L582">
        <v>0</v>
      </c>
      <c r="M582">
        <v>0</v>
      </c>
      <c r="N582">
        <v>2750</v>
      </c>
    </row>
    <row r="583" spans="1:14" x14ac:dyDescent="0.25">
      <c r="A583">
        <v>94.838638000000003</v>
      </c>
      <c r="B583" s="1">
        <f>DATE(2010,8,3) + TIME(20,7,38)</f>
        <v>40393.838634259257</v>
      </c>
      <c r="C583">
        <v>80</v>
      </c>
      <c r="D583">
        <v>79.950469971000004</v>
      </c>
      <c r="E583">
        <v>40</v>
      </c>
      <c r="F583">
        <v>15.367067337</v>
      </c>
      <c r="G583">
        <v>1340.6173096</v>
      </c>
      <c r="H583">
        <v>1338.1672363</v>
      </c>
      <c r="I583">
        <v>1320.5690918</v>
      </c>
      <c r="J583">
        <v>1315.9165039</v>
      </c>
      <c r="K583">
        <v>2750</v>
      </c>
      <c r="L583">
        <v>0</v>
      </c>
      <c r="M583">
        <v>0</v>
      </c>
      <c r="N583">
        <v>2750</v>
      </c>
    </row>
    <row r="584" spans="1:14" x14ac:dyDescent="0.25">
      <c r="A584">
        <v>95.407240999999999</v>
      </c>
      <c r="B584" s="1">
        <f>DATE(2010,8,4) + TIME(9,46,25)</f>
        <v>40394.407233796293</v>
      </c>
      <c r="C584">
        <v>80</v>
      </c>
      <c r="D584">
        <v>79.950492858999993</v>
      </c>
      <c r="E584">
        <v>40</v>
      </c>
      <c r="F584">
        <v>15.410177231</v>
      </c>
      <c r="G584">
        <v>1340.6115723</v>
      </c>
      <c r="H584">
        <v>1338.1625977000001</v>
      </c>
      <c r="I584">
        <v>1320.5775146000001</v>
      </c>
      <c r="J584">
        <v>1315.9222411999999</v>
      </c>
      <c r="K584">
        <v>2750</v>
      </c>
      <c r="L584">
        <v>0</v>
      </c>
      <c r="M584">
        <v>0</v>
      </c>
      <c r="N584">
        <v>2750</v>
      </c>
    </row>
    <row r="585" spans="1:14" x14ac:dyDescent="0.25">
      <c r="A585">
        <v>95.984855999999994</v>
      </c>
      <c r="B585" s="1">
        <f>DATE(2010,8,4) + TIME(23,38,11)</f>
        <v>40394.984849537039</v>
      </c>
      <c r="C585">
        <v>80</v>
      </c>
      <c r="D585">
        <v>79.950523376000007</v>
      </c>
      <c r="E585">
        <v>40</v>
      </c>
      <c r="F585">
        <v>15.461183547999999</v>
      </c>
      <c r="G585">
        <v>1340.605957</v>
      </c>
      <c r="H585">
        <v>1338.1579589999999</v>
      </c>
      <c r="I585">
        <v>1320.5860596</v>
      </c>
      <c r="J585">
        <v>1315.9282227000001</v>
      </c>
      <c r="K585">
        <v>2750</v>
      </c>
      <c r="L585">
        <v>0</v>
      </c>
      <c r="M585">
        <v>0</v>
      </c>
      <c r="N585">
        <v>2750</v>
      </c>
    </row>
    <row r="586" spans="1:14" x14ac:dyDescent="0.25">
      <c r="A586">
        <v>96.565209999999993</v>
      </c>
      <c r="B586" s="1">
        <f>DATE(2010,8,5) + TIME(13,33,54)</f>
        <v>40395.565208333333</v>
      </c>
      <c r="C586">
        <v>80</v>
      </c>
      <c r="D586">
        <v>79.950546265</v>
      </c>
      <c r="E586">
        <v>40</v>
      </c>
      <c r="F586">
        <v>15.519965171999999</v>
      </c>
      <c r="G586">
        <v>1340.6000977000001</v>
      </c>
      <c r="H586">
        <v>1338.1533202999999</v>
      </c>
      <c r="I586">
        <v>1320.5948486</v>
      </c>
      <c r="J586">
        <v>1315.9346923999999</v>
      </c>
      <c r="K586">
        <v>2750</v>
      </c>
      <c r="L586">
        <v>0</v>
      </c>
      <c r="M586">
        <v>0</v>
      </c>
      <c r="N586">
        <v>2750</v>
      </c>
    </row>
    <row r="587" spans="1:14" x14ac:dyDescent="0.25">
      <c r="A587">
        <v>96.856900999999993</v>
      </c>
      <c r="B587" s="1">
        <f>DATE(2010,8,5) + TIME(20,33,56)</f>
        <v>40395.856898148151</v>
      </c>
      <c r="C587">
        <v>80</v>
      </c>
      <c r="D587">
        <v>79.950553893999995</v>
      </c>
      <c r="E587">
        <v>40</v>
      </c>
      <c r="F587">
        <v>15.562935829000001</v>
      </c>
      <c r="G587">
        <v>1340.5943603999999</v>
      </c>
      <c r="H587">
        <v>1338.1485596</v>
      </c>
      <c r="I587">
        <v>1320.6053466999999</v>
      </c>
      <c r="J587">
        <v>1315.9410399999999</v>
      </c>
      <c r="K587">
        <v>2750</v>
      </c>
      <c r="L587">
        <v>0</v>
      </c>
      <c r="M587">
        <v>0</v>
      </c>
      <c r="N587">
        <v>2750</v>
      </c>
    </row>
    <row r="588" spans="1:14" x14ac:dyDescent="0.25">
      <c r="A588">
        <v>97.148591999999994</v>
      </c>
      <c r="B588" s="1">
        <f>DATE(2010,8,6) + TIME(3,33,58)</f>
        <v>40396.148587962962</v>
      </c>
      <c r="C588">
        <v>80</v>
      </c>
      <c r="D588">
        <v>79.950569153000004</v>
      </c>
      <c r="E588">
        <v>40</v>
      </c>
      <c r="F588">
        <v>15.60591507</v>
      </c>
      <c r="G588">
        <v>1340.5914307</v>
      </c>
      <c r="H588">
        <v>1338.1462402</v>
      </c>
      <c r="I588">
        <v>1320.6097411999999</v>
      </c>
      <c r="J588">
        <v>1315.9448242000001</v>
      </c>
      <c r="K588">
        <v>2750</v>
      </c>
      <c r="L588">
        <v>0</v>
      </c>
      <c r="M588">
        <v>0</v>
      </c>
      <c r="N588">
        <v>2750</v>
      </c>
    </row>
    <row r="589" spans="1:14" x14ac:dyDescent="0.25">
      <c r="A589">
        <v>97.440282999999994</v>
      </c>
      <c r="B589" s="1">
        <f>DATE(2010,8,6) + TIME(10,34,0)</f>
        <v>40396.44027777778</v>
      </c>
      <c r="C589">
        <v>80</v>
      </c>
      <c r="D589">
        <v>79.950576781999999</v>
      </c>
      <c r="E589">
        <v>40</v>
      </c>
      <c r="F589">
        <v>15.649594306999999</v>
      </c>
      <c r="G589">
        <v>1340.588501</v>
      </c>
      <c r="H589">
        <v>1338.1439209</v>
      </c>
      <c r="I589">
        <v>1320.6142577999999</v>
      </c>
      <c r="J589">
        <v>1315.9486084</v>
      </c>
      <c r="K589">
        <v>2750</v>
      </c>
      <c r="L589">
        <v>0</v>
      </c>
      <c r="M589">
        <v>0</v>
      </c>
      <c r="N589">
        <v>2750</v>
      </c>
    </row>
    <row r="590" spans="1:14" x14ac:dyDescent="0.25">
      <c r="A590">
        <v>97.731973999999994</v>
      </c>
      <c r="B590" s="1">
        <f>DATE(2010,8,6) + TIME(17,34,2)</f>
        <v>40396.73196759259</v>
      </c>
      <c r="C590">
        <v>80</v>
      </c>
      <c r="D590">
        <v>79.950592040999993</v>
      </c>
      <c r="E590">
        <v>40</v>
      </c>
      <c r="F590">
        <v>15.694498061999999</v>
      </c>
      <c r="G590">
        <v>1340.5856934000001</v>
      </c>
      <c r="H590">
        <v>1338.1416016000001</v>
      </c>
      <c r="I590">
        <v>1320.6188964999999</v>
      </c>
      <c r="J590">
        <v>1315.9523925999999</v>
      </c>
      <c r="K590">
        <v>2750</v>
      </c>
      <c r="L590">
        <v>0</v>
      </c>
      <c r="M590">
        <v>0</v>
      </c>
      <c r="N590">
        <v>2750</v>
      </c>
    </row>
    <row r="591" spans="1:14" x14ac:dyDescent="0.25">
      <c r="A591">
        <v>98.023663999999997</v>
      </c>
      <c r="B591" s="1">
        <f>DATE(2010,8,7) + TIME(0,34,4)</f>
        <v>40397.023657407408</v>
      </c>
      <c r="C591">
        <v>80</v>
      </c>
      <c r="D591">
        <v>79.950599670000003</v>
      </c>
      <c r="E591">
        <v>40</v>
      </c>
      <c r="F591">
        <v>15.741036415</v>
      </c>
      <c r="G591">
        <v>1340.5827637</v>
      </c>
      <c r="H591">
        <v>1338.1392822</v>
      </c>
      <c r="I591">
        <v>1320.6236572</v>
      </c>
      <c r="J591">
        <v>1315.9564209</v>
      </c>
      <c r="K591">
        <v>2750</v>
      </c>
      <c r="L591">
        <v>0</v>
      </c>
      <c r="M591">
        <v>0</v>
      </c>
      <c r="N591">
        <v>2750</v>
      </c>
    </row>
    <row r="592" spans="1:14" x14ac:dyDescent="0.25">
      <c r="A592">
        <v>98.315354999999997</v>
      </c>
      <c r="B592" s="1">
        <f>DATE(2010,8,7) + TIME(7,34,6)</f>
        <v>40397.315347222226</v>
      </c>
      <c r="C592">
        <v>80</v>
      </c>
      <c r="D592">
        <v>79.950614928999997</v>
      </c>
      <c r="E592">
        <v>40</v>
      </c>
      <c r="F592">
        <v>15.789535522</v>
      </c>
      <c r="G592">
        <v>1340.5799560999999</v>
      </c>
      <c r="H592">
        <v>1338.1369629000001</v>
      </c>
      <c r="I592">
        <v>1320.6285399999999</v>
      </c>
      <c r="J592">
        <v>1315.9604492000001</v>
      </c>
      <c r="K592">
        <v>2750</v>
      </c>
      <c r="L592">
        <v>0</v>
      </c>
      <c r="M592">
        <v>0</v>
      </c>
      <c r="N592">
        <v>2750</v>
      </c>
    </row>
    <row r="593" spans="1:14" x14ac:dyDescent="0.25">
      <c r="A593">
        <v>98.607045999999997</v>
      </c>
      <c r="B593" s="1">
        <f>DATE(2010,8,7) + TIME(14,34,8)</f>
        <v>40397.607037037036</v>
      </c>
      <c r="C593">
        <v>80</v>
      </c>
      <c r="D593">
        <v>79.950630188000005</v>
      </c>
      <c r="E593">
        <v>40</v>
      </c>
      <c r="F593">
        <v>15.840264319999999</v>
      </c>
      <c r="G593">
        <v>1340.5770264</v>
      </c>
      <c r="H593">
        <v>1338.1346435999999</v>
      </c>
      <c r="I593">
        <v>1320.6334228999999</v>
      </c>
      <c r="J593">
        <v>1315.9644774999999</v>
      </c>
      <c r="K593">
        <v>2750</v>
      </c>
      <c r="L593">
        <v>0</v>
      </c>
      <c r="M593">
        <v>0</v>
      </c>
      <c r="N593">
        <v>2750</v>
      </c>
    </row>
    <row r="594" spans="1:14" x14ac:dyDescent="0.25">
      <c r="A594">
        <v>98.898736999999997</v>
      </c>
      <c r="B594" s="1">
        <f>DATE(2010,8,7) + TIME(21,34,10)</f>
        <v>40397.898726851854</v>
      </c>
      <c r="C594">
        <v>80</v>
      </c>
      <c r="D594">
        <v>79.950637817</v>
      </c>
      <c r="E594">
        <v>40</v>
      </c>
      <c r="F594">
        <v>15.893451690999999</v>
      </c>
      <c r="G594">
        <v>1340.5742187999999</v>
      </c>
      <c r="H594">
        <v>1338.1323242000001</v>
      </c>
      <c r="I594">
        <v>1320.6383057</v>
      </c>
      <c r="J594">
        <v>1315.96875</v>
      </c>
      <c r="K594">
        <v>2750</v>
      </c>
      <c r="L594">
        <v>0</v>
      </c>
      <c r="M594">
        <v>0</v>
      </c>
      <c r="N594">
        <v>2750</v>
      </c>
    </row>
    <row r="595" spans="1:14" x14ac:dyDescent="0.25">
      <c r="A595">
        <v>99.190427999999997</v>
      </c>
      <c r="B595" s="1">
        <f>DATE(2010,8,8) + TIME(4,34,12)</f>
        <v>40398.190416666665</v>
      </c>
      <c r="C595">
        <v>80</v>
      </c>
      <c r="D595">
        <v>79.950653075999995</v>
      </c>
      <c r="E595">
        <v>40</v>
      </c>
      <c r="F595">
        <v>15.94929409</v>
      </c>
      <c r="G595">
        <v>1340.5714111</v>
      </c>
      <c r="H595">
        <v>1338.1300048999999</v>
      </c>
      <c r="I595">
        <v>1320.6433105000001</v>
      </c>
      <c r="J595">
        <v>1315.9731445</v>
      </c>
      <c r="K595">
        <v>2750</v>
      </c>
      <c r="L595">
        <v>0</v>
      </c>
      <c r="M595">
        <v>0</v>
      </c>
      <c r="N595">
        <v>2750</v>
      </c>
    </row>
    <row r="596" spans="1:14" x14ac:dyDescent="0.25">
      <c r="A596">
        <v>99.482118</v>
      </c>
      <c r="B596" s="1">
        <f>DATE(2010,8,8) + TIME(11,34,15)</f>
        <v>40398.482118055559</v>
      </c>
      <c r="C596">
        <v>80</v>
      </c>
      <c r="D596">
        <v>79.950668335000003</v>
      </c>
      <c r="E596">
        <v>40</v>
      </c>
      <c r="F596">
        <v>16.007968902999998</v>
      </c>
      <c r="G596">
        <v>1340.5684814000001</v>
      </c>
      <c r="H596">
        <v>1338.1276855000001</v>
      </c>
      <c r="I596">
        <v>1320.6484375</v>
      </c>
      <c r="J596">
        <v>1315.9775391000001</v>
      </c>
      <c r="K596">
        <v>2750</v>
      </c>
      <c r="L596">
        <v>0</v>
      </c>
      <c r="M596">
        <v>0</v>
      </c>
      <c r="N596">
        <v>2750</v>
      </c>
    </row>
    <row r="597" spans="1:14" x14ac:dyDescent="0.25">
      <c r="A597">
        <v>99.773809</v>
      </c>
      <c r="B597" s="1">
        <f>DATE(2010,8,8) + TIME(18,34,17)</f>
        <v>40398.77380787037</v>
      </c>
      <c r="C597">
        <v>80</v>
      </c>
      <c r="D597">
        <v>79.950675963999998</v>
      </c>
      <c r="E597">
        <v>40</v>
      </c>
      <c r="F597">
        <v>16.069635390999998</v>
      </c>
      <c r="G597">
        <v>1340.5656738</v>
      </c>
      <c r="H597">
        <v>1338.1253661999999</v>
      </c>
      <c r="I597">
        <v>1320.6534423999999</v>
      </c>
      <c r="J597">
        <v>1315.9821777</v>
      </c>
      <c r="K597">
        <v>2750</v>
      </c>
      <c r="L597">
        <v>0</v>
      </c>
      <c r="M597">
        <v>0</v>
      </c>
      <c r="N597">
        <v>2750</v>
      </c>
    </row>
    <row r="598" spans="1:14" x14ac:dyDescent="0.25">
      <c r="A598">
        <v>100.06522200000001</v>
      </c>
      <c r="B598" s="1">
        <f>DATE(2010,8,9) + TIME(1,33,55)</f>
        <v>40399.06521990741</v>
      </c>
      <c r="C598">
        <v>80</v>
      </c>
      <c r="D598">
        <v>79.950691223000007</v>
      </c>
      <c r="E598">
        <v>40</v>
      </c>
      <c r="F598">
        <v>16.134405136000002</v>
      </c>
      <c r="G598">
        <v>1340.5628661999999</v>
      </c>
      <c r="H598">
        <v>1338.1230469</v>
      </c>
      <c r="I598">
        <v>1320.6586914</v>
      </c>
      <c r="J598">
        <v>1315.9868164</v>
      </c>
      <c r="K598">
        <v>2750</v>
      </c>
      <c r="L598">
        <v>0</v>
      </c>
      <c r="M598">
        <v>0</v>
      </c>
      <c r="N598">
        <v>2750</v>
      </c>
    </row>
    <row r="599" spans="1:14" x14ac:dyDescent="0.25">
      <c r="A599">
        <v>100.35615900000001</v>
      </c>
      <c r="B599" s="1">
        <f>DATE(2010,8,9) + TIME(8,32,52)</f>
        <v>40399.356157407405</v>
      </c>
      <c r="C599">
        <v>80</v>
      </c>
      <c r="D599">
        <v>79.950706482000001</v>
      </c>
      <c r="E599">
        <v>40</v>
      </c>
      <c r="F599">
        <v>16.202369690000001</v>
      </c>
      <c r="G599">
        <v>1340.5600586</v>
      </c>
      <c r="H599">
        <v>1338.1208495999999</v>
      </c>
      <c r="I599">
        <v>1320.6638184000001</v>
      </c>
      <c r="J599">
        <v>1315.9916992000001</v>
      </c>
      <c r="K599">
        <v>2750</v>
      </c>
      <c r="L599">
        <v>0</v>
      </c>
      <c r="M599">
        <v>0</v>
      </c>
      <c r="N599">
        <v>2750</v>
      </c>
    </row>
    <row r="600" spans="1:14" x14ac:dyDescent="0.25">
      <c r="A600">
        <v>100.646772</v>
      </c>
      <c r="B600" s="1">
        <f>DATE(2010,8,9) + TIME(15,31,21)</f>
        <v>40399.646770833337</v>
      </c>
      <c r="C600">
        <v>80</v>
      </c>
      <c r="D600">
        <v>79.950714110999996</v>
      </c>
      <c r="E600">
        <v>40</v>
      </c>
      <c r="F600">
        <v>16.273672103999999</v>
      </c>
      <c r="G600">
        <v>1340.557251</v>
      </c>
      <c r="H600">
        <v>1338.1185303</v>
      </c>
      <c r="I600">
        <v>1320.6689452999999</v>
      </c>
      <c r="J600">
        <v>1315.996582</v>
      </c>
      <c r="K600">
        <v>2750</v>
      </c>
      <c r="L600">
        <v>0</v>
      </c>
      <c r="M600">
        <v>0</v>
      </c>
      <c r="N600">
        <v>2750</v>
      </c>
    </row>
    <row r="601" spans="1:14" x14ac:dyDescent="0.25">
      <c r="A601">
        <v>101.227621</v>
      </c>
      <c r="B601" s="1">
        <f>DATE(2010,8,10) + TIME(5,27,46)</f>
        <v>40400.22761574074</v>
      </c>
      <c r="C601">
        <v>80</v>
      </c>
      <c r="D601">
        <v>79.950752257999994</v>
      </c>
      <c r="E601">
        <v>40</v>
      </c>
      <c r="F601">
        <v>16.389715195000001</v>
      </c>
      <c r="G601">
        <v>1340.5545654</v>
      </c>
      <c r="H601">
        <v>1338.1163329999999</v>
      </c>
      <c r="I601">
        <v>1320.671875</v>
      </c>
      <c r="J601">
        <v>1316.0023193</v>
      </c>
      <c r="K601">
        <v>2750</v>
      </c>
      <c r="L601">
        <v>0</v>
      </c>
      <c r="M601">
        <v>0</v>
      </c>
      <c r="N601">
        <v>2750</v>
      </c>
    </row>
    <row r="602" spans="1:14" x14ac:dyDescent="0.25">
      <c r="A602">
        <v>101.810794</v>
      </c>
      <c r="B602" s="1">
        <f>DATE(2010,8,10) + TIME(19,27,32)</f>
        <v>40400.810787037037</v>
      </c>
      <c r="C602">
        <v>80</v>
      </c>
      <c r="D602">
        <v>79.950775145999998</v>
      </c>
      <c r="E602">
        <v>40</v>
      </c>
      <c r="F602">
        <v>16.532461166000001</v>
      </c>
      <c r="G602">
        <v>1340.5489502</v>
      </c>
      <c r="H602">
        <v>1338.1118164</v>
      </c>
      <c r="I602">
        <v>1320.6829834</v>
      </c>
      <c r="J602">
        <v>1316.0123291</v>
      </c>
      <c r="K602">
        <v>2750</v>
      </c>
      <c r="L602">
        <v>0</v>
      </c>
      <c r="M602">
        <v>0</v>
      </c>
      <c r="N602">
        <v>2750</v>
      </c>
    </row>
    <row r="603" spans="1:14" x14ac:dyDescent="0.25">
      <c r="A603">
        <v>102.408384</v>
      </c>
      <c r="B603" s="1">
        <f>DATE(2010,8,11) + TIME(9,48,4)</f>
        <v>40401.408379629633</v>
      </c>
      <c r="C603">
        <v>80</v>
      </c>
      <c r="D603">
        <v>79.950805664000001</v>
      </c>
      <c r="E603">
        <v>40</v>
      </c>
      <c r="F603">
        <v>16.699602126999999</v>
      </c>
      <c r="G603">
        <v>1340.543457</v>
      </c>
      <c r="H603">
        <v>1338.1071777</v>
      </c>
      <c r="I603">
        <v>1320.6937256000001</v>
      </c>
      <c r="J603">
        <v>1316.0230713000001</v>
      </c>
      <c r="K603">
        <v>2750</v>
      </c>
      <c r="L603">
        <v>0</v>
      </c>
      <c r="M603">
        <v>0</v>
      </c>
      <c r="N603">
        <v>2750</v>
      </c>
    </row>
    <row r="604" spans="1:14" x14ac:dyDescent="0.25">
      <c r="A604">
        <v>102.709458</v>
      </c>
      <c r="B604" s="1">
        <f>DATE(2010,8,11) + TIME(17,1,37)</f>
        <v>40401.709456018521</v>
      </c>
      <c r="C604">
        <v>80</v>
      </c>
      <c r="D604">
        <v>79.950813292999996</v>
      </c>
      <c r="E604">
        <v>40</v>
      </c>
      <c r="F604">
        <v>16.822729111000001</v>
      </c>
      <c r="G604">
        <v>1340.5377197</v>
      </c>
      <c r="H604">
        <v>1338.1025391000001</v>
      </c>
      <c r="I604">
        <v>1320.708374</v>
      </c>
      <c r="J604">
        <v>1316.0338135</v>
      </c>
      <c r="K604">
        <v>2750</v>
      </c>
      <c r="L604">
        <v>0</v>
      </c>
      <c r="M604">
        <v>0</v>
      </c>
      <c r="N604">
        <v>2750</v>
      </c>
    </row>
    <row r="605" spans="1:14" x14ac:dyDescent="0.25">
      <c r="A605">
        <v>103.282341</v>
      </c>
      <c r="B605" s="1">
        <f>DATE(2010,8,12) + TIME(6,46,34)</f>
        <v>40402.282337962963</v>
      </c>
      <c r="C605">
        <v>80</v>
      </c>
      <c r="D605">
        <v>79.950843810999999</v>
      </c>
      <c r="E605">
        <v>40</v>
      </c>
      <c r="F605">
        <v>17.004436493</v>
      </c>
      <c r="G605">
        <v>1340.5349120999999</v>
      </c>
      <c r="H605">
        <v>1338.1002197</v>
      </c>
      <c r="I605">
        <v>1320.7097168</v>
      </c>
      <c r="J605">
        <v>1316.0413818</v>
      </c>
      <c r="K605">
        <v>2750</v>
      </c>
      <c r="L605">
        <v>0</v>
      </c>
      <c r="M605">
        <v>0</v>
      </c>
      <c r="N605">
        <v>2750</v>
      </c>
    </row>
    <row r="606" spans="1:14" x14ac:dyDescent="0.25">
      <c r="A606">
        <v>103.87455199999999</v>
      </c>
      <c r="B606" s="1">
        <f>DATE(2010,8,12) + TIME(20,59,21)</f>
        <v>40402.874548611115</v>
      </c>
      <c r="C606">
        <v>80</v>
      </c>
      <c r="D606">
        <v>79.950874329000001</v>
      </c>
      <c r="E606">
        <v>40</v>
      </c>
      <c r="F606">
        <v>17.212629318000001</v>
      </c>
      <c r="G606">
        <v>1340.5295410000001</v>
      </c>
      <c r="H606">
        <v>1338.0958252</v>
      </c>
      <c r="I606">
        <v>1320.7202147999999</v>
      </c>
      <c r="J606">
        <v>1316.0534668</v>
      </c>
      <c r="K606">
        <v>2750</v>
      </c>
      <c r="L606">
        <v>0</v>
      </c>
      <c r="M606">
        <v>0</v>
      </c>
      <c r="N606">
        <v>2750</v>
      </c>
    </row>
    <row r="607" spans="1:14" x14ac:dyDescent="0.25">
      <c r="A607">
        <v>104.46729000000001</v>
      </c>
      <c r="B607" s="1">
        <f>DATE(2010,8,13) + TIME(11,12,53)</f>
        <v>40403.467280092591</v>
      </c>
      <c r="C607">
        <v>80</v>
      </c>
      <c r="D607">
        <v>79.950904846</v>
      </c>
      <c r="E607">
        <v>40</v>
      </c>
      <c r="F607">
        <v>17.444257736000001</v>
      </c>
      <c r="G607">
        <v>1340.5239257999999</v>
      </c>
      <c r="H607">
        <v>1338.0913086</v>
      </c>
      <c r="I607">
        <v>1320.7310791</v>
      </c>
      <c r="J607">
        <v>1316.0666504000001</v>
      </c>
      <c r="K607">
        <v>2750</v>
      </c>
      <c r="L607">
        <v>0</v>
      </c>
      <c r="M607">
        <v>0</v>
      </c>
      <c r="N607">
        <v>2750</v>
      </c>
    </row>
    <row r="608" spans="1:14" x14ac:dyDescent="0.25">
      <c r="A608">
        <v>105.06329700000001</v>
      </c>
      <c r="B608" s="1">
        <f>DATE(2010,8,14) + TIME(1,31,8)</f>
        <v>40404.063287037039</v>
      </c>
      <c r="C608">
        <v>80</v>
      </c>
      <c r="D608">
        <v>79.950927734000004</v>
      </c>
      <c r="E608">
        <v>40</v>
      </c>
      <c r="F608">
        <v>17.698213577000001</v>
      </c>
      <c r="G608">
        <v>1340.5184326000001</v>
      </c>
      <c r="H608">
        <v>1338.0867920000001</v>
      </c>
      <c r="I608">
        <v>1320.7416992000001</v>
      </c>
      <c r="J608">
        <v>1316.0805664</v>
      </c>
      <c r="K608">
        <v>2750</v>
      </c>
      <c r="L608">
        <v>0</v>
      </c>
      <c r="M608">
        <v>0</v>
      </c>
      <c r="N608">
        <v>2750</v>
      </c>
    </row>
    <row r="609" spans="1:14" x14ac:dyDescent="0.25">
      <c r="A609">
        <v>105.362314</v>
      </c>
      <c r="B609" s="1">
        <f>DATE(2010,8,14) + TIME(8,41,43)</f>
        <v>40404.362303240741</v>
      </c>
      <c r="C609">
        <v>80</v>
      </c>
      <c r="D609">
        <v>79.950935364000003</v>
      </c>
      <c r="E609">
        <v>40</v>
      </c>
      <c r="F609">
        <v>17.877923965000001</v>
      </c>
      <c r="G609">
        <v>1340.5128173999999</v>
      </c>
      <c r="H609">
        <v>1338.0821533000001</v>
      </c>
      <c r="I609">
        <v>1320.7576904</v>
      </c>
      <c r="J609">
        <v>1316.09375</v>
      </c>
      <c r="K609">
        <v>2750</v>
      </c>
      <c r="L609">
        <v>0</v>
      </c>
      <c r="M609">
        <v>0</v>
      </c>
      <c r="N609">
        <v>2750</v>
      </c>
    </row>
    <row r="610" spans="1:14" x14ac:dyDescent="0.25">
      <c r="A610">
        <v>105.661331</v>
      </c>
      <c r="B610" s="1">
        <f>DATE(2010,8,14) + TIME(15,52,18)</f>
        <v>40404.661319444444</v>
      </c>
      <c r="C610">
        <v>80</v>
      </c>
      <c r="D610">
        <v>79.950950622999997</v>
      </c>
      <c r="E610">
        <v>40</v>
      </c>
      <c r="F610">
        <v>18.051750182999999</v>
      </c>
      <c r="G610">
        <v>1340.5100098</v>
      </c>
      <c r="H610">
        <v>1338.0799560999999</v>
      </c>
      <c r="I610">
        <v>1320.7617187999999</v>
      </c>
      <c r="J610">
        <v>1316.1021728999999</v>
      </c>
      <c r="K610">
        <v>2750</v>
      </c>
      <c r="L610">
        <v>0</v>
      </c>
      <c r="M610">
        <v>0</v>
      </c>
      <c r="N610">
        <v>2750</v>
      </c>
    </row>
    <row r="611" spans="1:14" x14ac:dyDescent="0.25">
      <c r="A611">
        <v>105.960348</v>
      </c>
      <c r="B611" s="1">
        <f>DATE(2010,8,14) + TIME(23,2,54)</f>
        <v>40404.960347222222</v>
      </c>
      <c r="C611">
        <v>80</v>
      </c>
      <c r="D611">
        <v>79.950965881000002</v>
      </c>
      <c r="E611">
        <v>40</v>
      </c>
      <c r="F611">
        <v>18.223644257</v>
      </c>
      <c r="G611">
        <v>1340.5073242000001</v>
      </c>
      <c r="H611">
        <v>1338.0776367000001</v>
      </c>
      <c r="I611">
        <v>1320.7662353999999</v>
      </c>
      <c r="J611">
        <v>1316.1104736</v>
      </c>
      <c r="K611">
        <v>2750</v>
      </c>
      <c r="L611">
        <v>0</v>
      </c>
      <c r="M611">
        <v>0</v>
      </c>
      <c r="N611">
        <v>2750</v>
      </c>
    </row>
    <row r="612" spans="1:14" x14ac:dyDescent="0.25">
      <c r="A612">
        <v>106.259365</v>
      </c>
      <c r="B612" s="1">
        <f>DATE(2010,8,15) + TIME(6,13,29)</f>
        <v>40405.259363425925</v>
      </c>
      <c r="C612">
        <v>80</v>
      </c>
      <c r="D612">
        <v>79.950973511000001</v>
      </c>
      <c r="E612">
        <v>40</v>
      </c>
      <c r="F612">
        <v>18.396112442</v>
      </c>
      <c r="G612">
        <v>1340.5045166</v>
      </c>
      <c r="H612">
        <v>1338.0754394999999</v>
      </c>
      <c r="I612">
        <v>1320.770874</v>
      </c>
      <c r="J612">
        <v>1316.1188964999999</v>
      </c>
      <c r="K612">
        <v>2750</v>
      </c>
      <c r="L612">
        <v>0</v>
      </c>
      <c r="M612">
        <v>0</v>
      </c>
      <c r="N612">
        <v>2750</v>
      </c>
    </row>
    <row r="613" spans="1:14" x14ac:dyDescent="0.25">
      <c r="A613">
        <v>106.55838199999999</v>
      </c>
      <c r="B613" s="1">
        <f>DATE(2010,8,15) + TIME(13,24,4)</f>
        <v>40405.558379629627</v>
      </c>
      <c r="C613">
        <v>80</v>
      </c>
      <c r="D613">
        <v>79.950988769999995</v>
      </c>
      <c r="E613">
        <v>40</v>
      </c>
      <c r="F613">
        <v>18.570705413999999</v>
      </c>
      <c r="G613">
        <v>1340.5017089999999</v>
      </c>
      <c r="H613">
        <v>1338.0731201000001</v>
      </c>
      <c r="I613">
        <v>1320.7756348</v>
      </c>
      <c r="J613">
        <v>1316.1273193</v>
      </c>
      <c r="K613">
        <v>2750</v>
      </c>
      <c r="L613">
        <v>0</v>
      </c>
      <c r="M613">
        <v>0</v>
      </c>
      <c r="N613">
        <v>2750</v>
      </c>
    </row>
    <row r="614" spans="1:14" x14ac:dyDescent="0.25">
      <c r="A614">
        <v>106.857399</v>
      </c>
      <c r="B614" s="1">
        <f>DATE(2010,8,15) + TIME(20,34,39)</f>
        <v>40405.857395833336</v>
      </c>
      <c r="C614">
        <v>80</v>
      </c>
      <c r="D614">
        <v>79.951004028</v>
      </c>
      <c r="E614">
        <v>40</v>
      </c>
      <c r="F614">
        <v>18.748338699000001</v>
      </c>
      <c r="G614">
        <v>1340.4990233999999</v>
      </c>
      <c r="H614">
        <v>1338.0709228999999</v>
      </c>
      <c r="I614">
        <v>1320.7803954999999</v>
      </c>
      <c r="J614">
        <v>1316.1359863</v>
      </c>
      <c r="K614">
        <v>2750</v>
      </c>
      <c r="L614">
        <v>0</v>
      </c>
      <c r="M614">
        <v>0</v>
      </c>
      <c r="N614">
        <v>2750</v>
      </c>
    </row>
    <row r="615" spans="1:14" x14ac:dyDescent="0.25">
      <c r="A615">
        <v>107.15641599999999</v>
      </c>
      <c r="B615" s="1">
        <f>DATE(2010,8,16) + TIME(3,45,14)</f>
        <v>40406.156412037039</v>
      </c>
      <c r="C615">
        <v>80</v>
      </c>
      <c r="D615">
        <v>79.951019286999994</v>
      </c>
      <c r="E615">
        <v>40</v>
      </c>
      <c r="F615">
        <v>18.929521561000001</v>
      </c>
      <c r="G615">
        <v>1340.4963379000001</v>
      </c>
      <c r="H615">
        <v>1338.0686035000001</v>
      </c>
      <c r="I615">
        <v>1320.7851562000001</v>
      </c>
      <c r="J615">
        <v>1316.1447754000001</v>
      </c>
      <c r="K615">
        <v>2750</v>
      </c>
      <c r="L615">
        <v>0</v>
      </c>
      <c r="M615">
        <v>0</v>
      </c>
      <c r="N615">
        <v>2750</v>
      </c>
    </row>
    <row r="616" spans="1:14" x14ac:dyDescent="0.25">
      <c r="A616">
        <v>107.455432</v>
      </c>
      <c r="B616" s="1">
        <f>DATE(2010,8,16) + TIME(10,55,49)</f>
        <v>40406.455428240741</v>
      </c>
      <c r="C616">
        <v>80</v>
      </c>
      <c r="D616">
        <v>79.951026916999993</v>
      </c>
      <c r="E616">
        <v>40</v>
      </c>
      <c r="F616">
        <v>19.114475250000002</v>
      </c>
      <c r="G616">
        <v>1340.4935303</v>
      </c>
      <c r="H616">
        <v>1338.0664062000001</v>
      </c>
      <c r="I616">
        <v>1320.7897949000001</v>
      </c>
      <c r="J616">
        <v>1316.1535644999999</v>
      </c>
      <c r="K616">
        <v>2750</v>
      </c>
      <c r="L616">
        <v>0</v>
      </c>
      <c r="M616">
        <v>0</v>
      </c>
      <c r="N616">
        <v>2750</v>
      </c>
    </row>
    <row r="617" spans="1:14" x14ac:dyDescent="0.25">
      <c r="A617">
        <v>107.75444899999999</v>
      </c>
      <c r="B617" s="1">
        <f>DATE(2010,8,16) + TIME(18,6,24)</f>
        <v>40406.754444444443</v>
      </c>
      <c r="C617">
        <v>80</v>
      </c>
      <c r="D617">
        <v>79.951042174999998</v>
      </c>
      <c r="E617">
        <v>40</v>
      </c>
      <c r="F617">
        <v>19.303300858</v>
      </c>
      <c r="G617">
        <v>1340.4908447</v>
      </c>
      <c r="H617">
        <v>1338.0642089999999</v>
      </c>
      <c r="I617">
        <v>1320.7945557</v>
      </c>
      <c r="J617">
        <v>1316.1625977000001</v>
      </c>
      <c r="K617">
        <v>2750</v>
      </c>
      <c r="L617">
        <v>0</v>
      </c>
      <c r="M617">
        <v>0</v>
      </c>
      <c r="N617">
        <v>2750</v>
      </c>
    </row>
    <row r="618" spans="1:14" x14ac:dyDescent="0.25">
      <c r="A618">
        <v>108.053466</v>
      </c>
      <c r="B618" s="1">
        <f>DATE(2010,8,17) + TIME(1,16,59)</f>
        <v>40407.053460648145</v>
      </c>
      <c r="C618">
        <v>80</v>
      </c>
      <c r="D618">
        <v>79.951057434000006</v>
      </c>
      <c r="E618">
        <v>40</v>
      </c>
      <c r="F618">
        <v>19.496011734</v>
      </c>
      <c r="G618">
        <v>1340.4881591999999</v>
      </c>
      <c r="H618">
        <v>1338.0618896000001</v>
      </c>
      <c r="I618">
        <v>1320.7991943</v>
      </c>
      <c r="J618">
        <v>1316.1717529</v>
      </c>
      <c r="K618">
        <v>2750</v>
      </c>
      <c r="L618">
        <v>0</v>
      </c>
      <c r="M618">
        <v>0</v>
      </c>
      <c r="N618">
        <v>2750</v>
      </c>
    </row>
    <row r="619" spans="1:14" x14ac:dyDescent="0.25">
      <c r="A619">
        <v>108.35248300000001</v>
      </c>
      <c r="B619" s="1">
        <f>DATE(2010,8,17) + TIME(8,27,34)</f>
        <v>40407.352476851855</v>
      </c>
      <c r="C619">
        <v>80</v>
      </c>
      <c r="D619">
        <v>79.951072693</v>
      </c>
      <c r="E619">
        <v>40</v>
      </c>
      <c r="F619">
        <v>19.692558289000001</v>
      </c>
      <c r="G619">
        <v>1340.4854736</v>
      </c>
      <c r="H619">
        <v>1338.0596923999999</v>
      </c>
      <c r="I619">
        <v>1320.8039550999999</v>
      </c>
      <c r="J619">
        <v>1316.1810303</v>
      </c>
      <c r="K619">
        <v>2750</v>
      </c>
      <c r="L619">
        <v>0</v>
      </c>
      <c r="M619">
        <v>0</v>
      </c>
      <c r="N619">
        <v>2750</v>
      </c>
    </row>
    <row r="620" spans="1:14" x14ac:dyDescent="0.25">
      <c r="A620">
        <v>108.6515</v>
      </c>
      <c r="B620" s="1">
        <f>DATE(2010,8,17) + TIME(15,38,9)</f>
        <v>40407.651493055557</v>
      </c>
      <c r="C620">
        <v>80</v>
      </c>
      <c r="D620">
        <v>79.951087951999995</v>
      </c>
      <c r="E620">
        <v>40</v>
      </c>
      <c r="F620">
        <v>19.892860413000001</v>
      </c>
      <c r="G620">
        <v>1340.4826660000001</v>
      </c>
      <c r="H620">
        <v>1338.0574951000001</v>
      </c>
      <c r="I620">
        <v>1320.8084716999999</v>
      </c>
      <c r="J620">
        <v>1316.1904297000001</v>
      </c>
      <c r="K620">
        <v>2750</v>
      </c>
      <c r="L620">
        <v>0</v>
      </c>
      <c r="M620">
        <v>0</v>
      </c>
      <c r="N620">
        <v>2750</v>
      </c>
    </row>
    <row r="621" spans="1:14" x14ac:dyDescent="0.25">
      <c r="A621">
        <v>108.950517</v>
      </c>
      <c r="B621" s="1">
        <f>DATE(2010,8,17) + TIME(22,48,44)</f>
        <v>40407.950509259259</v>
      </c>
      <c r="C621">
        <v>80</v>
      </c>
      <c r="D621">
        <v>79.951103209999999</v>
      </c>
      <c r="E621">
        <v>40</v>
      </c>
      <c r="F621">
        <v>20.096939086999999</v>
      </c>
      <c r="G621">
        <v>1340.4799805</v>
      </c>
      <c r="H621">
        <v>1338.0552978999999</v>
      </c>
      <c r="I621">
        <v>1320.8131103999999</v>
      </c>
      <c r="J621">
        <v>1316.1999512</v>
      </c>
      <c r="K621">
        <v>2750</v>
      </c>
      <c r="L621">
        <v>0</v>
      </c>
      <c r="M621">
        <v>0</v>
      </c>
      <c r="N621">
        <v>2750</v>
      </c>
    </row>
    <row r="622" spans="1:14" x14ac:dyDescent="0.25">
      <c r="A622">
        <v>109.249534</v>
      </c>
      <c r="B622" s="1">
        <f>DATE(2010,8,18) + TIME(5,59,19)</f>
        <v>40408.249525462961</v>
      </c>
      <c r="C622">
        <v>80</v>
      </c>
      <c r="D622">
        <v>79.951118468999994</v>
      </c>
      <c r="E622">
        <v>40</v>
      </c>
      <c r="F622">
        <v>20.304725647000001</v>
      </c>
      <c r="G622">
        <v>1340.4772949000001</v>
      </c>
      <c r="H622">
        <v>1338.0531006000001</v>
      </c>
      <c r="I622">
        <v>1320.8176269999999</v>
      </c>
      <c r="J622">
        <v>1316.2095947</v>
      </c>
      <c r="K622">
        <v>2750</v>
      </c>
      <c r="L622">
        <v>0</v>
      </c>
      <c r="M622">
        <v>0</v>
      </c>
      <c r="N622">
        <v>2750</v>
      </c>
    </row>
    <row r="623" spans="1:14" x14ac:dyDescent="0.25">
      <c r="A623">
        <v>109.548551</v>
      </c>
      <c r="B623" s="1">
        <f>DATE(2010,8,18) + TIME(13,9,54)</f>
        <v>40408.548541666663</v>
      </c>
      <c r="C623">
        <v>80</v>
      </c>
      <c r="D623">
        <v>79.951126099000007</v>
      </c>
      <c r="E623">
        <v>40</v>
      </c>
      <c r="F623">
        <v>20.516002655000001</v>
      </c>
      <c r="G623">
        <v>1340.4747314000001</v>
      </c>
      <c r="H623">
        <v>1338.0509033000001</v>
      </c>
      <c r="I623">
        <v>1320.8221435999999</v>
      </c>
      <c r="J623">
        <v>1316.2193603999999</v>
      </c>
      <c r="K623">
        <v>2750</v>
      </c>
      <c r="L623">
        <v>0</v>
      </c>
      <c r="M623">
        <v>0</v>
      </c>
      <c r="N623">
        <v>2750</v>
      </c>
    </row>
    <row r="624" spans="1:14" x14ac:dyDescent="0.25">
      <c r="A624">
        <v>109.847568</v>
      </c>
      <c r="B624" s="1">
        <f>DATE(2010,8,18) + TIME(20,20,29)</f>
        <v>40408.847557870373</v>
      </c>
      <c r="C624">
        <v>80</v>
      </c>
      <c r="D624">
        <v>79.951141356999997</v>
      </c>
      <c r="E624">
        <v>40</v>
      </c>
      <c r="F624">
        <v>20.730648040999998</v>
      </c>
      <c r="G624">
        <v>1340.4720459</v>
      </c>
      <c r="H624">
        <v>1338.0487060999999</v>
      </c>
      <c r="I624">
        <v>1320.8265381000001</v>
      </c>
      <c r="J624">
        <v>1316.229126</v>
      </c>
      <c r="K624">
        <v>2750</v>
      </c>
      <c r="L624">
        <v>0</v>
      </c>
      <c r="M624">
        <v>0</v>
      </c>
      <c r="N624">
        <v>2750</v>
      </c>
    </row>
    <row r="625" spans="1:14" x14ac:dyDescent="0.25">
      <c r="A625">
        <v>110.146585</v>
      </c>
      <c r="B625" s="1">
        <f>DATE(2010,8,19) + TIME(3,31,4)</f>
        <v>40409.146574074075</v>
      </c>
      <c r="C625">
        <v>80</v>
      </c>
      <c r="D625">
        <v>79.951156616000006</v>
      </c>
      <c r="E625">
        <v>40</v>
      </c>
      <c r="F625">
        <v>20.948537826999999</v>
      </c>
      <c r="G625">
        <v>1340.4693603999999</v>
      </c>
      <c r="H625">
        <v>1338.0465088000001</v>
      </c>
      <c r="I625">
        <v>1320.8309326000001</v>
      </c>
      <c r="J625">
        <v>1316.2391356999999</v>
      </c>
      <c r="K625">
        <v>2750</v>
      </c>
      <c r="L625">
        <v>0</v>
      </c>
      <c r="M625">
        <v>0</v>
      </c>
      <c r="N625">
        <v>2750</v>
      </c>
    </row>
    <row r="626" spans="1:14" x14ac:dyDescent="0.25">
      <c r="A626">
        <v>110.44560199999999</v>
      </c>
      <c r="B626" s="1">
        <f>DATE(2010,8,19) + TIME(10,41,39)</f>
        <v>40409.445590277777</v>
      </c>
      <c r="C626">
        <v>80</v>
      </c>
      <c r="D626">
        <v>79.951171875</v>
      </c>
      <c r="E626">
        <v>40</v>
      </c>
      <c r="F626">
        <v>21.169549942</v>
      </c>
      <c r="G626">
        <v>1340.4666748</v>
      </c>
      <c r="H626">
        <v>1338.0443115</v>
      </c>
      <c r="I626">
        <v>1320.8353271000001</v>
      </c>
      <c r="J626">
        <v>1316.2492675999999</v>
      </c>
      <c r="K626">
        <v>2750</v>
      </c>
      <c r="L626">
        <v>0</v>
      </c>
      <c r="M626">
        <v>0</v>
      </c>
      <c r="N626">
        <v>2750</v>
      </c>
    </row>
    <row r="627" spans="1:14" x14ac:dyDescent="0.25">
      <c r="A627">
        <v>110.744618</v>
      </c>
      <c r="B627" s="1">
        <f>DATE(2010,8,19) + TIME(17,52,15)</f>
        <v>40409.744618055556</v>
      </c>
      <c r="C627">
        <v>80</v>
      </c>
      <c r="D627">
        <v>79.951187133999994</v>
      </c>
      <c r="E627">
        <v>40</v>
      </c>
      <c r="F627">
        <v>21.393562317000001</v>
      </c>
      <c r="G627">
        <v>1340.4641113</v>
      </c>
      <c r="H627">
        <v>1338.0421143000001</v>
      </c>
      <c r="I627">
        <v>1320.8397216999999</v>
      </c>
      <c r="J627">
        <v>1316.2595214999999</v>
      </c>
      <c r="K627">
        <v>2750</v>
      </c>
      <c r="L627">
        <v>0</v>
      </c>
      <c r="M627">
        <v>0</v>
      </c>
      <c r="N627">
        <v>2750</v>
      </c>
    </row>
    <row r="628" spans="1:14" x14ac:dyDescent="0.25">
      <c r="A628">
        <v>111.342652</v>
      </c>
      <c r="B628" s="1">
        <f>DATE(2010,8,20) + TIME(8,13,25)</f>
        <v>40410.342650462961</v>
      </c>
      <c r="C628">
        <v>80</v>
      </c>
      <c r="D628">
        <v>79.951217650999993</v>
      </c>
      <c r="E628">
        <v>40</v>
      </c>
      <c r="F628">
        <v>21.736623764000001</v>
      </c>
      <c r="G628">
        <v>1340.4615478999999</v>
      </c>
      <c r="H628">
        <v>1338.0400391000001</v>
      </c>
      <c r="I628">
        <v>1320.8381348</v>
      </c>
      <c r="J628">
        <v>1316.2714844</v>
      </c>
      <c r="K628">
        <v>2750</v>
      </c>
      <c r="L628">
        <v>0</v>
      </c>
      <c r="M628">
        <v>0</v>
      </c>
      <c r="N628">
        <v>2750</v>
      </c>
    </row>
    <row r="629" spans="1:14" x14ac:dyDescent="0.25">
      <c r="A629">
        <v>111.944999</v>
      </c>
      <c r="B629" s="1">
        <f>DATE(2010,8,20) + TIME(22,40,47)</f>
        <v>40410.944988425923</v>
      </c>
      <c r="C629">
        <v>80</v>
      </c>
      <c r="D629">
        <v>79.951248168999996</v>
      </c>
      <c r="E629">
        <v>40</v>
      </c>
      <c r="F629">
        <v>22.142274857</v>
      </c>
      <c r="G629">
        <v>1340.4562988</v>
      </c>
      <c r="H629">
        <v>1338.0357666</v>
      </c>
      <c r="I629">
        <v>1320.8487548999999</v>
      </c>
      <c r="J629">
        <v>1316.2907714999999</v>
      </c>
      <c r="K629">
        <v>2750</v>
      </c>
      <c r="L629">
        <v>0</v>
      </c>
      <c r="M629">
        <v>0</v>
      </c>
      <c r="N629">
        <v>2750</v>
      </c>
    </row>
    <row r="630" spans="1:14" x14ac:dyDescent="0.25">
      <c r="A630">
        <v>112.577333</v>
      </c>
      <c r="B630" s="1">
        <f>DATE(2010,8,21) + TIME(13,51,21)</f>
        <v>40411.577326388891</v>
      </c>
      <c r="C630">
        <v>80</v>
      </c>
      <c r="D630">
        <v>79.951286315999994</v>
      </c>
      <c r="E630">
        <v>40</v>
      </c>
      <c r="F630">
        <v>22.58855629</v>
      </c>
      <c r="G630">
        <v>1340.4510498</v>
      </c>
      <c r="H630">
        <v>1338.0314940999999</v>
      </c>
      <c r="I630">
        <v>1320.8580322</v>
      </c>
      <c r="J630">
        <v>1316.3111572</v>
      </c>
      <c r="K630">
        <v>2750</v>
      </c>
      <c r="L630">
        <v>0</v>
      </c>
      <c r="M630">
        <v>0</v>
      </c>
      <c r="N630">
        <v>2750</v>
      </c>
    </row>
    <row r="631" spans="1:14" x14ac:dyDescent="0.25">
      <c r="A631">
        <v>113.240942</v>
      </c>
      <c r="B631" s="1">
        <f>DATE(2010,8,22) + TIME(5,46,57)</f>
        <v>40412.240937499999</v>
      </c>
      <c r="C631">
        <v>80</v>
      </c>
      <c r="D631">
        <v>79.951316833000007</v>
      </c>
      <c r="E631">
        <v>40</v>
      </c>
      <c r="F631">
        <v>23.072114943999999</v>
      </c>
      <c r="G631">
        <v>1340.4455565999999</v>
      </c>
      <c r="H631">
        <v>1338.0269774999999</v>
      </c>
      <c r="I631">
        <v>1320.8675536999999</v>
      </c>
      <c r="J631">
        <v>1316.3331298999999</v>
      </c>
      <c r="K631">
        <v>2750</v>
      </c>
      <c r="L631">
        <v>0</v>
      </c>
      <c r="M631">
        <v>0</v>
      </c>
      <c r="N631">
        <v>2750</v>
      </c>
    </row>
    <row r="632" spans="1:14" x14ac:dyDescent="0.25">
      <c r="A632">
        <v>113.90589799999999</v>
      </c>
      <c r="B632" s="1">
        <f>DATE(2010,8,22) + TIME(21,44,29)</f>
        <v>40412.905891203707</v>
      </c>
      <c r="C632">
        <v>80</v>
      </c>
      <c r="D632">
        <v>79.951347350999995</v>
      </c>
      <c r="E632">
        <v>40</v>
      </c>
      <c r="F632">
        <v>23.583543776999999</v>
      </c>
      <c r="G632">
        <v>1340.4399414</v>
      </c>
      <c r="H632">
        <v>1338.0223389</v>
      </c>
      <c r="I632">
        <v>1320.8779297000001</v>
      </c>
      <c r="J632">
        <v>1316.3565673999999</v>
      </c>
      <c r="K632">
        <v>2750</v>
      </c>
      <c r="L632">
        <v>0</v>
      </c>
      <c r="M632">
        <v>0</v>
      </c>
      <c r="N632">
        <v>2750</v>
      </c>
    </row>
    <row r="633" spans="1:14" x14ac:dyDescent="0.25">
      <c r="A633">
        <v>114.577231</v>
      </c>
      <c r="B633" s="1">
        <f>DATE(2010,8,23) + TIME(13,51,12)</f>
        <v>40413.577222222222</v>
      </c>
      <c r="C633">
        <v>80</v>
      </c>
      <c r="D633">
        <v>79.951377868999998</v>
      </c>
      <c r="E633">
        <v>40</v>
      </c>
      <c r="F633">
        <v>24.117858887000001</v>
      </c>
      <c r="G633">
        <v>1340.4343262</v>
      </c>
      <c r="H633">
        <v>1338.0175781</v>
      </c>
      <c r="I633">
        <v>1320.8878173999999</v>
      </c>
      <c r="J633">
        <v>1316.3807373</v>
      </c>
      <c r="K633">
        <v>2750</v>
      </c>
      <c r="L633">
        <v>0</v>
      </c>
      <c r="M633">
        <v>0</v>
      </c>
      <c r="N633">
        <v>2750</v>
      </c>
    </row>
    <row r="634" spans="1:14" x14ac:dyDescent="0.25">
      <c r="A634">
        <v>115.26332600000001</v>
      </c>
      <c r="B634" s="1">
        <f>DATE(2010,8,24) + TIME(6,19,11)</f>
        <v>40414.263321759259</v>
      </c>
      <c r="C634">
        <v>80</v>
      </c>
      <c r="D634">
        <v>79.951416015999996</v>
      </c>
      <c r="E634">
        <v>40</v>
      </c>
      <c r="F634">
        <v>24.674791335999998</v>
      </c>
      <c r="G634">
        <v>1340.4285889</v>
      </c>
      <c r="H634">
        <v>1338.0129394999999</v>
      </c>
      <c r="I634">
        <v>1320.8974608999999</v>
      </c>
      <c r="J634">
        <v>1316.4056396000001</v>
      </c>
      <c r="K634">
        <v>2750</v>
      </c>
      <c r="L634">
        <v>0</v>
      </c>
      <c r="M634">
        <v>0</v>
      </c>
      <c r="N634">
        <v>2750</v>
      </c>
    </row>
    <row r="635" spans="1:14" x14ac:dyDescent="0.25">
      <c r="A635">
        <v>115.953954</v>
      </c>
      <c r="B635" s="1">
        <f>DATE(2010,8,24) + TIME(22,53,41)</f>
        <v>40414.953946759262</v>
      </c>
      <c r="C635">
        <v>80</v>
      </c>
      <c r="D635">
        <v>79.951446532999995</v>
      </c>
      <c r="E635">
        <v>40</v>
      </c>
      <c r="F635">
        <v>25.248647689999999</v>
      </c>
      <c r="G635">
        <v>1340.4228516000001</v>
      </c>
      <c r="H635">
        <v>1338.0083007999999</v>
      </c>
      <c r="I635">
        <v>1320.9072266000001</v>
      </c>
      <c r="J635">
        <v>1316.4312743999999</v>
      </c>
      <c r="K635">
        <v>2750</v>
      </c>
      <c r="L635">
        <v>0</v>
      </c>
      <c r="M635">
        <v>0</v>
      </c>
      <c r="N635">
        <v>2750</v>
      </c>
    </row>
    <row r="636" spans="1:14" x14ac:dyDescent="0.25">
      <c r="A636">
        <v>116.646625</v>
      </c>
      <c r="B636" s="1">
        <f>DATE(2010,8,25) + TIME(15,31,8)</f>
        <v>40415.646620370368</v>
      </c>
      <c r="C636">
        <v>80</v>
      </c>
      <c r="D636">
        <v>79.951484679999993</v>
      </c>
      <c r="E636">
        <v>40</v>
      </c>
      <c r="F636">
        <v>25.831493378000001</v>
      </c>
      <c r="G636">
        <v>1340.4171143000001</v>
      </c>
      <c r="H636">
        <v>1338.0035399999999</v>
      </c>
      <c r="I636">
        <v>1320.9168701000001</v>
      </c>
      <c r="J636">
        <v>1316.4573975000001</v>
      </c>
      <c r="K636">
        <v>2750</v>
      </c>
      <c r="L636">
        <v>0</v>
      </c>
      <c r="M636">
        <v>0</v>
      </c>
      <c r="N636">
        <v>2750</v>
      </c>
    </row>
    <row r="637" spans="1:14" x14ac:dyDescent="0.25">
      <c r="A637">
        <v>117.34322899999999</v>
      </c>
      <c r="B637" s="1">
        <f>DATE(2010,8,26) + TIME(8,14,15)</f>
        <v>40416.343229166669</v>
      </c>
      <c r="C637">
        <v>80</v>
      </c>
      <c r="D637">
        <v>79.951515197999996</v>
      </c>
      <c r="E637">
        <v>40</v>
      </c>
      <c r="F637">
        <v>26.416471480999999</v>
      </c>
      <c r="G637">
        <v>1340.411499</v>
      </c>
      <c r="H637">
        <v>1337.9989014</v>
      </c>
      <c r="I637">
        <v>1320.9263916</v>
      </c>
      <c r="J637">
        <v>1316.4837646000001</v>
      </c>
      <c r="K637">
        <v>2750</v>
      </c>
      <c r="L637">
        <v>0</v>
      </c>
      <c r="M637">
        <v>0</v>
      </c>
      <c r="N637">
        <v>2750</v>
      </c>
    </row>
    <row r="638" spans="1:14" x14ac:dyDescent="0.25">
      <c r="A638">
        <v>118.04156500000001</v>
      </c>
      <c r="B638" s="1">
        <f>DATE(2010,8,27) + TIME(0,59,51)</f>
        <v>40417.041562500002</v>
      </c>
      <c r="C638">
        <v>80</v>
      </c>
      <c r="D638">
        <v>79.951545714999995</v>
      </c>
      <c r="E638">
        <v>40</v>
      </c>
      <c r="F638">
        <v>26.997360229000002</v>
      </c>
      <c r="G638">
        <v>1340.4058838000001</v>
      </c>
      <c r="H638">
        <v>1337.9942627</v>
      </c>
      <c r="I638">
        <v>1320.9361572</v>
      </c>
      <c r="J638">
        <v>1316.5101318</v>
      </c>
      <c r="K638">
        <v>2750</v>
      </c>
      <c r="L638">
        <v>0</v>
      </c>
      <c r="M638">
        <v>0</v>
      </c>
      <c r="N638">
        <v>2750</v>
      </c>
    </row>
    <row r="639" spans="1:14" x14ac:dyDescent="0.25">
      <c r="A639">
        <v>118.74344499999999</v>
      </c>
      <c r="B639" s="1">
        <f>DATE(2010,8,27) + TIME(17,50,33)</f>
        <v>40417.743437500001</v>
      </c>
      <c r="C639">
        <v>80</v>
      </c>
      <c r="D639">
        <v>79.951583862000007</v>
      </c>
      <c r="E639">
        <v>40</v>
      </c>
      <c r="F639">
        <v>27.569908141999999</v>
      </c>
      <c r="G639">
        <v>1340.4002685999999</v>
      </c>
      <c r="H639">
        <v>1337.989624</v>
      </c>
      <c r="I639">
        <v>1320.9460449000001</v>
      </c>
      <c r="J639">
        <v>1316.5366211</v>
      </c>
      <c r="K639">
        <v>2750</v>
      </c>
      <c r="L639">
        <v>0</v>
      </c>
      <c r="M639">
        <v>0</v>
      </c>
      <c r="N639">
        <v>2750</v>
      </c>
    </row>
    <row r="640" spans="1:14" x14ac:dyDescent="0.25">
      <c r="A640">
        <v>119.450946</v>
      </c>
      <c r="B640" s="1">
        <f>DATE(2010,8,28) + TIME(10,49,21)</f>
        <v>40418.450937499998</v>
      </c>
      <c r="C640">
        <v>80</v>
      </c>
      <c r="D640">
        <v>79.951614379999995</v>
      </c>
      <c r="E640">
        <v>40</v>
      </c>
      <c r="F640">
        <v>28.132062911999999</v>
      </c>
      <c r="G640">
        <v>1340.3946533000001</v>
      </c>
      <c r="H640">
        <v>1337.9851074000001</v>
      </c>
      <c r="I640">
        <v>1320.9562988</v>
      </c>
      <c r="J640">
        <v>1316.5631103999999</v>
      </c>
      <c r="K640">
        <v>2750</v>
      </c>
      <c r="L640">
        <v>0</v>
      </c>
      <c r="M640">
        <v>0</v>
      </c>
      <c r="N640">
        <v>2750</v>
      </c>
    </row>
    <row r="641" spans="1:14" x14ac:dyDescent="0.25">
      <c r="A641">
        <v>120.166267</v>
      </c>
      <c r="B641" s="1">
        <f>DATE(2010,8,29) + TIME(3,59,25)</f>
        <v>40419.166261574072</v>
      </c>
      <c r="C641">
        <v>80</v>
      </c>
      <c r="D641">
        <v>79.951652526999993</v>
      </c>
      <c r="E641">
        <v>40</v>
      </c>
      <c r="F641">
        <v>28.683694839000001</v>
      </c>
      <c r="G641">
        <v>1340.3891602000001</v>
      </c>
      <c r="H641">
        <v>1337.9805908000001</v>
      </c>
      <c r="I641">
        <v>1320.9670410000001</v>
      </c>
      <c r="J641">
        <v>1316.5895995999999</v>
      </c>
      <c r="K641">
        <v>2750</v>
      </c>
      <c r="L641">
        <v>0</v>
      </c>
      <c r="M641">
        <v>0</v>
      </c>
      <c r="N641">
        <v>2750</v>
      </c>
    </row>
    <row r="642" spans="1:14" x14ac:dyDescent="0.25">
      <c r="A642">
        <v>120.891728</v>
      </c>
      <c r="B642" s="1">
        <f>DATE(2010,8,29) + TIME(21,24,5)</f>
        <v>40419.891724537039</v>
      </c>
      <c r="C642">
        <v>80</v>
      </c>
      <c r="D642">
        <v>79.951690674000005</v>
      </c>
      <c r="E642">
        <v>40</v>
      </c>
      <c r="F642">
        <v>29.225675583000001</v>
      </c>
      <c r="G642">
        <v>1340.3835449000001</v>
      </c>
      <c r="H642">
        <v>1337.9759521000001</v>
      </c>
      <c r="I642">
        <v>1320.9781493999999</v>
      </c>
      <c r="J642">
        <v>1316.6163329999999</v>
      </c>
      <c r="K642">
        <v>2750</v>
      </c>
      <c r="L642">
        <v>0</v>
      </c>
      <c r="M642">
        <v>0</v>
      </c>
      <c r="N642">
        <v>2750</v>
      </c>
    </row>
    <row r="643" spans="1:14" x14ac:dyDescent="0.25">
      <c r="A643">
        <v>121.629656</v>
      </c>
      <c r="B643" s="1">
        <f>DATE(2010,8,30) + TIME(15,6,42)</f>
        <v>40420.629652777781</v>
      </c>
      <c r="C643">
        <v>80</v>
      </c>
      <c r="D643">
        <v>79.951721191000004</v>
      </c>
      <c r="E643">
        <v>40</v>
      </c>
      <c r="F643">
        <v>29.75945282</v>
      </c>
      <c r="G643">
        <v>1340.3780518000001</v>
      </c>
      <c r="H643">
        <v>1337.9714355000001</v>
      </c>
      <c r="I643">
        <v>1320.9898682</v>
      </c>
      <c r="J643">
        <v>1316.6431885</v>
      </c>
      <c r="K643">
        <v>2750</v>
      </c>
      <c r="L643">
        <v>0</v>
      </c>
      <c r="M643">
        <v>0</v>
      </c>
      <c r="N643">
        <v>2750</v>
      </c>
    </row>
    <row r="644" spans="1:14" x14ac:dyDescent="0.25">
      <c r="A644">
        <v>122.000789</v>
      </c>
      <c r="B644" s="1">
        <f>DATE(2010,8,31) + TIME(0,1,8)</f>
        <v>40421.000787037039</v>
      </c>
      <c r="C644">
        <v>80</v>
      </c>
      <c r="D644">
        <v>79.951736449999999</v>
      </c>
      <c r="E644">
        <v>40</v>
      </c>
      <c r="F644">
        <v>30.128442763999999</v>
      </c>
      <c r="G644">
        <v>1340.3724365</v>
      </c>
      <c r="H644">
        <v>1337.9669189000001</v>
      </c>
      <c r="I644">
        <v>1321.0083007999999</v>
      </c>
      <c r="J644">
        <v>1316.6674805</v>
      </c>
      <c r="K644">
        <v>2750</v>
      </c>
      <c r="L644">
        <v>0</v>
      </c>
      <c r="M644">
        <v>0</v>
      </c>
      <c r="N644">
        <v>2750</v>
      </c>
    </row>
    <row r="645" spans="1:14" x14ac:dyDescent="0.25">
      <c r="A645">
        <v>122.371849</v>
      </c>
      <c r="B645" s="1">
        <f>DATE(2010,8,31) + TIME(8,55,27)</f>
        <v>40421.371840277781</v>
      </c>
      <c r="C645">
        <v>80</v>
      </c>
      <c r="D645">
        <v>79.951751709000007</v>
      </c>
      <c r="E645">
        <v>40</v>
      </c>
      <c r="F645">
        <v>30.450124741</v>
      </c>
      <c r="G645">
        <v>1340.3696289</v>
      </c>
      <c r="H645">
        <v>1337.9645995999999</v>
      </c>
      <c r="I645">
        <v>1321.0124512</v>
      </c>
      <c r="J645">
        <v>1316.6831055</v>
      </c>
      <c r="K645">
        <v>2750</v>
      </c>
      <c r="L645">
        <v>0</v>
      </c>
      <c r="M645">
        <v>0</v>
      </c>
      <c r="N645">
        <v>2750</v>
      </c>
    </row>
    <row r="646" spans="1:14" x14ac:dyDescent="0.25">
      <c r="A646">
        <v>123</v>
      </c>
      <c r="B646" s="1">
        <f>DATE(2010,9,1) + TIME(0,0,0)</f>
        <v>40422</v>
      </c>
      <c r="C646">
        <v>80</v>
      </c>
      <c r="D646">
        <v>79.951789856000005</v>
      </c>
      <c r="E646">
        <v>40</v>
      </c>
      <c r="F646">
        <v>30.835231781000001</v>
      </c>
      <c r="G646">
        <v>1340.3668213000001</v>
      </c>
      <c r="H646">
        <v>1337.9622803</v>
      </c>
      <c r="I646">
        <v>1321.0141602000001</v>
      </c>
      <c r="J646">
        <v>1316.699707</v>
      </c>
      <c r="K646">
        <v>2750</v>
      </c>
      <c r="L646">
        <v>0</v>
      </c>
      <c r="M646">
        <v>0</v>
      </c>
      <c r="N646">
        <v>2750</v>
      </c>
    </row>
    <row r="647" spans="1:14" x14ac:dyDescent="0.25">
      <c r="A647">
        <v>123.370304</v>
      </c>
      <c r="B647" s="1">
        <f>DATE(2010,9,1) + TIME(8,53,14)</f>
        <v>40422.370300925926</v>
      </c>
      <c r="C647">
        <v>80</v>
      </c>
      <c r="D647">
        <v>79.951805114999999</v>
      </c>
      <c r="E647">
        <v>40</v>
      </c>
      <c r="F647">
        <v>31.139448166000001</v>
      </c>
      <c r="G647">
        <v>1340.3621826000001</v>
      </c>
      <c r="H647">
        <v>1337.9584961</v>
      </c>
      <c r="I647">
        <v>1321.0295410000001</v>
      </c>
      <c r="J647">
        <v>1316.7200928</v>
      </c>
      <c r="K647">
        <v>2750</v>
      </c>
      <c r="L647">
        <v>0</v>
      </c>
      <c r="M647">
        <v>0</v>
      </c>
      <c r="N647">
        <v>2750</v>
      </c>
    </row>
    <row r="648" spans="1:14" x14ac:dyDescent="0.25">
      <c r="A648">
        <v>123.73966</v>
      </c>
      <c r="B648" s="1">
        <f>DATE(2010,9,1) + TIME(17,45,6)</f>
        <v>40422.739652777775</v>
      </c>
      <c r="C648">
        <v>80</v>
      </c>
      <c r="D648">
        <v>79.951820373999993</v>
      </c>
      <c r="E648">
        <v>40</v>
      </c>
      <c r="F648">
        <v>31.416860580000002</v>
      </c>
      <c r="G648">
        <v>1340.3594971</v>
      </c>
      <c r="H648">
        <v>1337.9562988</v>
      </c>
      <c r="I648">
        <v>1321.0350341999999</v>
      </c>
      <c r="J648">
        <v>1316.7347411999999</v>
      </c>
      <c r="K648">
        <v>2750</v>
      </c>
      <c r="L648">
        <v>0</v>
      </c>
      <c r="M648">
        <v>0</v>
      </c>
      <c r="N648">
        <v>2750</v>
      </c>
    </row>
    <row r="649" spans="1:14" x14ac:dyDescent="0.25">
      <c r="A649">
        <v>124.109015</v>
      </c>
      <c r="B649" s="1">
        <f>DATE(2010,9,2) + TIME(2,36,58)</f>
        <v>40423.10900462963</v>
      </c>
      <c r="C649">
        <v>80</v>
      </c>
      <c r="D649">
        <v>79.951835631999998</v>
      </c>
      <c r="E649">
        <v>40</v>
      </c>
      <c r="F649">
        <v>31.677314758000001</v>
      </c>
      <c r="G649">
        <v>1340.3566894999999</v>
      </c>
      <c r="H649">
        <v>1337.9539795000001</v>
      </c>
      <c r="I649">
        <v>1321.0411377</v>
      </c>
      <c r="J649">
        <v>1316.7489014</v>
      </c>
      <c r="K649">
        <v>2750</v>
      </c>
      <c r="L649">
        <v>0</v>
      </c>
      <c r="M649">
        <v>0</v>
      </c>
      <c r="N649">
        <v>2750</v>
      </c>
    </row>
    <row r="650" spans="1:14" x14ac:dyDescent="0.25">
      <c r="A650">
        <v>124.478371</v>
      </c>
      <c r="B650" s="1">
        <f>DATE(2010,9,2) + TIME(11,28,51)</f>
        <v>40423.478368055556</v>
      </c>
      <c r="C650">
        <v>80</v>
      </c>
      <c r="D650">
        <v>79.951858521000005</v>
      </c>
      <c r="E650">
        <v>40</v>
      </c>
      <c r="F650">
        <v>31.926502228</v>
      </c>
      <c r="G650">
        <v>1340.3540039</v>
      </c>
      <c r="H650">
        <v>1337.9517822</v>
      </c>
      <c r="I650">
        <v>1321.0474853999999</v>
      </c>
      <c r="J650">
        <v>1316.7628173999999</v>
      </c>
      <c r="K650">
        <v>2750</v>
      </c>
      <c r="L650">
        <v>0</v>
      </c>
      <c r="M650">
        <v>0</v>
      </c>
      <c r="N650">
        <v>2750</v>
      </c>
    </row>
    <row r="651" spans="1:14" x14ac:dyDescent="0.25">
      <c r="A651">
        <v>124.84772599999999</v>
      </c>
      <c r="B651" s="1">
        <f>DATE(2010,9,2) + TIME(20,20,43)</f>
        <v>40423.847719907404</v>
      </c>
      <c r="C651">
        <v>80</v>
      </c>
      <c r="D651">
        <v>79.951873778999996</v>
      </c>
      <c r="E651">
        <v>40</v>
      </c>
      <c r="F651">
        <v>32.167827606000003</v>
      </c>
      <c r="G651">
        <v>1340.3513184000001</v>
      </c>
      <c r="H651">
        <v>1337.949707</v>
      </c>
      <c r="I651">
        <v>1321.0540771000001</v>
      </c>
      <c r="J651">
        <v>1316.7766113</v>
      </c>
      <c r="K651">
        <v>2750</v>
      </c>
      <c r="L651">
        <v>0</v>
      </c>
      <c r="M651">
        <v>0</v>
      </c>
      <c r="N651">
        <v>2750</v>
      </c>
    </row>
    <row r="652" spans="1:14" x14ac:dyDescent="0.25">
      <c r="A652">
        <v>125.586437</v>
      </c>
      <c r="B652" s="1">
        <f>DATE(2010,9,3) + TIME(14,4,28)</f>
        <v>40424.586435185185</v>
      </c>
      <c r="C652">
        <v>80</v>
      </c>
      <c r="D652">
        <v>79.951919556000007</v>
      </c>
      <c r="E652">
        <v>40</v>
      </c>
      <c r="F652">
        <v>32.500877379999999</v>
      </c>
      <c r="G652">
        <v>1340.3487548999999</v>
      </c>
      <c r="H652">
        <v>1337.9475098</v>
      </c>
      <c r="I652">
        <v>1321.0571289</v>
      </c>
      <c r="J652">
        <v>1316.7922363</v>
      </c>
      <c r="K652">
        <v>2750</v>
      </c>
      <c r="L652">
        <v>0</v>
      </c>
      <c r="M652">
        <v>0</v>
      </c>
      <c r="N652">
        <v>2750</v>
      </c>
    </row>
    <row r="653" spans="1:14" x14ac:dyDescent="0.25">
      <c r="A653">
        <v>126.32563500000001</v>
      </c>
      <c r="B653" s="1">
        <f>DATE(2010,9,4) + TIME(7,48,54)</f>
        <v>40425.325624999998</v>
      </c>
      <c r="C653">
        <v>80</v>
      </c>
      <c r="D653">
        <v>79.951957703000005</v>
      </c>
      <c r="E653">
        <v>40</v>
      </c>
      <c r="F653">
        <v>32.901340484999999</v>
      </c>
      <c r="G653">
        <v>1340.3433838000001</v>
      </c>
      <c r="H653">
        <v>1337.9432373</v>
      </c>
      <c r="I653">
        <v>1321.0723877</v>
      </c>
      <c r="J653">
        <v>1316.8167725000001</v>
      </c>
      <c r="K653">
        <v>2750</v>
      </c>
      <c r="L653">
        <v>0</v>
      </c>
      <c r="M653">
        <v>0</v>
      </c>
      <c r="N653">
        <v>2750</v>
      </c>
    </row>
    <row r="654" spans="1:14" x14ac:dyDescent="0.25">
      <c r="A654">
        <v>127.072906</v>
      </c>
      <c r="B654" s="1">
        <f>DATE(2010,9,5) + TIME(1,44,59)</f>
        <v>40426.072905092595</v>
      </c>
      <c r="C654">
        <v>80</v>
      </c>
      <c r="D654">
        <v>79.951995850000003</v>
      </c>
      <c r="E654">
        <v>40</v>
      </c>
      <c r="F654">
        <v>33.325523376</v>
      </c>
      <c r="G654">
        <v>1340.3381348</v>
      </c>
      <c r="H654">
        <v>1337.9389647999999</v>
      </c>
      <c r="I654">
        <v>1321.0867920000001</v>
      </c>
      <c r="J654">
        <v>1316.8426514</v>
      </c>
      <c r="K654">
        <v>2750</v>
      </c>
      <c r="L654">
        <v>0</v>
      </c>
      <c r="M654">
        <v>0</v>
      </c>
      <c r="N654">
        <v>2750</v>
      </c>
    </row>
    <row r="655" spans="1:14" x14ac:dyDescent="0.25">
      <c r="A655">
        <v>127.830405</v>
      </c>
      <c r="B655" s="1">
        <f>DATE(2010,9,5) + TIME(19,55,47)</f>
        <v>40426.830405092594</v>
      </c>
      <c r="C655">
        <v>80</v>
      </c>
      <c r="D655">
        <v>79.952033997000001</v>
      </c>
      <c r="E655">
        <v>40</v>
      </c>
      <c r="F655">
        <v>33.756446838000002</v>
      </c>
      <c r="G655">
        <v>1340.3330077999999</v>
      </c>
      <c r="H655">
        <v>1337.9346923999999</v>
      </c>
      <c r="I655">
        <v>1321.1013184000001</v>
      </c>
      <c r="J655">
        <v>1316.8692627</v>
      </c>
      <c r="K655">
        <v>2750</v>
      </c>
      <c r="L655">
        <v>0</v>
      </c>
      <c r="M655">
        <v>0</v>
      </c>
      <c r="N655">
        <v>2750</v>
      </c>
    </row>
    <row r="656" spans="1:14" x14ac:dyDescent="0.25">
      <c r="A656">
        <v>128.596912</v>
      </c>
      <c r="B656" s="1">
        <f>DATE(2010,9,6) + TIME(14,19,33)</f>
        <v>40427.596909722219</v>
      </c>
      <c r="C656">
        <v>80</v>
      </c>
      <c r="D656">
        <v>79.952072143999999</v>
      </c>
      <c r="E656">
        <v>40</v>
      </c>
      <c r="F656">
        <v>34.186798095999997</v>
      </c>
      <c r="G656">
        <v>1340.3276367000001</v>
      </c>
      <c r="H656">
        <v>1337.9304199000001</v>
      </c>
      <c r="I656">
        <v>1321.1162108999999</v>
      </c>
      <c r="J656">
        <v>1316.8964844</v>
      </c>
      <c r="K656">
        <v>2750</v>
      </c>
      <c r="L656">
        <v>0</v>
      </c>
      <c r="M656">
        <v>0</v>
      </c>
      <c r="N656">
        <v>2750</v>
      </c>
    </row>
    <row r="657" spans="1:14" x14ac:dyDescent="0.25">
      <c r="A657">
        <v>129.37263899999999</v>
      </c>
      <c r="B657" s="1">
        <f>DATE(2010,9,7) + TIME(8,56,35)</f>
        <v>40428.372627314813</v>
      </c>
      <c r="C657">
        <v>80</v>
      </c>
      <c r="D657">
        <v>79.952110290999997</v>
      </c>
      <c r="E657">
        <v>40</v>
      </c>
      <c r="F657">
        <v>34.613296509000001</v>
      </c>
      <c r="G657">
        <v>1340.3223877</v>
      </c>
      <c r="H657">
        <v>1337.9261475000001</v>
      </c>
      <c r="I657">
        <v>1321.1312256000001</v>
      </c>
      <c r="J657">
        <v>1316.9241943</v>
      </c>
      <c r="K657">
        <v>2750</v>
      </c>
      <c r="L657">
        <v>0</v>
      </c>
      <c r="M657">
        <v>0</v>
      </c>
      <c r="N657">
        <v>2750</v>
      </c>
    </row>
    <row r="658" spans="1:14" x14ac:dyDescent="0.25">
      <c r="A658">
        <v>130.15519900000001</v>
      </c>
      <c r="B658" s="1">
        <f>DATE(2010,9,8) + TIME(3,43,29)</f>
        <v>40429.15519675926</v>
      </c>
      <c r="C658">
        <v>80</v>
      </c>
      <c r="D658">
        <v>79.952148437999995</v>
      </c>
      <c r="E658">
        <v>40</v>
      </c>
      <c r="F658">
        <v>35.034137725999997</v>
      </c>
      <c r="G658">
        <v>1340.3171387</v>
      </c>
      <c r="H658">
        <v>1337.921875</v>
      </c>
      <c r="I658">
        <v>1321.1467285000001</v>
      </c>
      <c r="J658">
        <v>1316.9521483999999</v>
      </c>
      <c r="K658">
        <v>2750</v>
      </c>
      <c r="L658">
        <v>0</v>
      </c>
      <c r="M658">
        <v>0</v>
      </c>
      <c r="N658">
        <v>2750</v>
      </c>
    </row>
    <row r="659" spans="1:14" x14ac:dyDescent="0.25">
      <c r="A659">
        <v>130.94710699999999</v>
      </c>
      <c r="B659" s="1">
        <f>DATE(2010,9,8) + TIME(22,43,50)</f>
        <v>40429.947106481479</v>
      </c>
      <c r="C659">
        <v>80</v>
      </c>
      <c r="D659">
        <v>79.952186584000003</v>
      </c>
      <c r="E659">
        <v>40</v>
      </c>
      <c r="F659">
        <v>35.448905945</v>
      </c>
      <c r="G659">
        <v>1340.3118896000001</v>
      </c>
      <c r="H659">
        <v>1337.9176024999999</v>
      </c>
      <c r="I659">
        <v>1321.1624756000001</v>
      </c>
      <c r="J659">
        <v>1316.9804687999999</v>
      </c>
      <c r="K659">
        <v>2750</v>
      </c>
      <c r="L659">
        <v>0</v>
      </c>
      <c r="M659">
        <v>0</v>
      </c>
      <c r="N659">
        <v>2750</v>
      </c>
    </row>
    <row r="660" spans="1:14" x14ac:dyDescent="0.25">
      <c r="A660">
        <v>131.34541899999999</v>
      </c>
      <c r="B660" s="1">
        <f>DATE(2010,9,9) + TIME(8,17,24)</f>
        <v>40430.345416666663</v>
      </c>
      <c r="C660">
        <v>80</v>
      </c>
      <c r="D660">
        <v>79.952201842999997</v>
      </c>
      <c r="E660">
        <v>40</v>
      </c>
      <c r="F660">
        <v>35.743663787999999</v>
      </c>
      <c r="G660">
        <v>1340.3066406</v>
      </c>
      <c r="H660">
        <v>1337.9133300999999</v>
      </c>
      <c r="I660">
        <v>1321.1824951000001</v>
      </c>
      <c r="J660">
        <v>1317.0064697</v>
      </c>
      <c r="K660">
        <v>2750</v>
      </c>
      <c r="L660">
        <v>0</v>
      </c>
      <c r="M660">
        <v>0</v>
      </c>
      <c r="N660">
        <v>2750</v>
      </c>
    </row>
    <row r="661" spans="1:14" x14ac:dyDescent="0.25">
      <c r="A661">
        <v>131.74293299999999</v>
      </c>
      <c r="B661" s="1">
        <f>DATE(2010,9,9) + TIME(17,49,49)</f>
        <v>40430.742928240739</v>
      </c>
      <c r="C661">
        <v>80</v>
      </c>
      <c r="D661">
        <v>79.952217102000006</v>
      </c>
      <c r="E661">
        <v>40</v>
      </c>
      <c r="F661">
        <v>35.995410919000001</v>
      </c>
      <c r="G661">
        <v>1340.3039550999999</v>
      </c>
      <c r="H661">
        <v>1337.9111327999999</v>
      </c>
      <c r="I661">
        <v>1321.1895752</v>
      </c>
      <c r="J661">
        <v>1317.0231934000001</v>
      </c>
      <c r="K661">
        <v>2750</v>
      </c>
      <c r="L661">
        <v>0</v>
      </c>
      <c r="M661">
        <v>0</v>
      </c>
      <c r="N661">
        <v>2750</v>
      </c>
    </row>
    <row r="662" spans="1:14" x14ac:dyDescent="0.25">
      <c r="A662">
        <v>132.139375</v>
      </c>
      <c r="B662" s="1">
        <f>DATE(2010,9,10) + TIME(3,20,42)</f>
        <v>40431.139374999999</v>
      </c>
      <c r="C662">
        <v>80</v>
      </c>
      <c r="D662">
        <v>79.952232361</v>
      </c>
      <c r="E662">
        <v>40</v>
      </c>
      <c r="F662">
        <v>36.222045897999998</v>
      </c>
      <c r="G662">
        <v>1340.3013916</v>
      </c>
      <c r="H662">
        <v>1337.9090576000001</v>
      </c>
      <c r="I662">
        <v>1321.1972656</v>
      </c>
      <c r="J662">
        <v>1317.0390625</v>
      </c>
      <c r="K662">
        <v>2750</v>
      </c>
      <c r="L662">
        <v>0</v>
      </c>
      <c r="M662">
        <v>0</v>
      </c>
      <c r="N662">
        <v>2750</v>
      </c>
    </row>
    <row r="663" spans="1:14" x14ac:dyDescent="0.25">
      <c r="A663">
        <v>132.53524100000001</v>
      </c>
      <c r="B663" s="1">
        <f>DATE(2010,9,10) + TIME(12,50,44)</f>
        <v>40431.535231481481</v>
      </c>
      <c r="C663">
        <v>80</v>
      </c>
      <c r="D663">
        <v>79.952255249000004</v>
      </c>
      <c r="E663">
        <v>40</v>
      </c>
      <c r="F663">
        <v>36.433792113999999</v>
      </c>
      <c r="G663">
        <v>1340.2988281</v>
      </c>
      <c r="H663">
        <v>1337.9069824000001</v>
      </c>
      <c r="I663">
        <v>1321.2052002</v>
      </c>
      <c r="J663">
        <v>1317.0543213000001</v>
      </c>
      <c r="K663">
        <v>2750</v>
      </c>
      <c r="L663">
        <v>0</v>
      </c>
      <c r="M663">
        <v>0</v>
      </c>
      <c r="N663">
        <v>2750</v>
      </c>
    </row>
    <row r="664" spans="1:14" x14ac:dyDescent="0.25">
      <c r="A664">
        <v>132.931028</v>
      </c>
      <c r="B664" s="1">
        <f>DATE(2010,9,10) + TIME(22,20,40)</f>
        <v>40431.931018518517</v>
      </c>
      <c r="C664">
        <v>80</v>
      </c>
      <c r="D664">
        <v>79.952278136999993</v>
      </c>
      <c r="E664">
        <v>40</v>
      </c>
      <c r="F664">
        <v>36.636463165000002</v>
      </c>
      <c r="G664">
        <v>1340.2962646000001</v>
      </c>
      <c r="H664">
        <v>1337.9049072</v>
      </c>
      <c r="I664">
        <v>1321.2132568</v>
      </c>
      <c r="J664">
        <v>1317.0692139</v>
      </c>
      <c r="K664">
        <v>2750</v>
      </c>
      <c r="L664">
        <v>0</v>
      </c>
      <c r="M664">
        <v>0</v>
      </c>
      <c r="N664">
        <v>2750</v>
      </c>
    </row>
    <row r="665" spans="1:14" x14ac:dyDescent="0.25">
      <c r="A665">
        <v>133.32681400000001</v>
      </c>
      <c r="B665" s="1">
        <f>DATE(2010,9,11) + TIME(7,50,36)</f>
        <v>40432.326805555553</v>
      </c>
      <c r="C665">
        <v>80</v>
      </c>
      <c r="D665">
        <v>79.952293396000002</v>
      </c>
      <c r="E665">
        <v>40</v>
      </c>
      <c r="F665">
        <v>36.833316803000002</v>
      </c>
      <c r="G665">
        <v>1340.2937012</v>
      </c>
      <c r="H665">
        <v>1337.902832</v>
      </c>
      <c r="I665">
        <v>1321.2214355000001</v>
      </c>
      <c r="J665">
        <v>1317.0838623</v>
      </c>
      <c r="K665">
        <v>2750</v>
      </c>
      <c r="L665">
        <v>0</v>
      </c>
      <c r="M665">
        <v>0</v>
      </c>
      <c r="N665">
        <v>2750</v>
      </c>
    </row>
    <row r="666" spans="1:14" x14ac:dyDescent="0.25">
      <c r="A666">
        <v>133.722601</v>
      </c>
      <c r="B666" s="1">
        <f>DATE(2010,9,11) + TIME(17,20,32)</f>
        <v>40432.722592592596</v>
      </c>
      <c r="C666">
        <v>80</v>
      </c>
      <c r="D666">
        <v>79.952316284000005</v>
      </c>
      <c r="E666">
        <v>40</v>
      </c>
      <c r="F666">
        <v>37.026199341000002</v>
      </c>
      <c r="G666">
        <v>1340.2911377</v>
      </c>
      <c r="H666">
        <v>1337.9007568</v>
      </c>
      <c r="I666">
        <v>1321.2296143000001</v>
      </c>
      <c r="J666">
        <v>1317.0985106999999</v>
      </c>
      <c r="K666">
        <v>2750</v>
      </c>
      <c r="L666">
        <v>0</v>
      </c>
      <c r="M666">
        <v>0</v>
      </c>
      <c r="N666">
        <v>2750</v>
      </c>
    </row>
    <row r="667" spans="1:14" x14ac:dyDescent="0.25">
      <c r="A667">
        <v>134.11838800000001</v>
      </c>
      <c r="B667" s="1">
        <f>DATE(2010,9,12) + TIME(2,50,28)</f>
        <v>40433.118379629632</v>
      </c>
      <c r="C667">
        <v>80</v>
      </c>
      <c r="D667">
        <v>79.952331543</v>
      </c>
      <c r="E667">
        <v>40</v>
      </c>
      <c r="F667">
        <v>37.216163635000001</v>
      </c>
      <c r="G667">
        <v>1340.2885742000001</v>
      </c>
      <c r="H667">
        <v>1337.8986815999999</v>
      </c>
      <c r="I667">
        <v>1321.2379149999999</v>
      </c>
      <c r="J667">
        <v>1317.1130370999999</v>
      </c>
      <c r="K667">
        <v>2750</v>
      </c>
      <c r="L667">
        <v>0</v>
      </c>
      <c r="M667">
        <v>0</v>
      </c>
      <c r="N667">
        <v>2750</v>
      </c>
    </row>
    <row r="668" spans="1:14" x14ac:dyDescent="0.25">
      <c r="A668">
        <v>134.51417499999999</v>
      </c>
      <c r="B668" s="1">
        <f>DATE(2010,9,12) + TIME(12,20,24)</f>
        <v>40433.514166666668</v>
      </c>
      <c r="C668">
        <v>80</v>
      </c>
      <c r="D668">
        <v>79.952354431000003</v>
      </c>
      <c r="E668">
        <v>40</v>
      </c>
      <c r="F668">
        <v>37.403816223</v>
      </c>
      <c r="G668">
        <v>1340.2861327999999</v>
      </c>
      <c r="H668">
        <v>1337.8967285000001</v>
      </c>
      <c r="I668">
        <v>1321.2462158000001</v>
      </c>
      <c r="J668">
        <v>1317.1275635</v>
      </c>
      <c r="K668">
        <v>2750</v>
      </c>
      <c r="L668">
        <v>0</v>
      </c>
      <c r="M668">
        <v>0</v>
      </c>
      <c r="N668">
        <v>2750</v>
      </c>
    </row>
    <row r="669" spans="1:14" x14ac:dyDescent="0.25">
      <c r="A669">
        <v>135.30574799999999</v>
      </c>
      <c r="B669" s="1">
        <f>DATE(2010,9,13) + TIME(7,20,16)</f>
        <v>40434.30574074074</v>
      </c>
      <c r="C669">
        <v>80</v>
      </c>
      <c r="D669">
        <v>79.952400208</v>
      </c>
      <c r="E669">
        <v>40</v>
      </c>
      <c r="F669">
        <v>37.660541533999996</v>
      </c>
      <c r="G669">
        <v>1340.2836914</v>
      </c>
      <c r="H669">
        <v>1337.8946533000001</v>
      </c>
      <c r="I669">
        <v>1321.2523193</v>
      </c>
      <c r="J669">
        <v>1317.1439209</v>
      </c>
      <c r="K669">
        <v>2750</v>
      </c>
      <c r="L669">
        <v>0</v>
      </c>
      <c r="M669">
        <v>0</v>
      </c>
      <c r="N669">
        <v>2750</v>
      </c>
    </row>
    <row r="670" spans="1:14" x14ac:dyDescent="0.25">
      <c r="A670">
        <v>136.098919</v>
      </c>
      <c r="B670" s="1">
        <f>DATE(2010,9,14) + TIME(2,22,26)</f>
        <v>40435.098912037036</v>
      </c>
      <c r="C670">
        <v>80</v>
      </c>
      <c r="D670">
        <v>79.952438353999995</v>
      </c>
      <c r="E670">
        <v>40</v>
      </c>
      <c r="F670">
        <v>37.983215332</v>
      </c>
      <c r="G670">
        <v>1340.2786865</v>
      </c>
      <c r="H670">
        <v>1337.8907471</v>
      </c>
      <c r="I670">
        <v>1321.2694091999999</v>
      </c>
      <c r="J670">
        <v>1317.1696777</v>
      </c>
      <c r="K670">
        <v>2750</v>
      </c>
      <c r="L670">
        <v>0</v>
      </c>
      <c r="M670">
        <v>0</v>
      </c>
      <c r="N670">
        <v>2750</v>
      </c>
    </row>
    <row r="671" spans="1:14" x14ac:dyDescent="0.25">
      <c r="A671">
        <v>136.901715</v>
      </c>
      <c r="B671" s="1">
        <f>DATE(2010,9,14) + TIME(21,38,28)</f>
        <v>40435.901712962965</v>
      </c>
      <c r="C671">
        <v>80</v>
      </c>
      <c r="D671">
        <v>79.952484131000006</v>
      </c>
      <c r="E671">
        <v>40</v>
      </c>
      <c r="F671">
        <v>38.329299927000001</v>
      </c>
      <c r="G671">
        <v>1340.2738036999999</v>
      </c>
      <c r="H671">
        <v>1337.8867187999999</v>
      </c>
      <c r="I671">
        <v>1321.2861327999999</v>
      </c>
      <c r="J671">
        <v>1317.1971435999999</v>
      </c>
      <c r="K671">
        <v>2750</v>
      </c>
      <c r="L671">
        <v>0</v>
      </c>
      <c r="M671">
        <v>0</v>
      </c>
      <c r="N671">
        <v>2750</v>
      </c>
    </row>
    <row r="672" spans="1:14" x14ac:dyDescent="0.25">
      <c r="A672">
        <v>137.716599</v>
      </c>
      <c r="B672" s="1">
        <f>DATE(2010,9,15) + TIME(17,11,54)</f>
        <v>40436.716597222221</v>
      </c>
      <c r="C672">
        <v>80</v>
      </c>
      <c r="D672">
        <v>79.952522278000004</v>
      </c>
      <c r="E672">
        <v>40</v>
      </c>
      <c r="F672">
        <v>38.683849334999998</v>
      </c>
      <c r="G672">
        <v>1340.2689209</v>
      </c>
      <c r="H672">
        <v>1337.8828125</v>
      </c>
      <c r="I672">
        <v>1321.3029785000001</v>
      </c>
      <c r="J672">
        <v>1317.2253418</v>
      </c>
      <c r="K672">
        <v>2750</v>
      </c>
      <c r="L672">
        <v>0</v>
      </c>
      <c r="M672">
        <v>0</v>
      </c>
      <c r="N672">
        <v>2750</v>
      </c>
    </row>
    <row r="673" spans="1:14" x14ac:dyDescent="0.25">
      <c r="A673">
        <v>138.54254700000001</v>
      </c>
      <c r="B673" s="1">
        <f>DATE(2010,9,16) + TIME(13,1,16)</f>
        <v>40437.542546296296</v>
      </c>
      <c r="C673">
        <v>80</v>
      </c>
      <c r="D673">
        <v>79.952560425000001</v>
      </c>
      <c r="E673">
        <v>40</v>
      </c>
      <c r="F673">
        <v>39.041007995999998</v>
      </c>
      <c r="G673">
        <v>1340.2639160000001</v>
      </c>
      <c r="H673">
        <v>1337.8787841999999</v>
      </c>
      <c r="I673">
        <v>1321.3200684000001</v>
      </c>
      <c r="J673">
        <v>1317.2542725000001</v>
      </c>
      <c r="K673">
        <v>2750</v>
      </c>
      <c r="L673">
        <v>0</v>
      </c>
      <c r="M673">
        <v>0</v>
      </c>
      <c r="N673">
        <v>2750</v>
      </c>
    </row>
    <row r="674" spans="1:14" x14ac:dyDescent="0.25">
      <c r="A674">
        <v>139.37776500000001</v>
      </c>
      <c r="B674" s="1">
        <f>DATE(2010,9,17) + TIME(9,3,58)</f>
        <v>40438.377754629626</v>
      </c>
      <c r="C674">
        <v>80</v>
      </c>
      <c r="D674">
        <v>79.952606200999995</v>
      </c>
      <c r="E674">
        <v>40</v>
      </c>
      <c r="F674">
        <v>39.397941588999998</v>
      </c>
      <c r="G674">
        <v>1340.2590332</v>
      </c>
      <c r="H674">
        <v>1337.8748779</v>
      </c>
      <c r="I674">
        <v>1321.3372803</v>
      </c>
      <c r="J674">
        <v>1317.2833252</v>
      </c>
      <c r="K674">
        <v>2750</v>
      </c>
      <c r="L674">
        <v>0</v>
      </c>
      <c r="M674">
        <v>0</v>
      </c>
      <c r="N674">
        <v>2750</v>
      </c>
    </row>
    <row r="675" spans="1:14" x14ac:dyDescent="0.25">
      <c r="A675">
        <v>140.221994</v>
      </c>
      <c r="B675" s="1">
        <f>DATE(2010,9,18) + TIME(5,19,40)</f>
        <v>40439.221990740742</v>
      </c>
      <c r="C675">
        <v>80</v>
      </c>
      <c r="D675">
        <v>79.952644348000007</v>
      </c>
      <c r="E675">
        <v>40</v>
      </c>
      <c r="F675">
        <v>39.753154754999997</v>
      </c>
      <c r="G675">
        <v>1340.2540283000001</v>
      </c>
      <c r="H675">
        <v>1337.8709716999999</v>
      </c>
      <c r="I675">
        <v>1321.3546143000001</v>
      </c>
      <c r="J675">
        <v>1317.3126221</v>
      </c>
      <c r="K675">
        <v>2750</v>
      </c>
      <c r="L675">
        <v>0</v>
      </c>
      <c r="M675">
        <v>0</v>
      </c>
      <c r="N675">
        <v>2750</v>
      </c>
    </row>
    <row r="676" spans="1:14" x14ac:dyDescent="0.25">
      <c r="A676">
        <v>141.073725</v>
      </c>
      <c r="B676" s="1">
        <f>DATE(2010,9,19) + TIME(1,46,9)</f>
        <v>40440.07371527778</v>
      </c>
      <c r="C676">
        <v>80</v>
      </c>
      <c r="D676">
        <v>79.952690125000004</v>
      </c>
      <c r="E676">
        <v>40</v>
      </c>
      <c r="F676">
        <v>40.105712891000003</v>
      </c>
      <c r="G676">
        <v>1340.2491454999999</v>
      </c>
      <c r="H676">
        <v>1337.8669434000001</v>
      </c>
      <c r="I676">
        <v>1321.3720702999999</v>
      </c>
      <c r="J676">
        <v>1317.3420410000001</v>
      </c>
      <c r="K676">
        <v>2750</v>
      </c>
      <c r="L676">
        <v>0</v>
      </c>
      <c r="M676">
        <v>0</v>
      </c>
      <c r="N676">
        <v>2750</v>
      </c>
    </row>
    <row r="677" spans="1:14" x14ac:dyDescent="0.25">
      <c r="A677">
        <v>141.502545</v>
      </c>
      <c r="B677" s="1">
        <f>DATE(2010,9,19) + TIME(12,3,39)</f>
        <v>40440.502534722225</v>
      </c>
      <c r="C677">
        <v>80</v>
      </c>
      <c r="D677">
        <v>79.952705382999994</v>
      </c>
      <c r="E677">
        <v>40</v>
      </c>
      <c r="F677">
        <v>40.363117217999999</v>
      </c>
      <c r="G677">
        <v>1340.2442627</v>
      </c>
      <c r="H677">
        <v>1337.8630370999999</v>
      </c>
      <c r="I677">
        <v>1321.3923339999999</v>
      </c>
      <c r="J677">
        <v>1317.3687743999999</v>
      </c>
      <c r="K677">
        <v>2750</v>
      </c>
      <c r="L677">
        <v>0</v>
      </c>
      <c r="M677">
        <v>0</v>
      </c>
      <c r="N677">
        <v>2750</v>
      </c>
    </row>
    <row r="678" spans="1:14" x14ac:dyDescent="0.25">
      <c r="A678">
        <v>141.929396</v>
      </c>
      <c r="B678" s="1">
        <f>DATE(2010,9,19) + TIME(22,18,19)</f>
        <v>40440.929386574076</v>
      </c>
      <c r="C678">
        <v>80</v>
      </c>
      <c r="D678">
        <v>79.952728270999998</v>
      </c>
      <c r="E678">
        <v>40</v>
      </c>
      <c r="F678">
        <v>40.578937531000001</v>
      </c>
      <c r="G678">
        <v>1340.2418213000001</v>
      </c>
      <c r="H678">
        <v>1337.8610839999999</v>
      </c>
      <c r="I678">
        <v>1321.4006348</v>
      </c>
      <c r="J678">
        <v>1317.3861084</v>
      </c>
      <c r="K678">
        <v>2750</v>
      </c>
      <c r="L678">
        <v>0</v>
      </c>
      <c r="M678">
        <v>0</v>
      </c>
      <c r="N678">
        <v>2750</v>
      </c>
    </row>
    <row r="679" spans="1:14" x14ac:dyDescent="0.25">
      <c r="A679">
        <v>142.35567900000001</v>
      </c>
      <c r="B679" s="1">
        <f>DATE(2010,9,20) + TIME(8,32,10)</f>
        <v>40441.355671296296</v>
      </c>
      <c r="C679">
        <v>80</v>
      </c>
      <c r="D679">
        <v>79.952743530000006</v>
      </c>
      <c r="E679">
        <v>40</v>
      </c>
      <c r="F679">
        <v>40.772155761999997</v>
      </c>
      <c r="G679">
        <v>1340.2393798999999</v>
      </c>
      <c r="H679">
        <v>1337.8591309000001</v>
      </c>
      <c r="I679">
        <v>1321.4091797000001</v>
      </c>
      <c r="J679">
        <v>1317.4020995999999</v>
      </c>
      <c r="K679">
        <v>2750</v>
      </c>
      <c r="L679">
        <v>0</v>
      </c>
      <c r="M679">
        <v>0</v>
      </c>
      <c r="N679">
        <v>2750</v>
      </c>
    </row>
    <row r="680" spans="1:14" x14ac:dyDescent="0.25">
      <c r="A680">
        <v>142.78174999999999</v>
      </c>
      <c r="B680" s="1">
        <f>DATE(2010,9,20) + TIME(18,45,43)</f>
        <v>40441.781747685185</v>
      </c>
      <c r="C680">
        <v>80</v>
      </c>
      <c r="D680">
        <v>79.952766417999996</v>
      </c>
      <c r="E680">
        <v>40</v>
      </c>
      <c r="F680">
        <v>40.952648162999999</v>
      </c>
      <c r="G680">
        <v>1340.2369385</v>
      </c>
      <c r="H680">
        <v>1337.8571777</v>
      </c>
      <c r="I680">
        <v>1321.4178466999999</v>
      </c>
      <c r="J680">
        <v>1317.4173584</v>
      </c>
      <c r="K680">
        <v>2750</v>
      </c>
      <c r="L680">
        <v>0</v>
      </c>
      <c r="M680">
        <v>0</v>
      </c>
      <c r="N680">
        <v>2750</v>
      </c>
    </row>
    <row r="681" spans="1:14" x14ac:dyDescent="0.25">
      <c r="A681">
        <v>143.207821</v>
      </c>
      <c r="B681" s="1">
        <f>DATE(2010,9,21) + TIME(4,59,15)</f>
        <v>40442.207812499997</v>
      </c>
      <c r="C681">
        <v>80</v>
      </c>
      <c r="D681">
        <v>79.952789307000003</v>
      </c>
      <c r="E681">
        <v>40</v>
      </c>
      <c r="F681">
        <v>41.12562561</v>
      </c>
      <c r="G681">
        <v>1340.2346190999999</v>
      </c>
      <c r="H681">
        <v>1337.8553466999999</v>
      </c>
      <c r="I681">
        <v>1321.4263916</v>
      </c>
      <c r="J681">
        <v>1317.432251</v>
      </c>
      <c r="K681">
        <v>2750</v>
      </c>
      <c r="L681">
        <v>0</v>
      </c>
      <c r="M681">
        <v>0</v>
      </c>
      <c r="N681">
        <v>2750</v>
      </c>
    </row>
    <row r="682" spans="1:14" x14ac:dyDescent="0.25">
      <c r="A682">
        <v>143.633893</v>
      </c>
      <c r="B682" s="1">
        <f>DATE(2010,9,21) + TIME(15,12,48)</f>
        <v>40442.633888888886</v>
      </c>
      <c r="C682">
        <v>80</v>
      </c>
      <c r="D682">
        <v>79.952804564999994</v>
      </c>
      <c r="E682">
        <v>40</v>
      </c>
      <c r="F682">
        <v>41.293834685999997</v>
      </c>
      <c r="G682">
        <v>1340.2321777</v>
      </c>
      <c r="H682">
        <v>1337.8533935999999</v>
      </c>
      <c r="I682">
        <v>1321.4350586</v>
      </c>
      <c r="J682">
        <v>1317.4467772999999</v>
      </c>
      <c r="K682">
        <v>2750</v>
      </c>
      <c r="L682">
        <v>0</v>
      </c>
      <c r="M682">
        <v>0</v>
      </c>
      <c r="N682">
        <v>2750</v>
      </c>
    </row>
    <row r="683" spans="1:14" x14ac:dyDescent="0.25">
      <c r="A683">
        <v>144.05996400000001</v>
      </c>
      <c r="B683" s="1">
        <f>DATE(2010,9,22) + TIME(1,26,20)</f>
        <v>40443.059953703705</v>
      </c>
      <c r="C683">
        <v>80</v>
      </c>
      <c r="D683">
        <v>79.952827454000001</v>
      </c>
      <c r="E683">
        <v>40</v>
      </c>
      <c r="F683">
        <v>41.458717346</v>
      </c>
      <c r="G683">
        <v>1340.2298584</v>
      </c>
      <c r="H683">
        <v>1337.8515625</v>
      </c>
      <c r="I683">
        <v>1321.4437256000001</v>
      </c>
      <c r="J683">
        <v>1317.4610596</v>
      </c>
      <c r="K683">
        <v>2750</v>
      </c>
      <c r="L683">
        <v>0</v>
      </c>
      <c r="M683">
        <v>0</v>
      </c>
      <c r="N683">
        <v>2750</v>
      </c>
    </row>
    <row r="684" spans="1:14" x14ac:dyDescent="0.25">
      <c r="A684">
        <v>144.48603499999999</v>
      </c>
      <c r="B684" s="1">
        <f>DATE(2010,9,22) + TIME(11,39,53)</f>
        <v>40443.486030092594</v>
      </c>
      <c r="C684">
        <v>80</v>
      </c>
      <c r="D684">
        <v>79.952850342000005</v>
      </c>
      <c r="E684">
        <v>40</v>
      </c>
      <c r="F684">
        <v>41.621051788000003</v>
      </c>
      <c r="G684">
        <v>1340.2275391000001</v>
      </c>
      <c r="H684">
        <v>1337.8497314000001</v>
      </c>
      <c r="I684">
        <v>1321.4522704999999</v>
      </c>
      <c r="J684">
        <v>1317.4752197</v>
      </c>
      <c r="K684">
        <v>2750</v>
      </c>
      <c r="L684">
        <v>0</v>
      </c>
      <c r="M684">
        <v>0</v>
      </c>
      <c r="N684">
        <v>2750</v>
      </c>
    </row>
    <row r="685" spans="1:14" x14ac:dyDescent="0.25">
      <c r="A685">
        <v>145.338178</v>
      </c>
      <c r="B685" s="1">
        <f>DATE(2010,9,23) + TIME(8,6,58)</f>
        <v>40444.338171296295</v>
      </c>
      <c r="C685">
        <v>80</v>
      </c>
      <c r="D685">
        <v>79.952896117999998</v>
      </c>
      <c r="E685">
        <v>40</v>
      </c>
      <c r="F685">
        <v>41.838073729999998</v>
      </c>
      <c r="G685">
        <v>1340.2252197</v>
      </c>
      <c r="H685">
        <v>1337.8479004000001</v>
      </c>
      <c r="I685">
        <v>1321.4593506000001</v>
      </c>
      <c r="J685">
        <v>1317.4909668</v>
      </c>
      <c r="K685">
        <v>2750</v>
      </c>
      <c r="L685">
        <v>0</v>
      </c>
      <c r="M685">
        <v>0</v>
      </c>
      <c r="N685">
        <v>2750</v>
      </c>
    </row>
    <row r="686" spans="1:14" x14ac:dyDescent="0.25">
      <c r="A686">
        <v>146.19042099999999</v>
      </c>
      <c r="B686" s="1">
        <f>DATE(2010,9,24) + TIME(4,34,12)</f>
        <v>40445.190416666665</v>
      </c>
      <c r="C686">
        <v>80</v>
      </c>
      <c r="D686">
        <v>79.952941894999995</v>
      </c>
      <c r="E686">
        <v>40</v>
      </c>
      <c r="F686">
        <v>42.116394043</v>
      </c>
      <c r="G686">
        <v>1340.2205810999999</v>
      </c>
      <c r="H686">
        <v>1337.8442382999999</v>
      </c>
      <c r="I686">
        <v>1321.4763184000001</v>
      </c>
      <c r="J686">
        <v>1317.515625</v>
      </c>
      <c r="K686">
        <v>2750</v>
      </c>
      <c r="L686">
        <v>0</v>
      </c>
      <c r="M686">
        <v>0</v>
      </c>
      <c r="N686">
        <v>2750</v>
      </c>
    </row>
    <row r="687" spans="1:14" x14ac:dyDescent="0.25">
      <c r="A687">
        <v>147.05219199999999</v>
      </c>
      <c r="B687" s="1">
        <f>DATE(2010,9,25) + TIME(1,15,9)</f>
        <v>40446.052187499998</v>
      </c>
      <c r="C687">
        <v>80</v>
      </c>
      <c r="D687">
        <v>79.952987671000002</v>
      </c>
      <c r="E687">
        <v>40</v>
      </c>
      <c r="F687">
        <v>42.413455962999997</v>
      </c>
      <c r="G687">
        <v>1340.2160644999999</v>
      </c>
      <c r="H687">
        <v>1337.8405762</v>
      </c>
      <c r="I687">
        <v>1321.4930420000001</v>
      </c>
      <c r="J687">
        <v>1317.5418701000001</v>
      </c>
      <c r="K687">
        <v>2750</v>
      </c>
      <c r="L687">
        <v>0</v>
      </c>
      <c r="M687">
        <v>0</v>
      </c>
      <c r="N687">
        <v>2750</v>
      </c>
    </row>
    <row r="688" spans="1:14" x14ac:dyDescent="0.25">
      <c r="A688">
        <v>147.92609200000001</v>
      </c>
      <c r="B688" s="1">
        <f>DATE(2010,9,25) + TIME(22,13,34)</f>
        <v>40446.926087962966</v>
      </c>
      <c r="C688">
        <v>80</v>
      </c>
      <c r="D688">
        <v>79.953033446999996</v>
      </c>
      <c r="E688">
        <v>40</v>
      </c>
      <c r="F688">
        <v>42.715671538999999</v>
      </c>
      <c r="G688">
        <v>1340.2115478999999</v>
      </c>
      <c r="H688">
        <v>1337.8369141000001</v>
      </c>
      <c r="I688">
        <v>1321.5100098</v>
      </c>
      <c r="J688">
        <v>1317.5688477000001</v>
      </c>
      <c r="K688">
        <v>2750</v>
      </c>
      <c r="L688">
        <v>0</v>
      </c>
      <c r="M688">
        <v>0</v>
      </c>
      <c r="N688">
        <v>2750</v>
      </c>
    </row>
    <row r="689" spans="1:14" x14ac:dyDescent="0.25">
      <c r="A689">
        <v>148.81485000000001</v>
      </c>
      <c r="B689" s="1">
        <f>DATE(2010,9,26) + TIME(19,33,23)</f>
        <v>40447.814849537041</v>
      </c>
      <c r="C689">
        <v>80</v>
      </c>
      <c r="D689">
        <v>79.953079224000007</v>
      </c>
      <c r="E689">
        <v>40</v>
      </c>
      <c r="F689">
        <v>43.018703461000001</v>
      </c>
      <c r="G689">
        <v>1340.2069091999999</v>
      </c>
      <c r="H689">
        <v>1337.833374</v>
      </c>
      <c r="I689">
        <v>1321.5269774999999</v>
      </c>
      <c r="J689">
        <v>1317.5960693</v>
      </c>
      <c r="K689">
        <v>2750</v>
      </c>
      <c r="L689">
        <v>0</v>
      </c>
      <c r="M689">
        <v>0</v>
      </c>
      <c r="N689">
        <v>2750</v>
      </c>
    </row>
    <row r="690" spans="1:14" x14ac:dyDescent="0.25">
      <c r="A690">
        <v>149.71060900000001</v>
      </c>
      <c r="B690" s="1">
        <f>DATE(2010,9,27) + TIME(17,3,16)</f>
        <v>40448.710601851853</v>
      </c>
      <c r="C690">
        <v>80</v>
      </c>
      <c r="D690">
        <v>79.953117371000005</v>
      </c>
      <c r="E690">
        <v>40</v>
      </c>
      <c r="F690">
        <v>43.320289612000003</v>
      </c>
      <c r="G690">
        <v>1340.2023925999999</v>
      </c>
      <c r="H690">
        <v>1337.8297118999999</v>
      </c>
      <c r="I690">
        <v>1321.5443115</v>
      </c>
      <c r="J690">
        <v>1317.6234131000001</v>
      </c>
      <c r="K690">
        <v>2750</v>
      </c>
      <c r="L690">
        <v>0</v>
      </c>
      <c r="M690">
        <v>0</v>
      </c>
      <c r="N690">
        <v>2750</v>
      </c>
    </row>
    <row r="691" spans="1:14" x14ac:dyDescent="0.25">
      <c r="A691">
        <v>150.61612199999999</v>
      </c>
      <c r="B691" s="1">
        <f>DATE(2010,9,28) + TIME(14,47,12)</f>
        <v>40449.616111111114</v>
      </c>
      <c r="C691">
        <v>80</v>
      </c>
      <c r="D691">
        <v>79.953163146999998</v>
      </c>
      <c r="E691">
        <v>40</v>
      </c>
      <c r="F691">
        <v>43.619018554999997</v>
      </c>
      <c r="G691">
        <v>1340.1977539</v>
      </c>
      <c r="H691">
        <v>1337.8261719</v>
      </c>
      <c r="I691">
        <v>1321.5615233999999</v>
      </c>
      <c r="J691">
        <v>1317.6507568</v>
      </c>
      <c r="K691">
        <v>2750</v>
      </c>
      <c r="L691">
        <v>0</v>
      </c>
      <c r="M691">
        <v>0</v>
      </c>
      <c r="N691">
        <v>2750</v>
      </c>
    </row>
    <row r="692" spans="1:14" x14ac:dyDescent="0.25">
      <c r="A692">
        <v>151.53394599999999</v>
      </c>
      <c r="B692" s="1">
        <f>DATE(2010,9,29) + TIME(12,48,52)</f>
        <v>40450.533935185187</v>
      </c>
      <c r="C692">
        <v>80</v>
      </c>
      <c r="D692">
        <v>79.953208923000005</v>
      </c>
      <c r="E692">
        <v>40</v>
      </c>
      <c r="F692">
        <v>43.914848327999998</v>
      </c>
      <c r="G692">
        <v>1340.1932373</v>
      </c>
      <c r="H692">
        <v>1337.8225098</v>
      </c>
      <c r="I692">
        <v>1321.5788574000001</v>
      </c>
      <c r="J692">
        <v>1317.6781006000001</v>
      </c>
      <c r="K692">
        <v>2750</v>
      </c>
      <c r="L692">
        <v>0</v>
      </c>
      <c r="M692">
        <v>0</v>
      </c>
      <c r="N692">
        <v>2750</v>
      </c>
    </row>
    <row r="693" spans="1:14" x14ac:dyDescent="0.25">
      <c r="A693">
        <v>151.99411599999999</v>
      </c>
      <c r="B693" s="1">
        <f>DATE(2010,9,29) + TIME(23,51,31)</f>
        <v>40450.994108796294</v>
      </c>
      <c r="C693">
        <v>80</v>
      </c>
      <c r="D693">
        <v>79.953231811999999</v>
      </c>
      <c r="E693">
        <v>40</v>
      </c>
      <c r="F693">
        <v>44.134243011000002</v>
      </c>
      <c r="G693">
        <v>1340.1885986</v>
      </c>
      <c r="H693">
        <v>1337.8189697</v>
      </c>
      <c r="I693">
        <v>1321.5980225000001</v>
      </c>
      <c r="J693">
        <v>1317.7032471</v>
      </c>
      <c r="K693">
        <v>2750</v>
      </c>
      <c r="L693">
        <v>0</v>
      </c>
      <c r="M693">
        <v>0</v>
      </c>
      <c r="N693">
        <v>2750</v>
      </c>
    </row>
    <row r="694" spans="1:14" x14ac:dyDescent="0.25">
      <c r="A694">
        <v>152.45291700000001</v>
      </c>
      <c r="B694" s="1">
        <f>DATE(2010,9,30) + TIME(10,52,12)</f>
        <v>40451.452916666669</v>
      </c>
      <c r="C694">
        <v>80</v>
      </c>
      <c r="D694">
        <v>79.953247070000003</v>
      </c>
      <c r="E694">
        <v>40</v>
      </c>
      <c r="F694">
        <v>44.314666748</v>
      </c>
      <c r="G694">
        <v>1340.1864014</v>
      </c>
      <c r="H694">
        <v>1337.8171387</v>
      </c>
      <c r="I694">
        <v>1321.6066894999999</v>
      </c>
      <c r="J694">
        <v>1317.7193603999999</v>
      </c>
      <c r="K694">
        <v>2750</v>
      </c>
      <c r="L694">
        <v>0</v>
      </c>
      <c r="M694">
        <v>0</v>
      </c>
      <c r="N694">
        <v>2750</v>
      </c>
    </row>
    <row r="695" spans="1:14" x14ac:dyDescent="0.25">
      <c r="A695">
        <v>153</v>
      </c>
      <c r="B695" s="1">
        <f>DATE(2010,10,1) + TIME(0,0,0)</f>
        <v>40452</v>
      </c>
      <c r="C695">
        <v>80</v>
      </c>
      <c r="D695">
        <v>79.953277588000006</v>
      </c>
      <c r="E695">
        <v>40</v>
      </c>
      <c r="F695">
        <v>44.488983154000003</v>
      </c>
      <c r="G695">
        <v>1340.184082</v>
      </c>
      <c r="H695">
        <v>1337.8153076000001</v>
      </c>
      <c r="I695">
        <v>1321.6149902</v>
      </c>
      <c r="J695">
        <v>1317.7347411999999</v>
      </c>
      <c r="K695">
        <v>2750</v>
      </c>
      <c r="L695">
        <v>0</v>
      </c>
      <c r="M695">
        <v>0</v>
      </c>
      <c r="N695">
        <v>2750</v>
      </c>
    </row>
    <row r="696" spans="1:14" x14ac:dyDescent="0.25">
      <c r="A696">
        <v>153.45844299999999</v>
      </c>
      <c r="B696" s="1">
        <f>DATE(2010,10,1) + TIME(11,0,9)</f>
        <v>40452.458437499998</v>
      </c>
      <c r="C696">
        <v>80</v>
      </c>
      <c r="D696">
        <v>79.953300475999995</v>
      </c>
      <c r="E696">
        <v>40</v>
      </c>
      <c r="F696">
        <v>44.644767760999997</v>
      </c>
      <c r="G696">
        <v>1340.1813964999999</v>
      </c>
      <c r="H696">
        <v>1337.8132324000001</v>
      </c>
      <c r="I696">
        <v>1321.6256103999999</v>
      </c>
      <c r="J696">
        <v>1317.7506103999999</v>
      </c>
      <c r="K696">
        <v>2750</v>
      </c>
      <c r="L696">
        <v>0</v>
      </c>
      <c r="M696">
        <v>0</v>
      </c>
      <c r="N696">
        <v>2750</v>
      </c>
    </row>
    <row r="697" spans="1:14" x14ac:dyDescent="0.25">
      <c r="A697">
        <v>154.375328</v>
      </c>
      <c r="B697" s="1">
        <f>DATE(2010,10,2) + TIME(9,0,28)</f>
        <v>40453.375324074077</v>
      </c>
      <c r="C697">
        <v>80</v>
      </c>
      <c r="D697">
        <v>79.953346252000003</v>
      </c>
      <c r="E697">
        <v>40</v>
      </c>
      <c r="F697">
        <v>44.839447020999998</v>
      </c>
      <c r="G697">
        <v>1340.1791992000001</v>
      </c>
      <c r="H697">
        <v>1337.8115233999999</v>
      </c>
      <c r="I697">
        <v>1321.6330565999999</v>
      </c>
      <c r="J697">
        <v>1317.7661132999999</v>
      </c>
      <c r="K697">
        <v>2750</v>
      </c>
      <c r="L697">
        <v>0</v>
      </c>
      <c r="M697">
        <v>0</v>
      </c>
      <c r="N697">
        <v>2750</v>
      </c>
    </row>
    <row r="698" spans="1:14" x14ac:dyDescent="0.25">
      <c r="A698">
        <v>155.292911</v>
      </c>
      <c r="B698" s="1">
        <f>DATE(2010,10,3) + TIME(7,1,47)</f>
        <v>40454.292905092596</v>
      </c>
      <c r="C698">
        <v>80</v>
      </c>
      <c r="D698">
        <v>79.953399657999995</v>
      </c>
      <c r="E698">
        <v>40</v>
      </c>
      <c r="F698">
        <v>45.084575653000002</v>
      </c>
      <c r="G698">
        <v>1340.1748047000001</v>
      </c>
      <c r="H698">
        <v>1337.8081055</v>
      </c>
      <c r="I698">
        <v>1321.6497803</v>
      </c>
      <c r="J698">
        <v>1317.7899170000001</v>
      </c>
      <c r="K698">
        <v>2750</v>
      </c>
      <c r="L698">
        <v>0</v>
      </c>
      <c r="M698">
        <v>0</v>
      </c>
      <c r="N698">
        <v>2750</v>
      </c>
    </row>
    <row r="699" spans="1:14" x14ac:dyDescent="0.25">
      <c r="A699">
        <v>156.21661</v>
      </c>
      <c r="B699" s="1">
        <f>DATE(2010,10,4) + TIME(5,11,55)</f>
        <v>40455.216608796298</v>
      </c>
      <c r="C699">
        <v>80</v>
      </c>
      <c r="D699">
        <v>79.953445435000006</v>
      </c>
      <c r="E699">
        <v>40</v>
      </c>
      <c r="F699">
        <v>45.343143462999997</v>
      </c>
      <c r="G699">
        <v>1340.1704102000001</v>
      </c>
      <c r="H699">
        <v>1337.8046875</v>
      </c>
      <c r="I699">
        <v>1321.666626</v>
      </c>
      <c r="J699">
        <v>1317.8151855000001</v>
      </c>
      <c r="K699">
        <v>2750</v>
      </c>
      <c r="L699">
        <v>0</v>
      </c>
      <c r="M699">
        <v>0</v>
      </c>
      <c r="N699">
        <v>2750</v>
      </c>
    </row>
    <row r="700" spans="1:14" x14ac:dyDescent="0.25">
      <c r="A700">
        <v>157.14599699999999</v>
      </c>
      <c r="B700" s="1">
        <f>DATE(2010,10,5) + TIME(3,30,14)</f>
        <v>40456.145995370367</v>
      </c>
      <c r="C700">
        <v>80</v>
      </c>
      <c r="D700">
        <v>79.953491210999999</v>
      </c>
      <c r="E700">
        <v>40</v>
      </c>
      <c r="F700">
        <v>45.603656768999997</v>
      </c>
      <c r="G700">
        <v>1340.1661377</v>
      </c>
      <c r="H700">
        <v>1337.8012695</v>
      </c>
      <c r="I700">
        <v>1321.6835937999999</v>
      </c>
      <c r="J700">
        <v>1317.8409423999999</v>
      </c>
      <c r="K700">
        <v>2750</v>
      </c>
      <c r="L700">
        <v>0</v>
      </c>
      <c r="M700">
        <v>0</v>
      </c>
      <c r="N700">
        <v>2750</v>
      </c>
    </row>
    <row r="701" spans="1:14" x14ac:dyDescent="0.25">
      <c r="A701">
        <v>158.08412000000001</v>
      </c>
      <c r="B701" s="1">
        <f>DATE(2010,10,6) + TIME(2,1,7)</f>
        <v>40457.084108796298</v>
      </c>
      <c r="C701">
        <v>80</v>
      </c>
      <c r="D701">
        <v>79.953536987000007</v>
      </c>
      <c r="E701">
        <v>40</v>
      </c>
      <c r="F701">
        <v>45.862621306999998</v>
      </c>
      <c r="G701">
        <v>1340.1618652</v>
      </c>
      <c r="H701">
        <v>1337.7978516000001</v>
      </c>
      <c r="I701">
        <v>1321.7005615</v>
      </c>
      <c r="J701">
        <v>1317.8668213000001</v>
      </c>
      <c r="K701">
        <v>2750</v>
      </c>
      <c r="L701">
        <v>0</v>
      </c>
      <c r="M701">
        <v>0</v>
      </c>
      <c r="N701">
        <v>2750</v>
      </c>
    </row>
    <row r="702" spans="1:14" x14ac:dyDescent="0.25">
      <c r="A702">
        <v>159.02944099999999</v>
      </c>
      <c r="B702" s="1">
        <f>DATE(2010,10,7) + TIME(0,42,23)</f>
        <v>40458.029432870368</v>
      </c>
      <c r="C702">
        <v>80</v>
      </c>
      <c r="D702">
        <v>79.953582764000004</v>
      </c>
      <c r="E702">
        <v>40</v>
      </c>
      <c r="F702">
        <v>46.119083404999998</v>
      </c>
      <c r="G702">
        <v>1340.1574707</v>
      </c>
      <c r="H702">
        <v>1337.7945557</v>
      </c>
      <c r="I702">
        <v>1321.7176514</v>
      </c>
      <c r="J702">
        <v>1317.8928223</v>
      </c>
      <c r="K702">
        <v>2750</v>
      </c>
      <c r="L702">
        <v>0</v>
      </c>
      <c r="M702">
        <v>0</v>
      </c>
      <c r="N702">
        <v>2750</v>
      </c>
    </row>
    <row r="703" spans="1:14" x14ac:dyDescent="0.25">
      <c r="A703">
        <v>159.98429100000001</v>
      </c>
      <c r="B703" s="1">
        <f>DATE(2010,10,7) + TIME(23,37,22)</f>
        <v>40458.984282407408</v>
      </c>
      <c r="C703">
        <v>80</v>
      </c>
      <c r="D703">
        <v>79.953628539999997</v>
      </c>
      <c r="E703">
        <v>40</v>
      </c>
      <c r="F703">
        <v>46.372806549000003</v>
      </c>
      <c r="G703">
        <v>1340.1531981999999</v>
      </c>
      <c r="H703">
        <v>1337.7912598</v>
      </c>
      <c r="I703">
        <v>1321.7347411999999</v>
      </c>
      <c r="J703">
        <v>1317.9188231999999</v>
      </c>
      <c r="K703">
        <v>2750</v>
      </c>
      <c r="L703">
        <v>0</v>
      </c>
      <c r="M703">
        <v>0</v>
      </c>
      <c r="N703">
        <v>2750</v>
      </c>
    </row>
    <row r="704" spans="1:14" x14ac:dyDescent="0.25">
      <c r="A704">
        <v>160.950681</v>
      </c>
      <c r="B704" s="1">
        <f>DATE(2010,10,8) + TIME(22,48,58)</f>
        <v>40459.950671296298</v>
      </c>
      <c r="C704">
        <v>80</v>
      </c>
      <c r="D704">
        <v>79.953674316000004</v>
      </c>
      <c r="E704">
        <v>40</v>
      </c>
      <c r="F704">
        <v>46.624114990000002</v>
      </c>
      <c r="G704">
        <v>1340.1489257999999</v>
      </c>
      <c r="H704">
        <v>1337.7878418</v>
      </c>
      <c r="I704">
        <v>1321.7519531</v>
      </c>
      <c r="J704">
        <v>1317.9449463000001</v>
      </c>
      <c r="K704">
        <v>2750</v>
      </c>
      <c r="L704">
        <v>0</v>
      </c>
      <c r="M704">
        <v>0</v>
      </c>
      <c r="N704">
        <v>2750</v>
      </c>
    </row>
    <row r="705" spans="1:14" x14ac:dyDescent="0.25">
      <c r="A705">
        <v>161.92461700000001</v>
      </c>
      <c r="B705" s="1">
        <f>DATE(2010,10,9) + TIME(22,11,26)</f>
        <v>40460.92460648148</v>
      </c>
      <c r="C705">
        <v>80</v>
      </c>
      <c r="D705">
        <v>79.953727721999996</v>
      </c>
      <c r="E705">
        <v>40</v>
      </c>
      <c r="F705">
        <v>46.873016356999997</v>
      </c>
      <c r="G705">
        <v>1340.1446533000001</v>
      </c>
      <c r="H705">
        <v>1337.7845459</v>
      </c>
      <c r="I705">
        <v>1321.7692870999999</v>
      </c>
      <c r="J705">
        <v>1317.9711914</v>
      </c>
      <c r="K705">
        <v>2750</v>
      </c>
      <c r="L705">
        <v>0</v>
      </c>
      <c r="M705">
        <v>0</v>
      </c>
      <c r="N705">
        <v>2750</v>
      </c>
    </row>
    <row r="706" spans="1:14" x14ac:dyDescent="0.25">
      <c r="A706">
        <v>162.909325</v>
      </c>
      <c r="B706" s="1">
        <f>DATE(2010,10,10) + TIME(21,49,25)</f>
        <v>40461.909317129626</v>
      </c>
      <c r="C706">
        <v>80</v>
      </c>
      <c r="D706">
        <v>79.953773498999993</v>
      </c>
      <c r="E706">
        <v>40</v>
      </c>
      <c r="F706">
        <v>47.119403839</v>
      </c>
      <c r="G706">
        <v>1340.1403809000001</v>
      </c>
      <c r="H706">
        <v>1337.78125</v>
      </c>
      <c r="I706">
        <v>1321.7866211</v>
      </c>
      <c r="J706">
        <v>1317.9973144999999</v>
      </c>
      <c r="K706">
        <v>2750</v>
      </c>
      <c r="L706">
        <v>0</v>
      </c>
      <c r="M706">
        <v>0</v>
      </c>
      <c r="N706">
        <v>2750</v>
      </c>
    </row>
    <row r="707" spans="1:14" x14ac:dyDescent="0.25">
      <c r="A707">
        <v>163.403223</v>
      </c>
      <c r="B707" s="1">
        <f>DATE(2010,10,11) + TIME(9,40,38)</f>
        <v>40462.403217592589</v>
      </c>
      <c r="C707">
        <v>80</v>
      </c>
      <c r="D707">
        <v>79.953796386999997</v>
      </c>
      <c r="E707">
        <v>40</v>
      </c>
      <c r="F707">
        <v>47.305320739999999</v>
      </c>
      <c r="G707">
        <v>1340.1361084</v>
      </c>
      <c r="H707">
        <v>1337.7779541</v>
      </c>
      <c r="I707">
        <v>1321.8052978999999</v>
      </c>
      <c r="J707">
        <v>1318.0216064000001</v>
      </c>
      <c r="K707">
        <v>2750</v>
      </c>
      <c r="L707">
        <v>0</v>
      </c>
      <c r="M707">
        <v>0</v>
      </c>
      <c r="N707">
        <v>2750</v>
      </c>
    </row>
    <row r="708" spans="1:14" x14ac:dyDescent="0.25">
      <c r="A708">
        <v>163.89576199999999</v>
      </c>
      <c r="B708" s="1">
        <f>DATE(2010,10,11) + TIME(21,29,53)</f>
        <v>40462.895752314813</v>
      </c>
      <c r="C708">
        <v>80</v>
      </c>
      <c r="D708">
        <v>79.953811646000005</v>
      </c>
      <c r="E708">
        <v>40</v>
      </c>
      <c r="F708">
        <v>47.455764770999998</v>
      </c>
      <c r="G708">
        <v>1340.1340332</v>
      </c>
      <c r="H708">
        <v>1337.7762451000001</v>
      </c>
      <c r="I708">
        <v>1321.8142089999999</v>
      </c>
      <c r="J708">
        <v>1318.0372314000001</v>
      </c>
      <c r="K708">
        <v>2750</v>
      </c>
      <c r="L708">
        <v>0</v>
      </c>
      <c r="M708">
        <v>0</v>
      </c>
      <c r="N708">
        <v>2750</v>
      </c>
    </row>
    <row r="709" spans="1:14" x14ac:dyDescent="0.25">
      <c r="A709">
        <v>164.38830200000001</v>
      </c>
      <c r="B709" s="1">
        <f>DATE(2010,10,12) + TIME(9,19,9)</f>
        <v>40463.388298611113</v>
      </c>
      <c r="C709">
        <v>80</v>
      </c>
      <c r="D709">
        <v>79.953842163000004</v>
      </c>
      <c r="E709">
        <v>40</v>
      </c>
      <c r="F709">
        <v>47.588851929</v>
      </c>
      <c r="G709">
        <v>1340.1319579999999</v>
      </c>
      <c r="H709">
        <v>1337.7746582</v>
      </c>
      <c r="I709">
        <v>1321.8229980000001</v>
      </c>
      <c r="J709">
        <v>1318.0515137</v>
      </c>
      <c r="K709">
        <v>2750</v>
      </c>
      <c r="L709">
        <v>0</v>
      </c>
      <c r="M709">
        <v>0</v>
      </c>
      <c r="N709">
        <v>2750</v>
      </c>
    </row>
    <row r="710" spans="1:14" x14ac:dyDescent="0.25">
      <c r="A710">
        <v>164.880842</v>
      </c>
      <c r="B710" s="1">
        <f>DATE(2010,10,12) + TIME(21,8,24)</f>
        <v>40463.880833333336</v>
      </c>
      <c r="C710">
        <v>80</v>
      </c>
      <c r="D710">
        <v>79.953865050999994</v>
      </c>
      <c r="E710">
        <v>40</v>
      </c>
      <c r="F710">
        <v>47.713050842000001</v>
      </c>
      <c r="G710">
        <v>1340.1297606999999</v>
      </c>
      <c r="H710">
        <v>1337.7730713000001</v>
      </c>
      <c r="I710">
        <v>1321.8317870999999</v>
      </c>
      <c r="J710">
        <v>1318.0651855000001</v>
      </c>
      <c r="K710">
        <v>2750</v>
      </c>
      <c r="L710">
        <v>0</v>
      </c>
      <c r="M710">
        <v>0</v>
      </c>
      <c r="N710">
        <v>2750</v>
      </c>
    </row>
    <row r="711" spans="1:14" x14ac:dyDescent="0.25">
      <c r="A711">
        <v>165.37338099999999</v>
      </c>
      <c r="B711" s="1">
        <f>DATE(2010,10,13) + TIME(8,57,40)</f>
        <v>40464.373379629629</v>
      </c>
      <c r="C711">
        <v>80</v>
      </c>
      <c r="D711">
        <v>79.953887938999998</v>
      </c>
      <c r="E711">
        <v>40</v>
      </c>
      <c r="F711">
        <v>47.832374573000003</v>
      </c>
      <c r="G711">
        <v>1340.1278076000001</v>
      </c>
      <c r="H711">
        <v>1337.7714844</v>
      </c>
      <c r="I711">
        <v>1321.8404541</v>
      </c>
      <c r="J711">
        <v>1318.0784911999999</v>
      </c>
      <c r="K711">
        <v>2750</v>
      </c>
      <c r="L711">
        <v>0</v>
      </c>
      <c r="M711">
        <v>0</v>
      </c>
      <c r="N711">
        <v>2750</v>
      </c>
    </row>
    <row r="712" spans="1:14" x14ac:dyDescent="0.25">
      <c r="A712">
        <v>165.86592099999999</v>
      </c>
      <c r="B712" s="1">
        <f>DATE(2010,10,13) + TIME(20,46,55)</f>
        <v>40464.865914351853</v>
      </c>
      <c r="C712">
        <v>80</v>
      </c>
      <c r="D712">
        <v>79.953910828000005</v>
      </c>
      <c r="E712">
        <v>40</v>
      </c>
      <c r="F712">
        <v>47.948734283</v>
      </c>
      <c r="G712">
        <v>1340.1257324000001</v>
      </c>
      <c r="H712">
        <v>1337.7698975000001</v>
      </c>
      <c r="I712">
        <v>1321.848999</v>
      </c>
      <c r="J712">
        <v>1318.0914307</v>
      </c>
      <c r="K712">
        <v>2750</v>
      </c>
      <c r="L712">
        <v>0</v>
      </c>
      <c r="M712">
        <v>0</v>
      </c>
      <c r="N712">
        <v>2750</v>
      </c>
    </row>
    <row r="713" spans="1:14" x14ac:dyDescent="0.25">
      <c r="A713">
        <v>166.35846100000001</v>
      </c>
      <c r="B713" s="1">
        <f>DATE(2010,10,14) + TIME(8,36,11)</f>
        <v>40465.358460648145</v>
      </c>
      <c r="C713">
        <v>80</v>
      </c>
      <c r="D713">
        <v>79.953933715999995</v>
      </c>
      <c r="E713">
        <v>40</v>
      </c>
      <c r="F713">
        <v>48.063056946000003</v>
      </c>
      <c r="G713">
        <v>1340.1236572</v>
      </c>
      <c r="H713">
        <v>1337.7683105000001</v>
      </c>
      <c r="I713">
        <v>1321.8576660000001</v>
      </c>
      <c r="J713">
        <v>1318.1043701000001</v>
      </c>
      <c r="K713">
        <v>2750</v>
      </c>
      <c r="L713">
        <v>0</v>
      </c>
      <c r="M713">
        <v>0</v>
      </c>
      <c r="N713">
        <v>2750</v>
      </c>
    </row>
    <row r="714" spans="1:14" x14ac:dyDescent="0.25">
      <c r="A714">
        <v>167.34353999999999</v>
      </c>
      <c r="B714" s="1">
        <f>DATE(2010,10,15) + TIME(8,14,41)</f>
        <v>40466.343530092592</v>
      </c>
      <c r="C714">
        <v>80</v>
      </c>
      <c r="D714">
        <v>79.953987122000001</v>
      </c>
      <c r="E714">
        <v>40</v>
      </c>
      <c r="F714">
        <v>48.210716247999997</v>
      </c>
      <c r="G714">
        <v>1340.121582</v>
      </c>
      <c r="H714">
        <v>1337.7667236</v>
      </c>
      <c r="I714">
        <v>1321.8654785000001</v>
      </c>
      <c r="J714">
        <v>1318.1184082</v>
      </c>
      <c r="K714">
        <v>2750</v>
      </c>
      <c r="L714">
        <v>0</v>
      </c>
      <c r="M714">
        <v>0</v>
      </c>
      <c r="N714">
        <v>2750</v>
      </c>
    </row>
    <row r="715" spans="1:14" x14ac:dyDescent="0.25">
      <c r="A715">
        <v>168.32982899999999</v>
      </c>
      <c r="B715" s="1">
        <f>DATE(2010,10,16) + TIME(7,54,57)</f>
        <v>40467.329826388886</v>
      </c>
      <c r="C715">
        <v>80</v>
      </c>
      <c r="D715">
        <v>79.954040527000004</v>
      </c>
      <c r="E715">
        <v>40</v>
      </c>
      <c r="F715">
        <v>48.408386229999998</v>
      </c>
      <c r="G715">
        <v>1340.1175536999999</v>
      </c>
      <c r="H715">
        <v>1337.7635498</v>
      </c>
      <c r="I715">
        <v>1321.8817139</v>
      </c>
      <c r="J715">
        <v>1318.140625</v>
      </c>
      <c r="K715">
        <v>2750</v>
      </c>
      <c r="L715">
        <v>0</v>
      </c>
      <c r="M715">
        <v>0</v>
      </c>
      <c r="N715">
        <v>2750</v>
      </c>
    </row>
    <row r="716" spans="1:14" x14ac:dyDescent="0.25">
      <c r="A716">
        <v>169.32775799999999</v>
      </c>
      <c r="B716" s="1">
        <f>DATE(2010,10,17) + TIME(7,51,58)</f>
        <v>40468.32775462963</v>
      </c>
      <c r="C716">
        <v>80</v>
      </c>
      <c r="D716">
        <v>79.954086304</v>
      </c>
      <c r="E716">
        <v>40</v>
      </c>
      <c r="F716">
        <v>48.619197845000002</v>
      </c>
      <c r="G716">
        <v>1340.1135254000001</v>
      </c>
      <c r="H716">
        <v>1337.7604980000001</v>
      </c>
      <c r="I716">
        <v>1321.8983154</v>
      </c>
      <c r="J716">
        <v>1318.1645507999999</v>
      </c>
      <c r="K716">
        <v>2750</v>
      </c>
      <c r="L716">
        <v>0</v>
      </c>
      <c r="M716">
        <v>0</v>
      </c>
      <c r="N716">
        <v>2750</v>
      </c>
    </row>
    <row r="717" spans="1:14" x14ac:dyDescent="0.25">
      <c r="A717">
        <v>170.34039799999999</v>
      </c>
      <c r="B717" s="1">
        <f>DATE(2010,10,18) + TIME(8,10,10)</f>
        <v>40469.34039351852</v>
      </c>
      <c r="C717">
        <v>80</v>
      </c>
      <c r="D717">
        <v>79.954139709000003</v>
      </c>
      <c r="E717">
        <v>40</v>
      </c>
      <c r="F717">
        <v>48.833305359000001</v>
      </c>
      <c r="G717">
        <v>1340.1094971</v>
      </c>
      <c r="H717">
        <v>1337.7574463000001</v>
      </c>
      <c r="I717">
        <v>1321.9150391000001</v>
      </c>
      <c r="J717">
        <v>1318.1892089999999</v>
      </c>
      <c r="K717">
        <v>2750</v>
      </c>
      <c r="L717">
        <v>0</v>
      </c>
      <c r="M717">
        <v>0</v>
      </c>
      <c r="N717">
        <v>2750</v>
      </c>
    </row>
    <row r="718" spans="1:14" x14ac:dyDescent="0.25">
      <c r="A718">
        <v>171.36572200000001</v>
      </c>
      <c r="B718" s="1">
        <f>DATE(2010,10,19) + TIME(8,46,38)</f>
        <v>40470.365717592591</v>
      </c>
      <c r="C718">
        <v>80</v>
      </c>
      <c r="D718">
        <v>79.954185486</v>
      </c>
      <c r="E718">
        <v>40</v>
      </c>
      <c r="F718">
        <v>49.047710418999998</v>
      </c>
      <c r="G718">
        <v>1340.1055908000001</v>
      </c>
      <c r="H718">
        <v>1337.7543945</v>
      </c>
      <c r="I718">
        <v>1321.9320068</v>
      </c>
      <c r="J718">
        <v>1318.2141113</v>
      </c>
      <c r="K718">
        <v>2750</v>
      </c>
      <c r="L718">
        <v>0</v>
      </c>
      <c r="M718">
        <v>0</v>
      </c>
      <c r="N718">
        <v>2750</v>
      </c>
    </row>
    <row r="719" spans="1:14" x14ac:dyDescent="0.25">
      <c r="A719">
        <v>172.400282</v>
      </c>
      <c r="B719" s="1">
        <f>DATE(2010,10,20) + TIME(9,36,24)</f>
        <v>40471.400277777779</v>
      </c>
      <c r="C719">
        <v>80</v>
      </c>
      <c r="D719">
        <v>79.954238892000006</v>
      </c>
      <c r="E719">
        <v>40</v>
      </c>
      <c r="F719">
        <v>49.261039734000001</v>
      </c>
      <c r="G719">
        <v>1340.1015625</v>
      </c>
      <c r="H719">
        <v>1337.7513428</v>
      </c>
      <c r="I719">
        <v>1321.9490966999999</v>
      </c>
      <c r="J719">
        <v>1318.2392577999999</v>
      </c>
      <c r="K719">
        <v>2750</v>
      </c>
      <c r="L719">
        <v>0</v>
      </c>
      <c r="M719">
        <v>0</v>
      </c>
      <c r="N719">
        <v>2750</v>
      </c>
    </row>
    <row r="720" spans="1:14" x14ac:dyDescent="0.25">
      <c r="A720">
        <v>173.44764000000001</v>
      </c>
      <c r="B720" s="1">
        <f>DATE(2010,10,21) + TIME(10,44,36)</f>
        <v>40472.447638888887</v>
      </c>
      <c r="C720">
        <v>80</v>
      </c>
      <c r="D720">
        <v>79.954292296999995</v>
      </c>
      <c r="E720">
        <v>40</v>
      </c>
      <c r="F720">
        <v>49.472785950000002</v>
      </c>
      <c r="G720">
        <v>1340.0975341999999</v>
      </c>
      <c r="H720">
        <v>1337.7481689000001</v>
      </c>
      <c r="I720">
        <v>1321.9661865</v>
      </c>
      <c r="J720">
        <v>1318.2644043</v>
      </c>
      <c r="K720">
        <v>2750</v>
      </c>
      <c r="L720">
        <v>0</v>
      </c>
      <c r="M720">
        <v>0</v>
      </c>
      <c r="N720">
        <v>2750</v>
      </c>
    </row>
    <row r="721" spans="1:14" x14ac:dyDescent="0.25">
      <c r="A721">
        <v>174.50530000000001</v>
      </c>
      <c r="B721" s="1">
        <f>DATE(2010,10,22) + TIME(12,7,37)</f>
        <v>40473.505289351851</v>
      </c>
      <c r="C721">
        <v>80</v>
      </c>
      <c r="D721">
        <v>79.954338074000006</v>
      </c>
      <c r="E721">
        <v>40</v>
      </c>
      <c r="F721">
        <v>49.682933806999998</v>
      </c>
      <c r="G721">
        <v>1340.0935059000001</v>
      </c>
      <c r="H721">
        <v>1337.7451172000001</v>
      </c>
      <c r="I721">
        <v>1321.9833983999999</v>
      </c>
      <c r="J721">
        <v>1318.2896728999999</v>
      </c>
      <c r="K721">
        <v>2750</v>
      </c>
      <c r="L721">
        <v>0</v>
      </c>
      <c r="M721">
        <v>0</v>
      </c>
      <c r="N721">
        <v>2750</v>
      </c>
    </row>
    <row r="722" spans="1:14" x14ac:dyDescent="0.25">
      <c r="A722">
        <v>175.03886900000001</v>
      </c>
      <c r="B722" s="1">
        <f>DATE(2010,10,23) + TIME(0,55,58)</f>
        <v>40474.038865740738</v>
      </c>
      <c r="C722">
        <v>80</v>
      </c>
      <c r="D722">
        <v>79.954360961999996</v>
      </c>
      <c r="E722">
        <v>40</v>
      </c>
      <c r="F722">
        <v>49.844387054000002</v>
      </c>
      <c r="G722">
        <v>1340.0894774999999</v>
      </c>
      <c r="H722">
        <v>1337.7420654</v>
      </c>
      <c r="I722">
        <v>1322.0013428</v>
      </c>
      <c r="J722">
        <v>1318.3131103999999</v>
      </c>
      <c r="K722">
        <v>2750</v>
      </c>
      <c r="L722">
        <v>0</v>
      </c>
      <c r="M722">
        <v>0</v>
      </c>
      <c r="N722">
        <v>2750</v>
      </c>
    </row>
    <row r="723" spans="1:14" x14ac:dyDescent="0.25">
      <c r="A723">
        <v>175.57243800000001</v>
      </c>
      <c r="B723" s="1">
        <f>DATE(2010,10,23) + TIME(13,44,18)</f>
        <v>40474.572430555556</v>
      </c>
      <c r="C723">
        <v>80</v>
      </c>
      <c r="D723">
        <v>79.954383849999999</v>
      </c>
      <c r="E723">
        <v>40</v>
      </c>
      <c r="F723">
        <v>49.973411560000002</v>
      </c>
      <c r="G723">
        <v>1340.0875243999999</v>
      </c>
      <c r="H723">
        <v>1337.7406006000001</v>
      </c>
      <c r="I723">
        <v>1322.0104980000001</v>
      </c>
      <c r="J723">
        <v>1318.3282471</v>
      </c>
      <c r="K723">
        <v>2750</v>
      </c>
      <c r="L723">
        <v>0</v>
      </c>
      <c r="M723">
        <v>0</v>
      </c>
      <c r="N723">
        <v>2750</v>
      </c>
    </row>
    <row r="724" spans="1:14" x14ac:dyDescent="0.25">
      <c r="A724">
        <v>176.10566399999999</v>
      </c>
      <c r="B724" s="1">
        <f>DATE(2010,10,24) + TIME(2,32,9)</f>
        <v>40475.10565972222</v>
      </c>
      <c r="C724">
        <v>80</v>
      </c>
      <c r="D724">
        <v>79.954414368000002</v>
      </c>
      <c r="E724">
        <v>40</v>
      </c>
      <c r="F724">
        <v>50.0872612</v>
      </c>
      <c r="G724">
        <v>1340.0854492000001</v>
      </c>
      <c r="H724">
        <v>1337.7391356999999</v>
      </c>
      <c r="I724">
        <v>1322.0194091999999</v>
      </c>
      <c r="J724">
        <v>1318.3421631000001</v>
      </c>
      <c r="K724">
        <v>2750</v>
      </c>
      <c r="L724">
        <v>0</v>
      </c>
      <c r="M724">
        <v>0</v>
      </c>
      <c r="N724">
        <v>2750</v>
      </c>
    </row>
    <row r="725" spans="1:14" x14ac:dyDescent="0.25">
      <c r="A725">
        <v>176.63834299999999</v>
      </c>
      <c r="B725" s="1">
        <f>DATE(2010,10,24) + TIME(15,19,12)</f>
        <v>40475.638333333336</v>
      </c>
      <c r="C725">
        <v>80</v>
      </c>
      <c r="D725">
        <v>79.954437256000006</v>
      </c>
      <c r="E725">
        <v>40</v>
      </c>
      <c r="F725">
        <v>50.19367218</v>
      </c>
      <c r="G725">
        <v>1340.0834961</v>
      </c>
      <c r="H725">
        <v>1337.7375488</v>
      </c>
      <c r="I725">
        <v>1322.0280762</v>
      </c>
      <c r="J725">
        <v>1318.3552245999999</v>
      </c>
      <c r="K725">
        <v>2750</v>
      </c>
      <c r="L725">
        <v>0</v>
      </c>
      <c r="M725">
        <v>0</v>
      </c>
      <c r="N725">
        <v>2750</v>
      </c>
    </row>
    <row r="726" spans="1:14" x14ac:dyDescent="0.25">
      <c r="A726">
        <v>177.17095900000001</v>
      </c>
      <c r="B726" s="1">
        <f>DATE(2010,10,25) + TIME(4,6,10)</f>
        <v>40476.170949074076</v>
      </c>
      <c r="C726">
        <v>80</v>
      </c>
      <c r="D726">
        <v>79.954460143999995</v>
      </c>
      <c r="E726">
        <v>40</v>
      </c>
      <c r="F726">
        <v>50.296134948999999</v>
      </c>
      <c r="G726">
        <v>1340.081543</v>
      </c>
      <c r="H726">
        <v>1337.7360839999999</v>
      </c>
      <c r="I726">
        <v>1322.0367432</v>
      </c>
      <c r="J726">
        <v>1318.3680420000001</v>
      </c>
      <c r="K726">
        <v>2750</v>
      </c>
      <c r="L726">
        <v>0</v>
      </c>
      <c r="M726">
        <v>0</v>
      </c>
      <c r="N726">
        <v>2750</v>
      </c>
    </row>
    <row r="727" spans="1:14" x14ac:dyDescent="0.25">
      <c r="A727">
        <v>177.703575</v>
      </c>
      <c r="B727" s="1">
        <f>DATE(2010,10,25) + TIME(16,53,8)</f>
        <v>40476.703564814816</v>
      </c>
      <c r="C727">
        <v>80</v>
      </c>
      <c r="D727">
        <v>79.954490661999998</v>
      </c>
      <c r="E727">
        <v>40</v>
      </c>
      <c r="F727">
        <v>50.396236420000001</v>
      </c>
      <c r="G727">
        <v>1340.0795897999999</v>
      </c>
      <c r="H727">
        <v>1337.7346190999999</v>
      </c>
      <c r="I727">
        <v>1322.0452881000001</v>
      </c>
      <c r="J727">
        <v>1318.3804932</v>
      </c>
      <c r="K727">
        <v>2750</v>
      </c>
      <c r="L727">
        <v>0</v>
      </c>
      <c r="M727">
        <v>0</v>
      </c>
      <c r="N727">
        <v>2750</v>
      </c>
    </row>
    <row r="728" spans="1:14" x14ac:dyDescent="0.25">
      <c r="A728">
        <v>178.23619199999999</v>
      </c>
      <c r="B728" s="1">
        <f>DATE(2010,10,26) + TIME(5,40,6)</f>
        <v>40477.236180555556</v>
      </c>
      <c r="C728">
        <v>80</v>
      </c>
      <c r="D728">
        <v>79.954513550000001</v>
      </c>
      <c r="E728">
        <v>40</v>
      </c>
      <c r="F728">
        <v>50.494701384999999</v>
      </c>
      <c r="G728">
        <v>1340.0776367000001</v>
      </c>
      <c r="H728">
        <v>1337.7331543</v>
      </c>
      <c r="I728">
        <v>1322.0537108999999</v>
      </c>
      <c r="J728">
        <v>1318.3928223</v>
      </c>
      <c r="K728">
        <v>2750</v>
      </c>
      <c r="L728">
        <v>0</v>
      </c>
      <c r="M728">
        <v>0</v>
      </c>
      <c r="N728">
        <v>2750</v>
      </c>
    </row>
    <row r="729" spans="1:14" x14ac:dyDescent="0.25">
      <c r="A729">
        <v>179.301424</v>
      </c>
      <c r="B729" s="1">
        <f>DATE(2010,10,27) + TIME(7,14,3)</f>
        <v>40478.301423611112</v>
      </c>
      <c r="C729">
        <v>80</v>
      </c>
      <c r="D729">
        <v>79.954574585000003</v>
      </c>
      <c r="E729">
        <v>40</v>
      </c>
      <c r="F729">
        <v>50.620037078999999</v>
      </c>
      <c r="G729">
        <v>1340.0758057</v>
      </c>
      <c r="H729">
        <v>1337.7316894999999</v>
      </c>
      <c r="I729">
        <v>1322.0616454999999</v>
      </c>
      <c r="J729">
        <v>1318.4061279</v>
      </c>
      <c r="K729">
        <v>2750</v>
      </c>
      <c r="L729">
        <v>0</v>
      </c>
      <c r="M729">
        <v>0</v>
      </c>
      <c r="N729">
        <v>2750</v>
      </c>
    </row>
    <row r="730" spans="1:14" x14ac:dyDescent="0.25">
      <c r="A730">
        <v>180.36852200000001</v>
      </c>
      <c r="B730" s="1">
        <f>DATE(2010,10,28) + TIME(8,50,40)</f>
        <v>40479.368518518517</v>
      </c>
      <c r="C730">
        <v>80</v>
      </c>
      <c r="D730">
        <v>79.954620360999996</v>
      </c>
      <c r="E730">
        <v>40</v>
      </c>
      <c r="F730">
        <v>50.791286468999999</v>
      </c>
      <c r="G730">
        <v>1340.0718993999999</v>
      </c>
      <c r="H730">
        <v>1337.7287598</v>
      </c>
      <c r="I730">
        <v>1322.0773925999999</v>
      </c>
      <c r="J730">
        <v>1318.4272461</v>
      </c>
      <c r="K730">
        <v>2750</v>
      </c>
      <c r="L730">
        <v>0</v>
      </c>
      <c r="M730">
        <v>0</v>
      </c>
      <c r="N730">
        <v>2750</v>
      </c>
    </row>
    <row r="731" spans="1:14" x14ac:dyDescent="0.25">
      <c r="A731">
        <v>181.448543</v>
      </c>
      <c r="B731" s="1">
        <f>DATE(2010,10,29) + TIME(10,45,54)</f>
        <v>40480.448541666665</v>
      </c>
      <c r="C731">
        <v>80</v>
      </c>
      <c r="D731">
        <v>79.954673767000003</v>
      </c>
      <c r="E731">
        <v>40</v>
      </c>
      <c r="F731">
        <v>50.973632811999998</v>
      </c>
      <c r="G731">
        <v>1340.0679932</v>
      </c>
      <c r="H731">
        <v>1337.7258300999999</v>
      </c>
      <c r="I731">
        <v>1322.0936279</v>
      </c>
      <c r="J731">
        <v>1318.4500731999999</v>
      </c>
      <c r="K731">
        <v>2750</v>
      </c>
      <c r="L731">
        <v>0</v>
      </c>
      <c r="M731">
        <v>0</v>
      </c>
      <c r="N731">
        <v>2750</v>
      </c>
    </row>
    <row r="732" spans="1:14" x14ac:dyDescent="0.25">
      <c r="A732">
        <v>182.54134500000001</v>
      </c>
      <c r="B732" s="1">
        <f>DATE(2010,10,30) + TIME(12,59,32)</f>
        <v>40481.541342592594</v>
      </c>
      <c r="C732">
        <v>80</v>
      </c>
      <c r="D732">
        <v>79.954727172999995</v>
      </c>
      <c r="E732">
        <v>40</v>
      </c>
      <c r="F732">
        <v>51.158363342000001</v>
      </c>
      <c r="G732">
        <v>1340.0642089999999</v>
      </c>
      <c r="H732">
        <v>1337.7230225000001</v>
      </c>
      <c r="I732">
        <v>1322.1101074000001</v>
      </c>
      <c r="J732">
        <v>1318.4735106999999</v>
      </c>
      <c r="K732">
        <v>2750</v>
      </c>
      <c r="L732">
        <v>0</v>
      </c>
      <c r="M732">
        <v>0</v>
      </c>
      <c r="N732">
        <v>2750</v>
      </c>
    </row>
    <row r="733" spans="1:14" x14ac:dyDescent="0.25">
      <c r="A733">
        <v>183.644903</v>
      </c>
      <c r="B733" s="1">
        <f>DATE(2010,10,31) + TIME(15,28,39)</f>
        <v>40482.644895833335</v>
      </c>
      <c r="C733">
        <v>80</v>
      </c>
      <c r="D733">
        <v>79.954780579000001</v>
      </c>
      <c r="E733">
        <v>40</v>
      </c>
      <c r="F733">
        <v>51.342750549000002</v>
      </c>
      <c r="G733">
        <v>1340.0603027</v>
      </c>
      <c r="H733">
        <v>1337.7200928</v>
      </c>
      <c r="I733">
        <v>1322.1267089999999</v>
      </c>
      <c r="J733">
        <v>1318.4971923999999</v>
      </c>
      <c r="K733">
        <v>2750</v>
      </c>
      <c r="L733">
        <v>0</v>
      </c>
      <c r="M733">
        <v>0</v>
      </c>
      <c r="N733">
        <v>2750</v>
      </c>
    </row>
    <row r="734" spans="1:14" x14ac:dyDescent="0.25">
      <c r="A734">
        <v>184</v>
      </c>
      <c r="B734" s="1">
        <f>DATE(2010,11,1) + TIME(0,0,0)</f>
        <v>40483</v>
      </c>
      <c r="C734">
        <v>80</v>
      </c>
      <c r="D734">
        <v>79.954795837000006</v>
      </c>
      <c r="E734">
        <v>40</v>
      </c>
      <c r="F734">
        <v>51.457450866999999</v>
      </c>
      <c r="G734">
        <v>1340.0565185999999</v>
      </c>
      <c r="H734">
        <v>1337.7172852000001</v>
      </c>
      <c r="I734">
        <v>1322.1442870999999</v>
      </c>
      <c r="J734">
        <v>1318.5183105000001</v>
      </c>
      <c r="K734">
        <v>2750</v>
      </c>
      <c r="L734">
        <v>0</v>
      </c>
      <c r="M734">
        <v>0</v>
      </c>
      <c r="N734">
        <v>2750</v>
      </c>
    </row>
    <row r="735" spans="1:14" x14ac:dyDescent="0.25">
      <c r="A735">
        <v>184.000001</v>
      </c>
      <c r="B735" s="1">
        <f>DATE(2010,11,1) + TIME(0,0,0)</f>
        <v>40483</v>
      </c>
      <c r="C735">
        <v>80</v>
      </c>
      <c r="D735">
        <v>79.954689025999997</v>
      </c>
      <c r="E735">
        <v>40</v>
      </c>
      <c r="F735">
        <v>51.457588196000003</v>
      </c>
      <c r="G735">
        <v>1336.9967041</v>
      </c>
      <c r="H735">
        <v>1336.2282714999999</v>
      </c>
      <c r="I735">
        <v>1326.8381348</v>
      </c>
      <c r="J735">
        <v>1323.4046631000001</v>
      </c>
      <c r="K735">
        <v>0</v>
      </c>
      <c r="L735">
        <v>2750</v>
      </c>
      <c r="M735">
        <v>2750</v>
      </c>
      <c r="N735">
        <v>0</v>
      </c>
    </row>
    <row r="736" spans="1:14" x14ac:dyDescent="0.25">
      <c r="A736">
        <v>184.00000399999999</v>
      </c>
      <c r="B736" s="1">
        <f>DATE(2010,11,1) + TIME(0,0,0)</f>
        <v>40483</v>
      </c>
      <c r="C736">
        <v>80</v>
      </c>
      <c r="D736">
        <v>79.954551696999999</v>
      </c>
      <c r="E736">
        <v>40</v>
      </c>
      <c r="F736">
        <v>51.457756042</v>
      </c>
      <c r="G736">
        <v>1336.0356445</v>
      </c>
      <c r="H736">
        <v>1335.2592772999999</v>
      </c>
      <c r="I736">
        <v>1328.4338379000001</v>
      </c>
      <c r="J736">
        <v>1325.2667236</v>
      </c>
      <c r="K736">
        <v>0</v>
      </c>
      <c r="L736">
        <v>2750</v>
      </c>
      <c r="M736">
        <v>2750</v>
      </c>
      <c r="N736">
        <v>0</v>
      </c>
    </row>
    <row r="737" spans="1:14" x14ac:dyDescent="0.25">
      <c r="A737">
        <v>184.000013</v>
      </c>
      <c r="B737" s="1">
        <f>DATE(2010,11,1) + TIME(0,0,1)</f>
        <v>40483.000011574077</v>
      </c>
      <c r="C737">
        <v>80</v>
      </c>
      <c r="D737">
        <v>79.954406738000003</v>
      </c>
      <c r="E737">
        <v>40</v>
      </c>
      <c r="F737">
        <v>51.457813262999998</v>
      </c>
      <c r="G737">
        <v>1335.0421143000001</v>
      </c>
      <c r="H737">
        <v>1334.2365723</v>
      </c>
      <c r="I737">
        <v>1330.541626</v>
      </c>
      <c r="J737">
        <v>1327.3864745999999</v>
      </c>
      <c r="K737">
        <v>0</v>
      </c>
      <c r="L737">
        <v>2750</v>
      </c>
      <c r="M737">
        <v>2750</v>
      </c>
      <c r="N737">
        <v>0</v>
      </c>
    </row>
    <row r="738" spans="1:14" x14ac:dyDescent="0.25">
      <c r="A738">
        <v>184.00004000000001</v>
      </c>
      <c r="B738" s="1">
        <f>DATE(2010,11,1) + TIME(0,0,3)</f>
        <v>40483.000034722223</v>
      </c>
      <c r="C738">
        <v>80</v>
      </c>
      <c r="D738">
        <v>79.954261779999996</v>
      </c>
      <c r="E738">
        <v>40</v>
      </c>
      <c r="F738">
        <v>51.457454681000002</v>
      </c>
      <c r="G738">
        <v>1334.0607910000001</v>
      </c>
      <c r="H738">
        <v>1333.2102050999999</v>
      </c>
      <c r="I738">
        <v>1332.7829589999999</v>
      </c>
      <c r="J738">
        <v>1329.5761719</v>
      </c>
      <c r="K738">
        <v>0</v>
      </c>
      <c r="L738">
        <v>2750</v>
      </c>
      <c r="M738">
        <v>2750</v>
      </c>
      <c r="N738">
        <v>0</v>
      </c>
    </row>
    <row r="739" spans="1:14" x14ac:dyDescent="0.25">
      <c r="A739">
        <v>184.00012100000001</v>
      </c>
      <c r="B739" s="1">
        <f>DATE(2010,11,1) + TIME(0,0,10)</f>
        <v>40483.000115740739</v>
      </c>
      <c r="C739">
        <v>80</v>
      </c>
      <c r="D739">
        <v>79.954101562000005</v>
      </c>
      <c r="E739">
        <v>40</v>
      </c>
      <c r="F739">
        <v>51.455791472999998</v>
      </c>
      <c r="G739">
        <v>1333.0362548999999</v>
      </c>
      <c r="H739">
        <v>1332.1224365</v>
      </c>
      <c r="I739">
        <v>1335.0117187999999</v>
      </c>
      <c r="J739">
        <v>1331.7590332</v>
      </c>
      <c r="K739">
        <v>0</v>
      </c>
      <c r="L739">
        <v>2750</v>
      </c>
      <c r="M739">
        <v>2750</v>
      </c>
      <c r="N739">
        <v>0</v>
      </c>
    </row>
    <row r="740" spans="1:14" x14ac:dyDescent="0.25">
      <c r="A740">
        <v>184.00036399999999</v>
      </c>
      <c r="B740" s="1">
        <f>DATE(2010,11,1) + TIME(0,0,31)</f>
        <v>40483.000358796293</v>
      </c>
      <c r="C740">
        <v>80</v>
      </c>
      <c r="D740">
        <v>79.953887938999998</v>
      </c>
      <c r="E740">
        <v>40</v>
      </c>
      <c r="F740">
        <v>51.450138092000003</v>
      </c>
      <c r="G740">
        <v>1331.9191894999999</v>
      </c>
      <c r="H740">
        <v>1330.9320068</v>
      </c>
      <c r="I740">
        <v>1337.1968993999999</v>
      </c>
      <c r="J740">
        <v>1333.8822021000001</v>
      </c>
      <c r="K740">
        <v>0</v>
      </c>
      <c r="L740">
        <v>2750</v>
      </c>
      <c r="M740">
        <v>2750</v>
      </c>
      <c r="N740">
        <v>0</v>
      </c>
    </row>
    <row r="741" spans="1:14" x14ac:dyDescent="0.25">
      <c r="A741">
        <v>184.001093</v>
      </c>
      <c r="B741" s="1">
        <f>DATE(2010,11,1) + TIME(0,1,34)</f>
        <v>40483.001087962963</v>
      </c>
      <c r="C741">
        <v>80</v>
      </c>
      <c r="D741">
        <v>79.953552246000001</v>
      </c>
      <c r="E741">
        <v>40</v>
      </c>
      <c r="F741">
        <v>51.432209014999998</v>
      </c>
      <c r="G741">
        <v>1330.777832</v>
      </c>
      <c r="H741">
        <v>1329.7253418</v>
      </c>
      <c r="I741">
        <v>1339.1804199000001</v>
      </c>
      <c r="J741">
        <v>1335.7841797000001</v>
      </c>
      <c r="K741">
        <v>0</v>
      </c>
      <c r="L741">
        <v>2750</v>
      </c>
      <c r="M741">
        <v>2750</v>
      </c>
      <c r="N741">
        <v>0</v>
      </c>
    </row>
    <row r="742" spans="1:14" x14ac:dyDescent="0.25">
      <c r="A742">
        <v>184.00327999999999</v>
      </c>
      <c r="B742" s="1">
        <f>DATE(2010,11,1) + TIME(0,4,43)</f>
        <v>40483.003275462965</v>
      </c>
      <c r="C742">
        <v>80</v>
      </c>
      <c r="D742">
        <v>79.952896117999998</v>
      </c>
      <c r="E742">
        <v>40</v>
      </c>
      <c r="F742">
        <v>51.377021790000001</v>
      </c>
      <c r="G742">
        <v>1329.8376464999999</v>
      </c>
      <c r="H742">
        <v>1328.7480469</v>
      </c>
      <c r="I742">
        <v>1340.6246338000001</v>
      </c>
      <c r="J742">
        <v>1337.1555175999999</v>
      </c>
      <c r="K742">
        <v>0</v>
      </c>
      <c r="L742">
        <v>2750</v>
      </c>
      <c r="M742">
        <v>2750</v>
      </c>
      <c r="N742">
        <v>0</v>
      </c>
    </row>
    <row r="743" spans="1:14" x14ac:dyDescent="0.25">
      <c r="A743">
        <v>184.00984099999999</v>
      </c>
      <c r="B743" s="1">
        <f>DATE(2010,11,1) + TIME(0,14,10)</f>
        <v>40483.009837962964</v>
      </c>
      <c r="C743">
        <v>80</v>
      </c>
      <c r="D743">
        <v>79.951232910000002</v>
      </c>
      <c r="E743">
        <v>40</v>
      </c>
      <c r="F743">
        <v>51.212211609000001</v>
      </c>
      <c r="G743">
        <v>1329.2930908000001</v>
      </c>
      <c r="H743">
        <v>1328.1907959</v>
      </c>
      <c r="I743">
        <v>1341.3179932</v>
      </c>
      <c r="J743">
        <v>1337.8132324000001</v>
      </c>
      <c r="K743">
        <v>0</v>
      </c>
      <c r="L743">
        <v>2750</v>
      </c>
      <c r="M743">
        <v>2750</v>
      </c>
      <c r="N743">
        <v>0</v>
      </c>
    </row>
    <row r="744" spans="1:14" x14ac:dyDescent="0.25">
      <c r="A744">
        <v>184.02952400000001</v>
      </c>
      <c r="B744" s="1">
        <f>DATE(2010,11,1) + TIME(0,42,30)</f>
        <v>40483.029513888891</v>
      </c>
      <c r="C744">
        <v>80</v>
      </c>
      <c r="D744">
        <v>79.946525574000006</v>
      </c>
      <c r="E744">
        <v>40</v>
      </c>
      <c r="F744">
        <v>50.741836548000002</v>
      </c>
      <c r="G744">
        <v>1329.1129149999999</v>
      </c>
      <c r="H744">
        <v>1328.0070800999999</v>
      </c>
      <c r="I744">
        <v>1341.4460449000001</v>
      </c>
      <c r="J744">
        <v>1337.9401855000001</v>
      </c>
      <c r="K744">
        <v>0</v>
      </c>
      <c r="L744">
        <v>2750</v>
      </c>
      <c r="M744">
        <v>2750</v>
      </c>
      <c r="N744">
        <v>0</v>
      </c>
    </row>
    <row r="745" spans="1:14" x14ac:dyDescent="0.25">
      <c r="A745">
        <v>184.05561499999999</v>
      </c>
      <c r="B745" s="1">
        <f>DATE(2010,11,1) + TIME(1,20,5)</f>
        <v>40483.055613425924</v>
      </c>
      <c r="C745">
        <v>80</v>
      </c>
      <c r="D745">
        <v>79.940383910999998</v>
      </c>
      <c r="E745">
        <v>40</v>
      </c>
      <c r="F745">
        <v>50.159416198999999</v>
      </c>
      <c r="G745">
        <v>1329.0836182</v>
      </c>
      <c r="H745">
        <v>1327.9755858999999</v>
      </c>
      <c r="I745">
        <v>1341.4089355000001</v>
      </c>
      <c r="J745">
        <v>1337.9123535000001</v>
      </c>
      <c r="K745">
        <v>0</v>
      </c>
      <c r="L745">
        <v>2750</v>
      </c>
      <c r="M745">
        <v>2750</v>
      </c>
      <c r="N745">
        <v>0</v>
      </c>
    </row>
    <row r="746" spans="1:14" x14ac:dyDescent="0.25">
      <c r="A746">
        <v>184.08288899999999</v>
      </c>
      <c r="B746" s="1">
        <f>DATE(2010,11,1) + TIME(1,59,21)</f>
        <v>40483.082881944443</v>
      </c>
      <c r="C746">
        <v>80</v>
      </c>
      <c r="D746">
        <v>79.934013367000006</v>
      </c>
      <c r="E746">
        <v>40</v>
      </c>
      <c r="F746">
        <v>49.591518401999998</v>
      </c>
      <c r="G746">
        <v>1329.0755615</v>
      </c>
      <c r="H746">
        <v>1327.9650879000001</v>
      </c>
      <c r="I746">
        <v>1341.3619385</v>
      </c>
      <c r="J746">
        <v>1337.8745117000001</v>
      </c>
      <c r="K746">
        <v>0</v>
      </c>
      <c r="L746">
        <v>2750</v>
      </c>
      <c r="M746">
        <v>2750</v>
      </c>
      <c r="N746">
        <v>0</v>
      </c>
    </row>
    <row r="747" spans="1:14" x14ac:dyDescent="0.25">
      <c r="A747">
        <v>184.111332</v>
      </c>
      <c r="B747" s="1">
        <f>DATE(2010,11,1) + TIME(2,40,19)</f>
        <v>40483.111331018517</v>
      </c>
      <c r="C747">
        <v>80</v>
      </c>
      <c r="D747">
        <v>79.927421570000007</v>
      </c>
      <c r="E747">
        <v>40</v>
      </c>
      <c r="F747">
        <v>49.040000915999997</v>
      </c>
      <c r="G747">
        <v>1329.0701904</v>
      </c>
      <c r="H747">
        <v>1327.9572754000001</v>
      </c>
      <c r="I747">
        <v>1341.3157959</v>
      </c>
      <c r="J747">
        <v>1337.8376464999999</v>
      </c>
      <c r="K747">
        <v>0</v>
      </c>
      <c r="L747">
        <v>2750</v>
      </c>
      <c r="M747">
        <v>2750</v>
      </c>
      <c r="N747">
        <v>0</v>
      </c>
    </row>
    <row r="748" spans="1:14" x14ac:dyDescent="0.25">
      <c r="A748">
        <v>184.14101500000001</v>
      </c>
      <c r="B748" s="1">
        <f>DATE(2010,11,1) + TIME(3,23,3)</f>
        <v>40483.141006944446</v>
      </c>
      <c r="C748">
        <v>80</v>
      </c>
      <c r="D748">
        <v>79.920593261999997</v>
      </c>
      <c r="E748">
        <v>40</v>
      </c>
      <c r="F748">
        <v>48.504920959000003</v>
      </c>
      <c r="G748">
        <v>1329.0650635</v>
      </c>
      <c r="H748">
        <v>1327.949707</v>
      </c>
      <c r="I748">
        <v>1341.270874</v>
      </c>
      <c r="J748">
        <v>1337.8020019999999</v>
      </c>
      <c r="K748">
        <v>0</v>
      </c>
      <c r="L748">
        <v>2750</v>
      </c>
      <c r="M748">
        <v>2750</v>
      </c>
      <c r="N748">
        <v>0</v>
      </c>
    </row>
    <row r="749" spans="1:14" x14ac:dyDescent="0.25">
      <c r="A749">
        <v>184.17201600000001</v>
      </c>
      <c r="B749" s="1">
        <f>DATE(2010,11,1) + TIME(4,7,42)</f>
        <v>40483.172013888892</v>
      </c>
      <c r="C749">
        <v>80</v>
      </c>
      <c r="D749">
        <v>79.913528442</v>
      </c>
      <c r="E749">
        <v>40</v>
      </c>
      <c r="F749">
        <v>47.986248015999998</v>
      </c>
      <c r="G749">
        <v>1329.0599365</v>
      </c>
      <c r="H749">
        <v>1327.9421387</v>
      </c>
      <c r="I749">
        <v>1341.2271728999999</v>
      </c>
      <c r="J749">
        <v>1337.7674560999999</v>
      </c>
      <c r="K749">
        <v>0</v>
      </c>
      <c r="L749">
        <v>2750</v>
      </c>
      <c r="M749">
        <v>2750</v>
      </c>
      <c r="N749">
        <v>0</v>
      </c>
    </row>
    <row r="750" spans="1:14" x14ac:dyDescent="0.25">
      <c r="A750">
        <v>184.204396</v>
      </c>
      <c r="B750" s="1">
        <f>DATE(2010,11,1) + TIME(4,54,19)</f>
        <v>40483.204386574071</v>
      </c>
      <c r="C750">
        <v>80</v>
      </c>
      <c r="D750">
        <v>79.906204224000007</v>
      </c>
      <c r="E750">
        <v>40</v>
      </c>
      <c r="F750">
        <v>47.484294890999998</v>
      </c>
      <c r="G750">
        <v>1329.0548096</v>
      </c>
      <c r="H750">
        <v>1327.9344481999999</v>
      </c>
      <c r="I750">
        <v>1341.1846923999999</v>
      </c>
      <c r="J750">
        <v>1337.7341309000001</v>
      </c>
      <c r="K750">
        <v>0</v>
      </c>
      <c r="L750">
        <v>2750</v>
      </c>
      <c r="M750">
        <v>2750</v>
      </c>
      <c r="N750">
        <v>0</v>
      </c>
    </row>
    <row r="751" spans="1:14" x14ac:dyDescent="0.25">
      <c r="A751">
        <v>184.23826399999999</v>
      </c>
      <c r="B751" s="1">
        <f>DATE(2010,11,1) + TIME(5,43,6)</f>
        <v>40483.238263888888</v>
      </c>
      <c r="C751">
        <v>80</v>
      </c>
      <c r="D751">
        <v>79.898612975999995</v>
      </c>
      <c r="E751">
        <v>40</v>
      </c>
      <c r="F751">
        <v>46.998737335000001</v>
      </c>
      <c r="G751">
        <v>1329.0495605000001</v>
      </c>
      <c r="H751">
        <v>1327.9266356999999</v>
      </c>
      <c r="I751">
        <v>1341.1435547000001</v>
      </c>
      <c r="J751">
        <v>1337.7019043</v>
      </c>
      <c r="K751">
        <v>0</v>
      </c>
      <c r="L751">
        <v>2750</v>
      </c>
      <c r="M751">
        <v>2750</v>
      </c>
      <c r="N751">
        <v>0</v>
      </c>
    </row>
    <row r="752" spans="1:14" x14ac:dyDescent="0.25">
      <c r="A752">
        <v>184.27372</v>
      </c>
      <c r="B752" s="1">
        <f>DATE(2010,11,1) + TIME(6,34,9)</f>
        <v>40483.273715277777</v>
      </c>
      <c r="C752">
        <v>80</v>
      </c>
      <c r="D752">
        <v>79.890731811999999</v>
      </c>
      <c r="E752">
        <v>40</v>
      </c>
      <c r="F752">
        <v>46.529579163000001</v>
      </c>
      <c r="G752">
        <v>1329.0441894999999</v>
      </c>
      <c r="H752">
        <v>1327.9185791</v>
      </c>
      <c r="I752">
        <v>1341.1038818</v>
      </c>
      <c r="J752">
        <v>1337.6708983999999</v>
      </c>
      <c r="K752">
        <v>0</v>
      </c>
      <c r="L752">
        <v>2750</v>
      </c>
      <c r="M752">
        <v>2750</v>
      </c>
      <c r="N752">
        <v>0</v>
      </c>
    </row>
    <row r="753" spans="1:14" x14ac:dyDescent="0.25">
      <c r="A753">
        <v>184.31086999999999</v>
      </c>
      <c r="B753" s="1">
        <f>DATE(2010,11,1) + TIME(7,27,39)</f>
        <v>40483.310868055552</v>
      </c>
      <c r="C753">
        <v>80</v>
      </c>
      <c r="D753">
        <v>79.882560729999994</v>
      </c>
      <c r="E753">
        <v>40</v>
      </c>
      <c r="F753">
        <v>46.076747894</v>
      </c>
      <c r="G753">
        <v>1329.0386963000001</v>
      </c>
      <c r="H753">
        <v>1327.9105225000001</v>
      </c>
      <c r="I753">
        <v>1341.0655518000001</v>
      </c>
      <c r="J753">
        <v>1337.6412353999999</v>
      </c>
      <c r="K753">
        <v>0</v>
      </c>
      <c r="L753">
        <v>2750</v>
      </c>
      <c r="M753">
        <v>2750</v>
      </c>
      <c r="N753">
        <v>0</v>
      </c>
    </row>
    <row r="754" spans="1:14" x14ac:dyDescent="0.25">
      <c r="A754">
        <v>184.349827</v>
      </c>
      <c r="B754" s="1">
        <f>DATE(2010,11,1) + TIME(8,23,45)</f>
        <v>40483.349826388891</v>
      </c>
      <c r="C754">
        <v>80</v>
      </c>
      <c r="D754">
        <v>79.874061584000003</v>
      </c>
      <c r="E754">
        <v>40</v>
      </c>
      <c r="F754">
        <v>45.640312195</v>
      </c>
      <c r="G754">
        <v>1329.0330810999999</v>
      </c>
      <c r="H754">
        <v>1327.9022216999999</v>
      </c>
      <c r="I754">
        <v>1341.0288086</v>
      </c>
      <c r="J754">
        <v>1337.6126709</v>
      </c>
      <c r="K754">
        <v>0</v>
      </c>
      <c r="L754">
        <v>2750</v>
      </c>
      <c r="M754">
        <v>2750</v>
      </c>
      <c r="N754">
        <v>0</v>
      </c>
    </row>
    <row r="755" spans="1:14" x14ac:dyDescent="0.25">
      <c r="A755">
        <v>184.39072300000001</v>
      </c>
      <c r="B755" s="1">
        <f>DATE(2010,11,1) + TIME(9,22,38)</f>
        <v>40483.390717592592</v>
      </c>
      <c r="C755">
        <v>80</v>
      </c>
      <c r="D755">
        <v>79.865234375</v>
      </c>
      <c r="E755">
        <v>40</v>
      </c>
      <c r="F755">
        <v>45.220291138</v>
      </c>
      <c r="G755">
        <v>1329.0273437999999</v>
      </c>
      <c r="H755">
        <v>1327.8936768000001</v>
      </c>
      <c r="I755">
        <v>1340.9935303</v>
      </c>
      <c r="J755">
        <v>1337.5854492000001</v>
      </c>
      <c r="K755">
        <v>0</v>
      </c>
      <c r="L755">
        <v>2750</v>
      </c>
      <c r="M755">
        <v>2750</v>
      </c>
      <c r="N755">
        <v>0</v>
      </c>
    </row>
    <row r="756" spans="1:14" x14ac:dyDescent="0.25">
      <c r="A756">
        <v>184.43368799999999</v>
      </c>
      <c r="B756" s="1">
        <f>DATE(2010,11,1) + TIME(10,24,30)</f>
        <v>40483.433680555558</v>
      </c>
      <c r="C756">
        <v>80</v>
      </c>
      <c r="D756">
        <v>79.856048584000007</v>
      </c>
      <c r="E756">
        <v>40</v>
      </c>
      <c r="F756">
        <v>44.816833496000001</v>
      </c>
      <c r="G756">
        <v>1329.0214844</v>
      </c>
      <c r="H756">
        <v>1327.8850098</v>
      </c>
      <c r="I756">
        <v>1340.9597168</v>
      </c>
      <c r="J756">
        <v>1337.5594481999999</v>
      </c>
      <c r="K756">
        <v>0</v>
      </c>
      <c r="L756">
        <v>2750</v>
      </c>
      <c r="M756">
        <v>2750</v>
      </c>
      <c r="N756">
        <v>0</v>
      </c>
    </row>
    <row r="757" spans="1:14" x14ac:dyDescent="0.25">
      <c r="A757">
        <v>184.47886399999999</v>
      </c>
      <c r="B757" s="1">
        <f>DATE(2010,11,1) + TIME(11,29,33)</f>
        <v>40483.478854166664</v>
      </c>
      <c r="C757">
        <v>80</v>
      </c>
      <c r="D757">
        <v>79.846488953000005</v>
      </c>
      <c r="E757">
        <v>40</v>
      </c>
      <c r="F757">
        <v>44.430072783999996</v>
      </c>
      <c r="G757">
        <v>1329.0155029</v>
      </c>
      <c r="H757">
        <v>1327.8762207</v>
      </c>
      <c r="I757">
        <v>1340.9276123</v>
      </c>
      <c r="J757">
        <v>1337.5349120999999</v>
      </c>
      <c r="K757">
        <v>0</v>
      </c>
      <c r="L757">
        <v>2750</v>
      </c>
      <c r="M757">
        <v>2750</v>
      </c>
      <c r="N757">
        <v>0</v>
      </c>
    </row>
    <row r="758" spans="1:14" x14ac:dyDescent="0.25">
      <c r="A758">
        <v>184.52640700000001</v>
      </c>
      <c r="B758" s="1">
        <f>DATE(2010,11,1) + TIME(12,38,1)</f>
        <v>40483.526400462964</v>
      </c>
      <c r="C758">
        <v>80</v>
      </c>
      <c r="D758">
        <v>79.836540221999996</v>
      </c>
      <c r="E758">
        <v>40</v>
      </c>
      <c r="F758">
        <v>44.060134888</v>
      </c>
      <c r="G758">
        <v>1329.0092772999999</v>
      </c>
      <c r="H758">
        <v>1327.8670654</v>
      </c>
      <c r="I758">
        <v>1340.8970947</v>
      </c>
      <c r="J758">
        <v>1337.5117187999999</v>
      </c>
      <c r="K758">
        <v>0</v>
      </c>
      <c r="L758">
        <v>2750</v>
      </c>
      <c r="M758">
        <v>2750</v>
      </c>
      <c r="N758">
        <v>0</v>
      </c>
    </row>
    <row r="759" spans="1:14" x14ac:dyDescent="0.25">
      <c r="A759">
        <v>184.57648699999999</v>
      </c>
      <c r="B759" s="1">
        <f>DATE(2010,11,1) + TIME(13,50,8)</f>
        <v>40483.576481481483</v>
      </c>
      <c r="C759">
        <v>80</v>
      </c>
      <c r="D759">
        <v>79.826171875</v>
      </c>
      <c r="E759">
        <v>40</v>
      </c>
      <c r="F759">
        <v>43.707145691000001</v>
      </c>
      <c r="G759">
        <v>1329.0029297000001</v>
      </c>
      <c r="H759">
        <v>1327.8576660000001</v>
      </c>
      <c r="I759">
        <v>1340.8682861</v>
      </c>
      <c r="J759">
        <v>1337.4897461</v>
      </c>
      <c r="K759">
        <v>0</v>
      </c>
      <c r="L759">
        <v>2750</v>
      </c>
      <c r="M759">
        <v>2750</v>
      </c>
      <c r="N759">
        <v>0</v>
      </c>
    </row>
    <row r="760" spans="1:14" x14ac:dyDescent="0.25">
      <c r="A760">
        <v>184.62926899999999</v>
      </c>
      <c r="B760" s="1">
        <f>DATE(2010,11,1) + TIME(15,6,8)</f>
        <v>40483.629259259258</v>
      </c>
      <c r="C760">
        <v>80</v>
      </c>
      <c r="D760">
        <v>79.815361022999994</v>
      </c>
      <c r="E760">
        <v>40</v>
      </c>
      <c r="F760">
        <v>43.371337891000003</v>
      </c>
      <c r="G760">
        <v>1328.9964600000001</v>
      </c>
      <c r="H760">
        <v>1327.8481445</v>
      </c>
      <c r="I760">
        <v>1340.8409423999999</v>
      </c>
      <c r="J760">
        <v>1337.4692382999999</v>
      </c>
      <c r="K760">
        <v>0</v>
      </c>
      <c r="L760">
        <v>2750</v>
      </c>
      <c r="M760">
        <v>2750</v>
      </c>
      <c r="N760">
        <v>0</v>
      </c>
    </row>
    <row r="761" spans="1:14" x14ac:dyDescent="0.25">
      <c r="A761">
        <v>184.68494200000001</v>
      </c>
      <c r="B761" s="1">
        <f>DATE(2010,11,1) + TIME(16,26,19)</f>
        <v>40483.684942129628</v>
      </c>
      <c r="C761">
        <v>80</v>
      </c>
      <c r="D761">
        <v>79.804092406999999</v>
      </c>
      <c r="E761">
        <v>40</v>
      </c>
      <c r="F761">
        <v>43.052833557</v>
      </c>
      <c r="G761">
        <v>1328.9897461</v>
      </c>
      <c r="H761">
        <v>1327.8382568</v>
      </c>
      <c r="I761">
        <v>1340.8153076000001</v>
      </c>
      <c r="J761">
        <v>1337.4499512</v>
      </c>
      <c r="K761">
        <v>0</v>
      </c>
      <c r="L761">
        <v>2750</v>
      </c>
      <c r="M761">
        <v>2750</v>
      </c>
      <c r="N761">
        <v>0</v>
      </c>
    </row>
    <row r="762" spans="1:14" x14ac:dyDescent="0.25">
      <c r="A762">
        <v>184.74374</v>
      </c>
      <c r="B762" s="1">
        <f>DATE(2010,11,1) + TIME(17,50,59)</f>
        <v>40483.743738425925</v>
      </c>
      <c r="C762">
        <v>80</v>
      </c>
      <c r="D762">
        <v>79.792327881000006</v>
      </c>
      <c r="E762">
        <v>40</v>
      </c>
      <c r="F762">
        <v>42.751613616999997</v>
      </c>
      <c r="G762">
        <v>1328.9829102000001</v>
      </c>
      <c r="H762">
        <v>1327.828125</v>
      </c>
      <c r="I762">
        <v>1340.7911377</v>
      </c>
      <c r="J762">
        <v>1337.4318848</v>
      </c>
      <c r="K762">
        <v>0</v>
      </c>
      <c r="L762">
        <v>2750</v>
      </c>
      <c r="M762">
        <v>2750</v>
      </c>
      <c r="N762">
        <v>0</v>
      </c>
    </row>
    <row r="763" spans="1:14" x14ac:dyDescent="0.25">
      <c r="A763">
        <v>184.805894</v>
      </c>
      <c r="B763" s="1">
        <f>DATE(2010,11,1) + TIME(19,20,29)</f>
        <v>40483.805891203701</v>
      </c>
      <c r="C763">
        <v>80</v>
      </c>
      <c r="D763">
        <v>79.780044556000007</v>
      </c>
      <c r="E763">
        <v>40</v>
      </c>
      <c r="F763">
        <v>42.467758179</v>
      </c>
      <c r="G763">
        <v>1328.9758300999999</v>
      </c>
      <c r="H763">
        <v>1327.8176269999999</v>
      </c>
      <c r="I763">
        <v>1340.7685547000001</v>
      </c>
      <c r="J763">
        <v>1337.4151611</v>
      </c>
      <c r="K763">
        <v>0</v>
      </c>
      <c r="L763">
        <v>2750</v>
      </c>
      <c r="M763">
        <v>2750</v>
      </c>
      <c r="N763">
        <v>0</v>
      </c>
    </row>
    <row r="764" spans="1:14" x14ac:dyDescent="0.25">
      <c r="A764">
        <v>184.87165400000001</v>
      </c>
      <c r="B764" s="1">
        <f>DATE(2010,11,1) + TIME(20,55,10)</f>
        <v>40483.87164351852</v>
      </c>
      <c r="C764">
        <v>80</v>
      </c>
      <c r="D764">
        <v>79.767196655000006</v>
      </c>
      <c r="E764">
        <v>40</v>
      </c>
      <c r="F764">
        <v>42.201313018999997</v>
      </c>
      <c r="G764">
        <v>1328.9683838000001</v>
      </c>
      <c r="H764">
        <v>1327.8067627</v>
      </c>
      <c r="I764">
        <v>1340.7473144999999</v>
      </c>
      <c r="J764">
        <v>1337.3996582</v>
      </c>
      <c r="K764">
        <v>0</v>
      </c>
      <c r="L764">
        <v>2750</v>
      </c>
      <c r="M764">
        <v>2750</v>
      </c>
      <c r="N764">
        <v>0</v>
      </c>
    </row>
    <row r="765" spans="1:14" x14ac:dyDescent="0.25">
      <c r="A765">
        <v>184.94129000000001</v>
      </c>
      <c r="B765" s="1">
        <f>DATE(2010,11,1) + TIME(22,35,27)</f>
        <v>40483.941284722219</v>
      </c>
      <c r="C765">
        <v>80</v>
      </c>
      <c r="D765">
        <v>79.753768921000002</v>
      </c>
      <c r="E765">
        <v>40</v>
      </c>
      <c r="F765">
        <v>41.952297211000001</v>
      </c>
      <c r="G765">
        <v>1328.9608154</v>
      </c>
      <c r="H765">
        <v>1327.7956543</v>
      </c>
      <c r="I765">
        <v>1340.7274170000001</v>
      </c>
      <c r="J765">
        <v>1337.3851318</v>
      </c>
      <c r="K765">
        <v>0</v>
      </c>
      <c r="L765">
        <v>2750</v>
      </c>
      <c r="M765">
        <v>2750</v>
      </c>
      <c r="N765">
        <v>0</v>
      </c>
    </row>
    <row r="766" spans="1:14" x14ac:dyDescent="0.25">
      <c r="A766">
        <v>185.01509300000001</v>
      </c>
      <c r="B766" s="1">
        <f>DATE(2010,11,2) + TIME(0,21,44)</f>
        <v>40484.015092592592</v>
      </c>
      <c r="C766">
        <v>80</v>
      </c>
      <c r="D766">
        <v>79.739707946999999</v>
      </c>
      <c r="E766">
        <v>40</v>
      </c>
      <c r="F766">
        <v>41.720676421999997</v>
      </c>
      <c r="G766">
        <v>1328.9528809000001</v>
      </c>
      <c r="H766">
        <v>1327.7840576000001</v>
      </c>
      <c r="I766">
        <v>1340.7088623</v>
      </c>
      <c r="J766">
        <v>1337.3718262</v>
      </c>
      <c r="K766">
        <v>0</v>
      </c>
      <c r="L766">
        <v>2750</v>
      </c>
      <c r="M766">
        <v>2750</v>
      </c>
      <c r="N766">
        <v>0</v>
      </c>
    </row>
    <row r="767" spans="1:14" x14ac:dyDescent="0.25">
      <c r="A767">
        <v>185.093379</v>
      </c>
      <c r="B767" s="1">
        <f>DATE(2010,11,2) + TIME(2,14,27)</f>
        <v>40484.093368055554</v>
      </c>
      <c r="C767">
        <v>80</v>
      </c>
      <c r="D767">
        <v>79.724983214999995</v>
      </c>
      <c r="E767">
        <v>40</v>
      </c>
      <c r="F767">
        <v>41.506343842</v>
      </c>
      <c r="G767">
        <v>1328.9447021000001</v>
      </c>
      <c r="H767">
        <v>1327.7720947</v>
      </c>
      <c r="I767">
        <v>1340.6914062000001</v>
      </c>
      <c r="J767">
        <v>1337.3594971</v>
      </c>
      <c r="K767">
        <v>0</v>
      </c>
      <c r="L767">
        <v>2750</v>
      </c>
      <c r="M767">
        <v>2750</v>
      </c>
      <c r="N767">
        <v>0</v>
      </c>
    </row>
    <row r="768" spans="1:14" x14ac:dyDescent="0.25">
      <c r="A768">
        <v>185.17649</v>
      </c>
      <c r="B768" s="1">
        <f>DATE(2010,11,2) + TIME(4,14,8)</f>
        <v>40484.176481481481</v>
      </c>
      <c r="C768">
        <v>80</v>
      </c>
      <c r="D768">
        <v>79.709556579999997</v>
      </c>
      <c r="E768">
        <v>40</v>
      </c>
      <c r="F768">
        <v>41.309143065999997</v>
      </c>
      <c r="G768">
        <v>1328.9362793</v>
      </c>
      <c r="H768">
        <v>1327.7596435999999</v>
      </c>
      <c r="I768">
        <v>1340.6750488</v>
      </c>
      <c r="J768">
        <v>1337.3480225000001</v>
      </c>
      <c r="K768">
        <v>0</v>
      </c>
      <c r="L768">
        <v>2750</v>
      </c>
      <c r="M768">
        <v>2750</v>
      </c>
      <c r="N768">
        <v>0</v>
      </c>
    </row>
    <row r="769" spans="1:14" x14ac:dyDescent="0.25">
      <c r="A769">
        <v>185.264792</v>
      </c>
      <c r="B769" s="1">
        <f>DATE(2010,11,2) + TIME(6,21,18)</f>
        <v>40484.264791666668</v>
      </c>
      <c r="C769">
        <v>80</v>
      </c>
      <c r="D769">
        <v>79.693374633999994</v>
      </c>
      <c r="E769">
        <v>40</v>
      </c>
      <c r="F769">
        <v>41.128822327000002</v>
      </c>
      <c r="G769">
        <v>1328.9273682</v>
      </c>
      <c r="H769">
        <v>1327.746582</v>
      </c>
      <c r="I769">
        <v>1340.6595459</v>
      </c>
      <c r="J769">
        <v>1337.3374022999999</v>
      </c>
      <c r="K769">
        <v>0</v>
      </c>
      <c r="L769">
        <v>2750</v>
      </c>
      <c r="M769">
        <v>2750</v>
      </c>
      <c r="N769">
        <v>0</v>
      </c>
    </row>
    <row r="770" spans="1:14" x14ac:dyDescent="0.25">
      <c r="A770">
        <v>185.35868600000001</v>
      </c>
      <c r="B770" s="1">
        <f>DATE(2010,11,2) + TIME(8,36,30)</f>
        <v>40484.358680555553</v>
      </c>
      <c r="C770">
        <v>80</v>
      </c>
      <c r="D770">
        <v>79.676391601999995</v>
      </c>
      <c r="E770">
        <v>40</v>
      </c>
      <c r="F770">
        <v>40.965045928999999</v>
      </c>
      <c r="G770">
        <v>1328.9180908000001</v>
      </c>
      <c r="H770">
        <v>1327.7331543</v>
      </c>
      <c r="I770">
        <v>1340.6448975000001</v>
      </c>
      <c r="J770">
        <v>1337.3275146000001</v>
      </c>
      <c r="K770">
        <v>0</v>
      </c>
      <c r="L770">
        <v>2750</v>
      </c>
      <c r="M770">
        <v>2750</v>
      </c>
      <c r="N770">
        <v>0</v>
      </c>
    </row>
    <row r="771" spans="1:14" x14ac:dyDescent="0.25">
      <c r="A771">
        <v>185.45855499999999</v>
      </c>
      <c r="B771" s="1">
        <f>DATE(2010,11,2) + TIME(11,0,19)</f>
        <v>40484.458553240744</v>
      </c>
      <c r="C771">
        <v>80</v>
      </c>
      <c r="D771">
        <v>79.658561707000004</v>
      </c>
      <c r="E771">
        <v>40</v>
      </c>
      <c r="F771">
        <v>40.817443848000003</v>
      </c>
      <c r="G771">
        <v>1328.9084473</v>
      </c>
      <c r="H771">
        <v>1327.7191161999999</v>
      </c>
      <c r="I771">
        <v>1340.6308594</v>
      </c>
      <c r="J771">
        <v>1337.3182373</v>
      </c>
      <c r="K771">
        <v>0</v>
      </c>
      <c r="L771">
        <v>2750</v>
      </c>
      <c r="M771">
        <v>2750</v>
      </c>
      <c r="N771">
        <v>0</v>
      </c>
    </row>
    <row r="772" spans="1:14" x14ac:dyDescent="0.25">
      <c r="A772">
        <v>185.56489199999999</v>
      </c>
      <c r="B772" s="1">
        <f>DATE(2010,11,2) + TIME(13,33,26)</f>
        <v>40484.564884259256</v>
      </c>
      <c r="C772">
        <v>80</v>
      </c>
      <c r="D772">
        <v>79.639831543</v>
      </c>
      <c r="E772">
        <v>40</v>
      </c>
      <c r="F772">
        <v>40.685432433999999</v>
      </c>
      <c r="G772">
        <v>1328.8983154</v>
      </c>
      <c r="H772">
        <v>1327.7044678</v>
      </c>
      <c r="I772">
        <v>1340.6173096</v>
      </c>
      <c r="J772">
        <v>1337.3095702999999</v>
      </c>
      <c r="K772">
        <v>0</v>
      </c>
      <c r="L772">
        <v>2750</v>
      </c>
      <c r="M772">
        <v>2750</v>
      </c>
      <c r="N772">
        <v>0</v>
      </c>
    </row>
    <row r="773" spans="1:14" x14ac:dyDescent="0.25">
      <c r="A773">
        <v>185.67820900000001</v>
      </c>
      <c r="B773" s="1">
        <f>DATE(2010,11,2) + TIME(16,16,37)</f>
        <v>40484.678206018521</v>
      </c>
      <c r="C773">
        <v>80</v>
      </c>
      <c r="D773">
        <v>79.620124817000004</v>
      </c>
      <c r="E773">
        <v>40</v>
      </c>
      <c r="F773">
        <v>40.568359375</v>
      </c>
      <c r="G773">
        <v>1328.8878173999999</v>
      </c>
      <c r="H773">
        <v>1327.6890868999999</v>
      </c>
      <c r="I773">
        <v>1340.6042480000001</v>
      </c>
      <c r="J773">
        <v>1337.3012695</v>
      </c>
      <c r="K773">
        <v>0</v>
      </c>
      <c r="L773">
        <v>2750</v>
      </c>
      <c r="M773">
        <v>2750</v>
      </c>
      <c r="N773">
        <v>0</v>
      </c>
    </row>
    <row r="774" spans="1:14" x14ac:dyDescent="0.25">
      <c r="A774">
        <v>185.79905500000001</v>
      </c>
      <c r="B774" s="1">
        <f>DATE(2010,11,2) + TIME(19,10,38)</f>
        <v>40484.799050925925</v>
      </c>
      <c r="C774">
        <v>80</v>
      </c>
      <c r="D774">
        <v>79.599388122999997</v>
      </c>
      <c r="E774">
        <v>40</v>
      </c>
      <c r="F774">
        <v>40.465488434000001</v>
      </c>
      <c r="G774">
        <v>1328.8767089999999</v>
      </c>
      <c r="H774">
        <v>1327.6730957</v>
      </c>
      <c r="I774">
        <v>1340.5913086</v>
      </c>
      <c r="J774">
        <v>1337.2932129000001</v>
      </c>
      <c r="K774">
        <v>0</v>
      </c>
      <c r="L774">
        <v>2750</v>
      </c>
      <c r="M774">
        <v>2750</v>
      </c>
      <c r="N774">
        <v>0</v>
      </c>
    </row>
    <row r="775" spans="1:14" x14ac:dyDescent="0.25">
      <c r="A775">
        <v>185.928031</v>
      </c>
      <c r="B775" s="1">
        <f>DATE(2010,11,2) + TIME(22,16,21)</f>
        <v>40484.928020833337</v>
      </c>
      <c r="C775">
        <v>80</v>
      </c>
      <c r="D775">
        <v>79.577537536999998</v>
      </c>
      <c r="E775">
        <v>40</v>
      </c>
      <c r="F775">
        <v>40.375999450999998</v>
      </c>
      <c r="G775">
        <v>1328.8651123</v>
      </c>
      <c r="H775">
        <v>1327.65625</v>
      </c>
      <c r="I775">
        <v>1340.5784911999999</v>
      </c>
      <c r="J775">
        <v>1337.2855225000001</v>
      </c>
      <c r="K775">
        <v>0</v>
      </c>
      <c r="L775">
        <v>2750</v>
      </c>
      <c r="M775">
        <v>2750</v>
      </c>
      <c r="N775">
        <v>0</v>
      </c>
    </row>
    <row r="776" spans="1:14" x14ac:dyDescent="0.25">
      <c r="A776">
        <v>186.06579400000001</v>
      </c>
      <c r="B776" s="1">
        <f>DATE(2010,11,3) + TIME(1,34,44)</f>
        <v>40485.065787037034</v>
      </c>
      <c r="C776">
        <v>80</v>
      </c>
      <c r="D776">
        <v>79.554504394999995</v>
      </c>
      <c r="E776">
        <v>40</v>
      </c>
      <c r="F776">
        <v>40.298973083</v>
      </c>
      <c r="G776">
        <v>1328.8529053</v>
      </c>
      <c r="H776">
        <v>1327.6386719</v>
      </c>
      <c r="I776">
        <v>1340.5656738</v>
      </c>
      <c r="J776">
        <v>1337.277832</v>
      </c>
      <c r="K776">
        <v>0</v>
      </c>
      <c r="L776">
        <v>2750</v>
      </c>
      <c r="M776">
        <v>2750</v>
      </c>
      <c r="N776">
        <v>0</v>
      </c>
    </row>
    <row r="777" spans="1:14" x14ac:dyDescent="0.25">
      <c r="A777">
        <v>186.213065</v>
      </c>
      <c r="B777" s="1">
        <f>DATE(2010,11,3) + TIME(5,6,48)</f>
        <v>40485.213055555556</v>
      </c>
      <c r="C777">
        <v>80</v>
      </c>
      <c r="D777">
        <v>79.530189514</v>
      </c>
      <c r="E777">
        <v>40</v>
      </c>
      <c r="F777">
        <v>40.233428955000001</v>
      </c>
      <c r="G777">
        <v>1328.8400879000001</v>
      </c>
      <c r="H777">
        <v>1327.6201172000001</v>
      </c>
      <c r="I777">
        <v>1340.5526123</v>
      </c>
      <c r="J777">
        <v>1337.2701416</v>
      </c>
      <c r="K777">
        <v>0</v>
      </c>
      <c r="L777">
        <v>2750</v>
      </c>
      <c r="M777">
        <v>2750</v>
      </c>
      <c r="N777">
        <v>0</v>
      </c>
    </row>
    <row r="778" spans="1:14" x14ac:dyDescent="0.25">
      <c r="A778">
        <v>186.36982900000001</v>
      </c>
      <c r="B778" s="1">
        <f>DATE(2010,11,3) + TIME(8,52,33)</f>
        <v>40485.369826388887</v>
      </c>
      <c r="C778">
        <v>80</v>
      </c>
      <c r="D778">
        <v>79.504615783999995</v>
      </c>
      <c r="E778">
        <v>40</v>
      </c>
      <c r="F778">
        <v>40.178565978999998</v>
      </c>
      <c r="G778">
        <v>1328.8265381000001</v>
      </c>
      <c r="H778">
        <v>1327.6007079999999</v>
      </c>
      <c r="I778">
        <v>1340.5395507999999</v>
      </c>
      <c r="J778">
        <v>1337.2625731999999</v>
      </c>
      <c r="K778">
        <v>0</v>
      </c>
      <c r="L778">
        <v>2750</v>
      </c>
      <c r="M778">
        <v>2750</v>
      </c>
      <c r="N778">
        <v>0</v>
      </c>
    </row>
    <row r="779" spans="1:14" x14ac:dyDescent="0.25">
      <c r="A779">
        <v>186.52947900000001</v>
      </c>
      <c r="B779" s="1">
        <f>DATE(2010,11,3) + TIME(12,42,26)</f>
        <v>40485.529467592591</v>
      </c>
      <c r="C779">
        <v>80</v>
      </c>
      <c r="D779">
        <v>79.478683472</v>
      </c>
      <c r="E779">
        <v>40</v>
      </c>
      <c r="F779">
        <v>40.134761810000001</v>
      </c>
      <c r="G779">
        <v>1328.8125</v>
      </c>
      <c r="H779">
        <v>1327.5805664</v>
      </c>
      <c r="I779">
        <v>1340.5266113</v>
      </c>
      <c r="J779">
        <v>1337.2551269999999</v>
      </c>
      <c r="K779">
        <v>0</v>
      </c>
      <c r="L779">
        <v>2750</v>
      </c>
      <c r="M779">
        <v>2750</v>
      </c>
      <c r="N779">
        <v>0</v>
      </c>
    </row>
    <row r="780" spans="1:14" x14ac:dyDescent="0.25">
      <c r="A780">
        <v>186.692542</v>
      </c>
      <c r="B780" s="1">
        <f>DATE(2010,11,3) + TIME(16,37,15)</f>
        <v>40485.69253472222</v>
      </c>
      <c r="C780">
        <v>80</v>
      </c>
      <c r="D780">
        <v>79.452339171999995</v>
      </c>
      <c r="E780">
        <v>40</v>
      </c>
      <c r="F780">
        <v>40.099807738999999</v>
      </c>
      <c r="G780">
        <v>1328.7983397999999</v>
      </c>
      <c r="H780">
        <v>1327.5603027</v>
      </c>
      <c r="I780">
        <v>1340.5136719</v>
      </c>
      <c r="J780">
        <v>1337.2478027</v>
      </c>
      <c r="K780">
        <v>0</v>
      </c>
      <c r="L780">
        <v>2750</v>
      </c>
      <c r="M780">
        <v>2750</v>
      </c>
      <c r="N780">
        <v>0</v>
      </c>
    </row>
    <row r="781" spans="1:14" x14ac:dyDescent="0.25">
      <c r="A781">
        <v>186.85936699999999</v>
      </c>
      <c r="B781" s="1">
        <f>DATE(2010,11,3) + TIME(20,37,29)</f>
        <v>40485.859363425923</v>
      </c>
      <c r="C781">
        <v>80</v>
      </c>
      <c r="D781">
        <v>79.425537109000004</v>
      </c>
      <c r="E781">
        <v>40</v>
      </c>
      <c r="F781">
        <v>40.071994781000001</v>
      </c>
      <c r="G781">
        <v>1328.7840576000001</v>
      </c>
      <c r="H781">
        <v>1327.5396728999999</v>
      </c>
      <c r="I781">
        <v>1340.5008545000001</v>
      </c>
      <c r="J781">
        <v>1337.2404785000001</v>
      </c>
      <c r="K781">
        <v>0</v>
      </c>
      <c r="L781">
        <v>2750</v>
      </c>
      <c r="M781">
        <v>2750</v>
      </c>
      <c r="N781">
        <v>0</v>
      </c>
    </row>
    <row r="782" spans="1:14" x14ac:dyDescent="0.25">
      <c r="A782">
        <v>187.030303</v>
      </c>
      <c r="B782" s="1">
        <f>DATE(2010,11,4) + TIME(0,43,38)</f>
        <v>40486.030300925922</v>
      </c>
      <c r="C782">
        <v>80</v>
      </c>
      <c r="D782">
        <v>79.398246764999996</v>
      </c>
      <c r="E782">
        <v>40</v>
      </c>
      <c r="F782">
        <v>40.049926757999998</v>
      </c>
      <c r="G782">
        <v>1328.7695312000001</v>
      </c>
      <c r="H782">
        <v>1327.5189209</v>
      </c>
      <c r="I782">
        <v>1340.4881591999999</v>
      </c>
      <c r="J782">
        <v>1337.2331543</v>
      </c>
      <c r="K782">
        <v>0</v>
      </c>
      <c r="L782">
        <v>2750</v>
      </c>
      <c r="M782">
        <v>2750</v>
      </c>
      <c r="N782">
        <v>0</v>
      </c>
    </row>
    <row r="783" spans="1:14" x14ac:dyDescent="0.25">
      <c r="A783">
        <v>187.205713</v>
      </c>
      <c r="B783" s="1">
        <f>DATE(2010,11,4) + TIME(4,56,13)</f>
        <v>40486.205706018518</v>
      </c>
      <c r="C783">
        <v>80</v>
      </c>
      <c r="D783">
        <v>79.370429993000002</v>
      </c>
      <c r="E783">
        <v>40</v>
      </c>
      <c r="F783">
        <v>40.032482147000003</v>
      </c>
      <c r="G783">
        <v>1328.7547606999999</v>
      </c>
      <c r="H783">
        <v>1327.4979248</v>
      </c>
      <c r="I783">
        <v>1340.4753418</v>
      </c>
      <c r="J783">
        <v>1337.2259521000001</v>
      </c>
      <c r="K783">
        <v>0</v>
      </c>
      <c r="L783">
        <v>2750</v>
      </c>
      <c r="M783">
        <v>2750</v>
      </c>
      <c r="N783">
        <v>0</v>
      </c>
    </row>
    <row r="784" spans="1:14" x14ac:dyDescent="0.25">
      <c r="A784">
        <v>187.385975</v>
      </c>
      <c r="B784" s="1">
        <f>DATE(2010,11,4) + TIME(9,15,48)</f>
        <v>40486.385972222219</v>
      </c>
      <c r="C784">
        <v>80</v>
      </c>
      <c r="D784">
        <v>79.342033385999997</v>
      </c>
      <c r="E784">
        <v>40</v>
      </c>
      <c r="F784">
        <v>40.018745422000002</v>
      </c>
      <c r="G784">
        <v>1328.7398682</v>
      </c>
      <c r="H784">
        <v>1327.4765625</v>
      </c>
      <c r="I784">
        <v>1340.4626464999999</v>
      </c>
      <c r="J784">
        <v>1337.2186279</v>
      </c>
      <c r="K784">
        <v>0</v>
      </c>
      <c r="L784">
        <v>2750</v>
      </c>
      <c r="M784">
        <v>2750</v>
      </c>
      <c r="N784">
        <v>0</v>
      </c>
    </row>
    <row r="785" spans="1:14" x14ac:dyDescent="0.25">
      <c r="A785">
        <v>187.571484</v>
      </c>
      <c r="B785" s="1">
        <f>DATE(2010,11,4) + TIME(13,42,56)</f>
        <v>40486.571481481478</v>
      </c>
      <c r="C785">
        <v>80</v>
      </c>
      <c r="D785">
        <v>79.313026428000001</v>
      </c>
      <c r="E785">
        <v>40</v>
      </c>
      <c r="F785">
        <v>40.007976532000001</v>
      </c>
      <c r="G785">
        <v>1328.7246094</v>
      </c>
      <c r="H785">
        <v>1327.4549560999999</v>
      </c>
      <c r="I785">
        <v>1340.4499512</v>
      </c>
      <c r="J785">
        <v>1337.2113036999999</v>
      </c>
      <c r="K785">
        <v>0</v>
      </c>
      <c r="L785">
        <v>2750</v>
      </c>
      <c r="M785">
        <v>2750</v>
      </c>
      <c r="N785">
        <v>0</v>
      </c>
    </row>
    <row r="786" spans="1:14" x14ac:dyDescent="0.25">
      <c r="A786">
        <v>187.76266000000001</v>
      </c>
      <c r="B786" s="1">
        <f>DATE(2010,11,4) + TIME(18,18,13)</f>
        <v>40486.762650462966</v>
      </c>
      <c r="C786">
        <v>80</v>
      </c>
      <c r="D786">
        <v>79.283363342000001</v>
      </c>
      <c r="E786">
        <v>40</v>
      </c>
      <c r="F786">
        <v>39.999576568999998</v>
      </c>
      <c r="G786">
        <v>1328.7092285000001</v>
      </c>
      <c r="H786">
        <v>1327.4328613</v>
      </c>
      <c r="I786">
        <v>1340.4372559000001</v>
      </c>
      <c r="J786">
        <v>1337.2039795000001</v>
      </c>
      <c r="K786">
        <v>0</v>
      </c>
      <c r="L786">
        <v>2750</v>
      </c>
      <c r="M786">
        <v>2750</v>
      </c>
      <c r="N786">
        <v>0</v>
      </c>
    </row>
    <row r="787" spans="1:14" x14ac:dyDescent="0.25">
      <c r="A787">
        <v>187.95995099999999</v>
      </c>
      <c r="B787" s="1">
        <f>DATE(2010,11,4) + TIME(23,2,19)</f>
        <v>40486.95994212963</v>
      </c>
      <c r="C787">
        <v>80</v>
      </c>
      <c r="D787">
        <v>79.252990722999996</v>
      </c>
      <c r="E787">
        <v>40</v>
      </c>
      <c r="F787">
        <v>39.993057251000003</v>
      </c>
      <c r="G787">
        <v>1328.6934814000001</v>
      </c>
      <c r="H787">
        <v>1327.4105225000001</v>
      </c>
      <c r="I787">
        <v>1340.4245605000001</v>
      </c>
      <c r="J787">
        <v>1337.1966553</v>
      </c>
      <c r="K787">
        <v>0</v>
      </c>
      <c r="L787">
        <v>2750</v>
      </c>
      <c r="M787">
        <v>2750</v>
      </c>
      <c r="N787">
        <v>0</v>
      </c>
    </row>
    <row r="788" spans="1:14" x14ac:dyDescent="0.25">
      <c r="A788">
        <v>188.163838</v>
      </c>
      <c r="B788" s="1">
        <f>DATE(2010,11,5) + TIME(3,55,55)</f>
        <v>40487.163831018515</v>
      </c>
      <c r="C788">
        <v>80</v>
      </c>
      <c r="D788">
        <v>79.221855164000004</v>
      </c>
      <c r="E788">
        <v>40</v>
      </c>
      <c r="F788">
        <v>39.988029480000002</v>
      </c>
      <c r="G788">
        <v>1328.6773682</v>
      </c>
      <c r="H788">
        <v>1327.3875731999999</v>
      </c>
      <c r="I788">
        <v>1340.4118652</v>
      </c>
      <c r="J788">
        <v>1337.1892089999999</v>
      </c>
      <c r="K788">
        <v>0</v>
      </c>
      <c r="L788">
        <v>2750</v>
      </c>
      <c r="M788">
        <v>2750</v>
      </c>
      <c r="N788">
        <v>0</v>
      </c>
    </row>
    <row r="789" spans="1:14" x14ac:dyDescent="0.25">
      <c r="A789">
        <v>188.37477799999999</v>
      </c>
      <c r="B789" s="1">
        <f>DATE(2010,11,5) + TIME(8,59,40)</f>
        <v>40487.374768518515</v>
      </c>
      <c r="C789">
        <v>80</v>
      </c>
      <c r="D789">
        <v>79.189918517999999</v>
      </c>
      <c r="E789">
        <v>40</v>
      </c>
      <c r="F789">
        <v>39.984172821000001</v>
      </c>
      <c r="G789">
        <v>1328.6608887</v>
      </c>
      <c r="H789">
        <v>1327.3642577999999</v>
      </c>
      <c r="I789">
        <v>1340.3991699000001</v>
      </c>
      <c r="J789">
        <v>1337.1817627</v>
      </c>
      <c r="K789">
        <v>0</v>
      </c>
      <c r="L789">
        <v>2750</v>
      </c>
      <c r="M789">
        <v>2750</v>
      </c>
      <c r="N789">
        <v>0</v>
      </c>
    </row>
    <row r="790" spans="1:14" x14ac:dyDescent="0.25">
      <c r="A790">
        <v>188.593345</v>
      </c>
      <c r="B790" s="1">
        <f>DATE(2010,11,5) + TIME(14,14,25)</f>
        <v>40487.593344907407</v>
      </c>
      <c r="C790">
        <v>80</v>
      </c>
      <c r="D790">
        <v>79.157104492000002</v>
      </c>
      <c r="E790">
        <v>40</v>
      </c>
      <c r="F790">
        <v>39.981235503999997</v>
      </c>
      <c r="G790">
        <v>1328.6441649999999</v>
      </c>
      <c r="H790">
        <v>1327.3404541</v>
      </c>
      <c r="I790">
        <v>1340.3865966999999</v>
      </c>
      <c r="J790">
        <v>1337.1744385</v>
      </c>
      <c r="K790">
        <v>0</v>
      </c>
      <c r="L790">
        <v>2750</v>
      </c>
      <c r="M790">
        <v>2750</v>
      </c>
      <c r="N790">
        <v>0</v>
      </c>
    </row>
    <row r="791" spans="1:14" x14ac:dyDescent="0.25">
      <c r="A791">
        <v>188.82018199999999</v>
      </c>
      <c r="B791" s="1">
        <f>DATE(2010,11,5) + TIME(19,41,3)</f>
        <v>40487.820173611108</v>
      </c>
      <c r="C791">
        <v>80</v>
      </c>
      <c r="D791">
        <v>79.123359679999993</v>
      </c>
      <c r="E791">
        <v>40</v>
      </c>
      <c r="F791">
        <v>39.979007721000002</v>
      </c>
      <c r="G791">
        <v>1328.6269531</v>
      </c>
      <c r="H791">
        <v>1327.3160399999999</v>
      </c>
      <c r="I791">
        <v>1340.3739014</v>
      </c>
      <c r="J791">
        <v>1337.1668701000001</v>
      </c>
      <c r="K791">
        <v>0</v>
      </c>
      <c r="L791">
        <v>2750</v>
      </c>
      <c r="M791">
        <v>2750</v>
      </c>
      <c r="N791">
        <v>0</v>
      </c>
    </row>
    <row r="792" spans="1:14" x14ac:dyDescent="0.25">
      <c r="A792">
        <v>189.05595299999999</v>
      </c>
      <c r="B792" s="1">
        <f>DATE(2010,11,6) + TIME(1,20,34)</f>
        <v>40488.055949074071</v>
      </c>
      <c r="C792">
        <v>80</v>
      </c>
      <c r="D792">
        <v>79.088607788000004</v>
      </c>
      <c r="E792">
        <v>40</v>
      </c>
      <c r="F792">
        <v>39.977336884000003</v>
      </c>
      <c r="G792">
        <v>1328.6092529</v>
      </c>
      <c r="H792">
        <v>1327.2911377</v>
      </c>
      <c r="I792">
        <v>1340.3612060999999</v>
      </c>
      <c r="J792">
        <v>1337.1594238</v>
      </c>
      <c r="K792">
        <v>0</v>
      </c>
      <c r="L792">
        <v>2750</v>
      </c>
      <c r="M792">
        <v>2750</v>
      </c>
      <c r="N792">
        <v>0</v>
      </c>
    </row>
    <row r="793" spans="1:14" x14ac:dyDescent="0.25">
      <c r="A793">
        <v>189.301388</v>
      </c>
      <c r="B793" s="1">
        <f>DATE(2010,11,6) + TIME(7,13,59)</f>
        <v>40488.301377314812</v>
      </c>
      <c r="C793">
        <v>80</v>
      </c>
      <c r="D793">
        <v>79.052764893000003</v>
      </c>
      <c r="E793">
        <v>40</v>
      </c>
      <c r="F793">
        <v>39.976085662999999</v>
      </c>
      <c r="G793">
        <v>1328.5911865</v>
      </c>
      <c r="H793">
        <v>1327.2655029</v>
      </c>
      <c r="I793">
        <v>1340.3486327999999</v>
      </c>
      <c r="J793">
        <v>1337.1518555</v>
      </c>
      <c r="K793">
        <v>0</v>
      </c>
      <c r="L793">
        <v>2750</v>
      </c>
      <c r="M793">
        <v>2750</v>
      </c>
      <c r="N793">
        <v>0</v>
      </c>
    </row>
    <row r="794" spans="1:14" x14ac:dyDescent="0.25">
      <c r="A794">
        <v>189.55729500000001</v>
      </c>
      <c r="B794" s="1">
        <f>DATE(2010,11,6) + TIME(13,22,30)</f>
        <v>40488.557291666664</v>
      </c>
      <c r="C794">
        <v>80</v>
      </c>
      <c r="D794">
        <v>79.015769958000007</v>
      </c>
      <c r="E794">
        <v>40</v>
      </c>
      <c r="F794">
        <v>39.975162505999997</v>
      </c>
      <c r="G794">
        <v>1328.5725098</v>
      </c>
      <c r="H794">
        <v>1327.2391356999999</v>
      </c>
      <c r="I794">
        <v>1340.3359375</v>
      </c>
      <c r="J794">
        <v>1337.1444091999999</v>
      </c>
      <c r="K794">
        <v>0</v>
      </c>
      <c r="L794">
        <v>2750</v>
      </c>
      <c r="M794">
        <v>2750</v>
      </c>
      <c r="N794">
        <v>0</v>
      </c>
    </row>
    <row r="795" spans="1:14" x14ac:dyDescent="0.25">
      <c r="A795">
        <v>189.82456099999999</v>
      </c>
      <c r="B795" s="1">
        <f>DATE(2010,11,6) + TIME(19,47,22)</f>
        <v>40488.824560185189</v>
      </c>
      <c r="C795">
        <v>80</v>
      </c>
      <c r="D795">
        <v>78.977508545000006</v>
      </c>
      <c r="E795">
        <v>40</v>
      </c>
      <c r="F795">
        <v>39.974479674999998</v>
      </c>
      <c r="G795">
        <v>1328.5532227000001</v>
      </c>
      <c r="H795">
        <v>1327.2119141000001</v>
      </c>
      <c r="I795">
        <v>1340.3232422000001</v>
      </c>
      <c r="J795">
        <v>1337.1367187999999</v>
      </c>
      <c r="K795">
        <v>0</v>
      </c>
      <c r="L795">
        <v>2750</v>
      </c>
      <c r="M795">
        <v>2750</v>
      </c>
      <c r="N795">
        <v>0</v>
      </c>
    </row>
    <row r="796" spans="1:14" x14ac:dyDescent="0.25">
      <c r="A796">
        <v>190.10417699999999</v>
      </c>
      <c r="B796" s="1">
        <f>DATE(2010,11,7) + TIME(2,30,0)</f>
        <v>40489.104166666664</v>
      </c>
      <c r="C796">
        <v>80</v>
      </c>
      <c r="D796">
        <v>78.937904357999997</v>
      </c>
      <c r="E796">
        <v>40</v>
      </c>
      <c r="F796">
        <v>39.97397995</v>
      </c>
      <c r="G796">
        <v>1328.5334473</v>
      </c>
      <c r="H796">
        <v>1327.1839600000001</v>
      </c>
      <c r="I796">
        <v>1340.3105469</v>
      </c>
      <c r="J796">
        <v>1337.1291504000001</v>
      </c>
      <c r="K796">
        <v>0</v>
      </c>
      <c r="L796">
        <v>2750</v>
      </c>
      <c r="M796">
        <v>2750</v>
      </c>
      <c r="N796">
        <v>0</v>
      </c>
    </row>
    <row r="797" spans="1:14" x14ac:dyDescent="0.25">
      <c r="A797">
        <v>190.39724799999999</v>
      </c>
      <c r="B797" s="1">
        <f>DATE(2010,11,7) + TIME(9,32,2)</f>
        <v>40489.397245370368</v>
      </c>
      <c r="C797">
        <v>80</v>
      </c>
      <c r="D797">
        <v>78.896835327000005</v>
      </c>
      <c r="E797">
        <v>40</v>
      </c>
      <c r="F797">
        <v>39.973621368000003</v>
      </c>
      <c r="G797">
        <v>1328.5128173999999</v>
      </c>
      <c r="H797">
        <v>1327.1550293</v>
      </c>
      <c r="I797">
        <v>1340.2977295000001</v>
      </c>
      <c r="J797">
        <v>1337.1214600000001</v>
      </c>
      <c r="K797">
        <v>0</v>
      </c>
      <c r="L797">
        <v>2750</v>
      </c>
      <c r="M797">
        <v>2750</v>
      </c>
      <c r="N797">
        <v>0</v>
      </c>
    </row>
    <row r="798" spans="1:14" x14ac:dyDescent="0.25">
      <c r="A798">
        <v>190.70500999999999</v>
      </c>
      <c r="B798" s="1">
        <f>DATE(2010,11,7) + TIME(16,55,12)</f>
        <v>40489.705000000002</v>
      </c>
      <c r="C798">
        <v>80</v>
      </c>
      <c r="D798">
        <v>78.854179381999998</v>
      </c>
      <c r="E798">
        <v>40</v>
      </c>
      <c r="F798">
        <v>39.973358154000003</v>
      </c>
      <c r="G798">
        <v>1328.4915771000001</v>
      </c>
      <c r="H798">
        <v>1327.1252440999999</v>
      </c>
      <c r="I798">
        <v>1340.2849120999999</v>
      </c>
      <c r="J798">
        <v>1337.1136475000001</v>
      </c>
      <c r="K798">
        <v>0</v>
      </c>
      <c r="L798">
        <v>2750</v>
      </c>
      <c r="M798">
        <v>2750</v>
      </c>
      <c r="N798">
        <v>0</v>
      </c>
    </row>
    <row r="799" spans="1:14" x14ac:dyDescent="0.25">
      <c r="A799">
        <v>191.02887000000001</v>
      </c>
      <c r="B799" s="1">
        <f>DATE(2010,11,8) + TIME(0,41,34)</f>
        <v>40490.028865740744</v>
      </c>
      <c r="C799">
        <v>80</v>
      </c>
      <c r="D799">
        <v>78.809814453000001</v>
      </c>
      <c r="E799">
        <v>40</v>
      </c>
      <c r="F799">
        <v>39.973167418999999</v>
      </c>
      <c r="G799">
        <v>1328.4694824000001</v>
      </c>
      <c r="H799">
        <v>1327.0942382999999</v>
      </c>
      <c r="I799">
        <v>1340.2719727000001</v>
      </c>
      <c r="J799">
        <v>1337.1058350000001</v>
      </c>
      <c r="K799">
        <v>0</v>
      </c>
      <c r="L799">
        <v>2750</v>
      </c>
      <c r="M799">
        <v>2750</v>
      </c>
      <c r="N799">
        <v>0</v>
      </c>
    </row>
    <row r="800" spans="1:14" x14ac:dyDescent="0.25">
      <c r="A800">
        <v>191.370454</v>
      </c>
      <c r="B800" s="1">
        <f>DATE(2010,11,8) + TIME(8,53,27)</f>
        <v>40490.370451388888</v>
      </c>
      <c r="C800">
        <v>80</v>
      </c>
      <c r="D800">
        <v>78.763572693</v>
      </c>
      <c r="E800">
        <v>40</v>
      </c>
      <c r="F800">
        <v>39.973030090000002</v>
      </c>
      <c r="G800">
        <v>1328.4465332</v>
      </c>
      <c r="H800">
        <v>1327.0620117000001</v>
      </c>
      <c r="I800">
        <v>1340.2589111</v>
      </c>
      <c r="J800">
        <v>1337.0979004000001</v>
      </c>
      <c r="K800">
        <v>0</v>
      </c>
      <c r="L800">
        <v>2750</v>
      </c>
      <c r="M800">
        <v>2750</v>
      </c>
      <c r="N800">
        <v>0</v>
      </c>
    </row>
    <row r="801" spans="1:14" x14ac:dyDescent="0.25">
      <c r="A801">
        <v>191.73150100000001</v>
      </c>
      <c r="B801" s="1">
        <f>DATE(2010,11,8) + TIME(17,33,21)</f>
        <v>40490.731493055559</v>
      </c>
      <c r="C801">
        <v>80</v>
      </c>
      <c r="D801">
        <v>78.715301514000004</v>
      </c>
      <c r="E801">
        <v>40</v>
      </c>
      <c r="F801">
        <v>39.972930908000002</v>
      </c>
      <c r="G801">
        <v>1328.4227295000001</v>
      </c>
      <c r="H801">
        <v>1327.0285644999999</v>
      </c>
      <c r="I801">
        <v>1340.2457274999999</v>
      </c>
      <c r="J801">
        <v>1337.0899658000001</v>
      </c>
      <c r="K801">
        <v>0</v>
      </c>
      <c r="L801">
        <v>2750</v>
      </c>
      <c r="M801">
        <v>2750</v>
      </c>
      <c r="N801">
        <v>0</v>
      </c>
    </row>
    <row r="802" spans="1:14" x14ac:dyDescent="0.25">
      <c r="A802">
        <v>192.11026799999999</v>
      </c>
      <c r="B802" s="1">
        <f>DATE(2010,11,9) + TIME(2,38,47)</f>
        <v>40491.110266203701</v>
      </c>
      <c r="C802">
        <v>80</v>
      </c>
      <c r="D802">
        <v>78.665145874000004</v>
      </c>
      <c r="E802">
        <v>40</v>
      </c>
      <c r="F802">
        <v>39.972854613999999</v>
      </c>
      <c r="G802">
        <v>1328.3978271000001</v>
      </c>
      <c r="H802">
        <v>1326.9936522999999</v>
      </c>
      <c r="I802">
        <v>1340.2324219</v>
      </c>
      <c r="J802">
        <v>1337.0819091999999</v>
      </c>
      <c r="K802">
        <v>0</v>
      </c>
      <c r="L802">
        <v>2750</v>
      </c>
      <c r="M802">
        <v>2750</v>
      </c>
      <c r="N802">
        <v>0</v>
      </c>
    </row>
    <row r="803" spans="1:14" x14ac:dyDescent="0.25">
      <c r="A803">
        <v>192.49811</v>
      </c>
      <c r="B803" s="1">
        <f>DATE(2010,11,9) + TIME(11,57,16)</f>
        <v>40491.498101851852</v>
      </c>
      <c r="C803">
        <v>80</v>
      </c>
      <c r="D803">
        <v>78.613868713000002</v>
      </c>
      <c r="E803">
        <v>40</v>
      </c>
      <c r="F803">
        <v>39.972801208</v>
      </c>
      <c r="G803">
        <v>1328.3719481999999</v>
      </c>
      <c r="H803">
        <v>1326.9576416</v>
      </c>
      <c r="I803">
        <v>1340.2191161999999</v>
      </c>
      <c r="J803">
        <v>1337.0737305</v>
      </c>
      <c r="K803">
        <v>0</v>
      </c>
      <c r="L803">
        <v>2750</v>
      </c>
      <c r="M803">
        <v>2750</v>
      </c>
      <c r="N803">
        <v>0</v>
      </c>
    </row>
    <row r="804" spans="1:14" x14ac:dyDescent="0.25">
      <c r="A804">
        <v>192.89237399999999</v>
      </c>
      <c r="B804" s="1">
        <f>DATE(2010,11,9) + TIME(21,25,1)</f>
        <v>40491.892372685186</v>
      </c>
      <c r="C804">
        <v>80</v>
      </c>
      <c r="D804">
        <v>78.561866760000001</v>
      </c>
      <c r="E804">
        <v>40</v>
      </c>
      <c r="F804">
        <v>39.972759246999999</v>
      </c>
      <c r="G804">
        <v>1328.3458252</v>
      </c>
      <c r="H804">
        <v>1326.9210204999999</v>
      </c>
      <c r="I804">
        <v>1340.2061768000001</v>
      </c>
      <c r="J804">
        <v>1337.0657959</v>
      </c>
      <c r="K804">
        <v>0</v>
      </c>
      <c r="L804">
        <v>2750</v>
      </c>
      <c r="M804">
        <v>2750</v>
      </c>
      <c r="N804">
        <v>0</v>
      </c>
    </row>
    <row r="805" spans="1:14" x14ac:dyDescent="0.25">
      <c r="A805">
        <v>193.29387800000001</v>
      </c>
      <c r="B805" s="1">
        <f>DATE(2010,11,10) + TIME(7,3,11)</f>
        <v>40492.293877314813</v>
      </c>
      <c r="C805">
        <v>80</v>
      </c>
      <c r="D805">
        <v>78.509216308999996</v>
      </c>
      <c r="E805">
        <v>40</v>
      </c>
      <c r="F805">
        <v>39.972724915000001</v>
      </c>
      <c r="G805">
        <v>1328.3193358999999</v>
      </c>
      <c r="H805">
        <v>1326.8841553</v>
      </c>
      <c r="I805">
        <v>1340.1934814000001</v>
      </c>
      <c r="J805">
        <v>1337.0581055</v>
      </c>
      <c r="K805">
        <v>0</v>
      </c>
      <c r="L805">
        <v>2750</v>
      </c>
      <c r="M805">
        <v>2750</v>
      </c>
      <c r="N805">
        <v>0</v>
      </c>
    </row>
    <row r="806" spans="1:14" x14ac:dyDescent="0.25">
      <c r="A806">
        <v>193.703417</v>
      </c>
      <c r="B806" s="1">
        <f>DATE(2010,11,10) + TIME(16,52,55)</f>
        <v>40492.703414351854</v>
      </c>
      <c r="C806">
        <v>80</v>
      </c>
      <c r="D806">
        <v>78.455932617000002</v>
      </c>
      <c r="E806">
        <v>40</v>
      </c>
      <c r="F806">
        <v>39.972694396999998</v>
      </c>
      <c r="G806">
        <v>1328.2926024999999</v>
      </c>
      <c r="H806">
        <v>1326.8469238</v>
      </c>
      <c r="I806">
        <v>1340.1811522999999</v>
      </c>
      <c r="J806">
        <v>1337.0505370999999</v>
      </c>
      <c r="K806">
        <v>0</v>
      </c>
      <c r="L806">
        <v>2750</v>
      </c>
      <c r="M806">
        <v>2750</v>
      </c>
      <c r="N806">
        <v>0</v>
      </c>
    </row>
    <row r="807" spans="1:14" x14ac:dyDescent="0.25">
      <c r="A807">
        <v>194.121824</v>
      </c>
      <c r="B807" s="1">
        <f>DATE(2010,11,11) + TIME(2,55,25)</f>
        <v>40493.121817129628</v>
      </c>
      <c r="C807">
        <v>80</v>
      </c>
      <c r="D807">
        <v>78.402023314999994</v>
      </c>
      <c r="E807">
        <v>40</v>
      </c>
      <c r="F807">
        <v>39.972671509000001</v>
      </c>
      <c r="G807">
        <v>1328.2657471</v>
      </c>
      <c r="H807">
        <v>1326.8093262</v>
      </c>
      <c r="I807">
        <v>1340.1690673999999</v>
      </c>
      <c r="J807">
        <v>1337.0432129000001</v>
      </c>
      <c r="K807">
        <v>0</v>
      </c>
      <c r="L807">
        <v>2750</v>
      </c>
      <c r="M807">
        <v>2750</v>
      </c>
      <c r="N807">
        <v>0</v>
      </c>
    </row>
    <row r="808" spans="1:14" x14ac:dyDescent="0.25">
      <c r="A808">
        <v>194.54999599999999</v>
      </c>
      <c r="B808" s="1">
        <f>DATE(2010,11,11) + TIME(13,11,59)</f>
        <v>40493.549988425926</v>
      </c>
      <c r="C808">
        <v>80</v>
      </c>
      <c r="D808">
        <v>78.347442627000007</v>
      </c>
      <c r="E808">
        <v>40</v>
      </c>
      <c r="F808">
        <v>39.972648620999998</v>
      </c>
      <c r="G808">
        <v>1328.2384033000001</v>
      </c>
      <c r="H808">
        <v>1326.7713623</v>
      </c>
      <c r="I808">
        <v>1340.1573486</v>
      </c>
      <c r="J808">
        <v>1337.0360106999999</v>
      </c>
      <c r="K808">
        <v>0</v>
      </c>
      <c r="L808">
        <v>2750</v>
      </c>
      <c r="M808">
        <v>2750</v>
      </c>
      <c r="N808">
        <v>0</v>
      </c>
    </row>
    <row r="809" spans="1:14" x14ac:dyDescent="0.25">
      <c r="A809">
        <v>194.98885100000001</v>
      </c>
      <c r="B809" s="1">
        <f>DATE(2010,11,11) + TIME(23,43,56)</f>
        <v>40493.988842592589</v>
      </c>
      <c r="C809">
        <v>80</v>
      </c>
      <c r="D809">
        <v>78.292129517000006</v>
      </c>
      <c r="E809">
        <v>40</v>
      </c>
      <c r="F809">
        <v>39.972629546999997</v>
      </c>
      <c r="G809">
        <v>1328.2109375</v>
      </c>
      <c r="H809">
        <v>1326.7330322</v>
      </c>
      <c r="I809">
        <v>1340.1457519999999</v>
      </c>
      <c r="J809">
        <v>1337.0289307</v>
      </c>
      <c r="K809">
        <v>0</v>
      </c>
      <c r="L809">
        <v>2750</v>
      </c>
      <c r="M809">
        <v>2750</v>
      </c>
      <c r="N809">
        <v>0</v>
      </c>
    </row>
    <row r="810" spans="1:14" x14ac:dyDescent="0.25">
      <c r="A810">
        <v>195.43937600000001</v>
      </c>
      <c r="B810" s="1">
        <f>DATE(2010,11,12) + TIME(10,32,42)</f>
        <v>40494.439375000002</v>
      </c>
      <c r="C810">
        <v>80</v>
      </c>
      <c r="D810">
        <v>78.236015320000007</v>
      </c>
      <c r="E810">
        <v>40</v>
      </c>
      <c r="F810">
        <v>39.972610474</v>
      </c>
      <c r="G810">
        <v>1328.1829834</v>
      </c>
      <c r="H810">
        <v>1326.6940918</v>
      </c>
      <c r="I810">
        <v>1340.1345214999999</v>
      </c>
      <c r="J810">
        <v>1337.0220947</v>
      </c>
      <c r="K810">
        <v>0</v>
      </c>
      <c r="L810">
        <v>2750</v>
      </c>
      <c r="M810">
        <v>2750</v>
      </c>
      <c r="N810">
        <v>0</v>
      </c>
    </row>
    <row r="811" spans="1:14" x14ac:dyDescent="0.25">
      <c r="A811">
        <v>195.90261699999999</v>
      </c>
      <c r="B811" s="1">
        <f>DATE(2010,11,12) + TIME(21,39,46)</f>
        <v>40494.902615740742</v>
      </c>
      <c r="C811">
        <v>80</v>
      </c>
      <c r="D811">
        <v>78.179008483999993</v>
      </c>
      <c r="E811">
        <v>40</v>
      </c>
      <c r="F811">
        <v>39.972591399999999</v>
      </c>
      <c r="G811">
        <v>1328.1545410000001</v>
      </c>
      <c r="H811">
        <v>1326.6547852000001</v>
      </c>
      <c r="I811">
        <v>1340.1232910000001</v>
      </c>
      <c r="J811">
        <v>1337.0152588000001</v>
      </c>
      <c r="K811">
        <v>0</v>
      </c>
      <c r="L811">
        <v>2750</v>
      </c>
      <c r="M811">
        <v>2750</v>
      </c>
      <c r="N811">
        <v>0</v>
      </c>
    </row>
    <row r="812" spans="1:14" x14ac:dyDescent="0.25">
      <c r="A812">
        <v>196.379546</v>
      </c>
      <c r="B812" s="1">
        <f>DATE(2010,11,13) + TIME(9,6,32)</f>
        <v>40495.379537037035</v>
      </c>
      <c r="C812">
        <v>80</v>
      </c>
      <c r="D812">
        <v>78.121025084999999</v>
      </c>
      <c r="E812">
        <v>40</v>
      </c>
      <c r="F812">
        <v>39.972576140999998</v>
      </c>
      <c r="G812">
        <v>1328.1257324000001</v>
      </c>
      <c r="H812">
        <v>1326.6147461</v>
      </c>
      <c r="I812">
        <v>1340.1123047000001</v>
      </c>
      <c r="J812">
        <v>1337.0084228999999</v>
      </c>
      <c r="K812">
        <v>0</v>
      </c>
      <c r="L812">
        <v>2750</v>
      </c>
      <c r="M812">
        <v>2750</v>
      </c>
      <c r="N812">
        <v>0</v>
      </c>
    </row>
    <row r="813" spans="1:14" x14ac:dyDescent="0.25">
      <c r="A813">
        <v>196.87138100000001</v>
      </c>
      <c r="B813" s="1">
        <f>DATE(2010,11,13) + TIME(20,54,47)</f>
        <v>40495.871377314812</v>
      </c>
      <c r="C813">
        <v>80</v>
      </c>
      <c r="D813">
        <v>78.061965942</v>
      </c>
      <c r="E813">
        <v>40</v>
      </c>
      <c r="F813">
        <v>39.972560883</v>
      </c>
      <c r="G813">
        <v>1328.0964355000001</v>
      </c>
      <c r="H813">
        <v>1326.5740966999999</v>
      </c>
      <c r="I813">
        <v>1340.1013184000001</v>
      </c>
      <c r="J813">
        <v>1337.0018310999999</v>
      </c>
      <c r="K813">
        <v>0</v>
      </c>
      <c r="L813">
        <v>2750</v>
      </c>
      <c r="M813">
        <v>2750</v>
      </c>
      <c r="N813">
        <v>0</v>
      </c>
    </row>
    <row r="814" spans="1:14" x14ac:dyDescent="0.25">
      <c r="A814">
        <v>197.37948499999999</v>
      </c>
      <c r="B814" s="1">
        <f>DATE(2010,11,14) + TIME(9,6,27)</f>
        <v>40496.379479166666</v>
      </c>
      <c r="C814">
        <v>80</v>
      </c>
      <c r="D814">
        <v>78.001716614000003</v>
      </c>
      <c r="E814">
        <v>40</v>
      </c>
      <c r="F814">
        <v>39.972545623999999</v>
      </c>
      <c r="G814">
        <v>1328.0665283000001</v>
      </c>
      <c r="H814">
        <v>1326.5325928</v>
      </c>
      <c r="I814">
        <v>1340.0905762</v>
      </c>
      <c r="J814">
        <v>1336.9952393000001</v>
      </c>
      <c r="K814">
        <v>0</v>
      </c>
      <c r="L814">
        <v>2750</v>
      </c>
      <c r="M814">
        <v>2750</v>
      </c>
      <c r="N814">
        <v>0</v>
      </c>
    </row>
    <row r="815" spans="1:14" x14ac:dyDescent="0.25">
      <c r="A815">
        <v>197.90527800000001</v>
      </c>
      <c r="B815" s="1">
        <f>DATE(2010,11,14) + TIME(21,43,35)</f>
        <v>40496.905266203707</v>
      </c>
      <c r="C815">
        <v>80</v>
      </c>
      <c r="D815">
        <v>77.940155028999996</v>
      </c>
      <c r="E815">
        <v>40</v>
      </c>
      <c r="F815">
        <v>39.972530364999997</v>
      </c>
      <c r="G815">
        <v>1328.0360106999999</v>
      </c>
      <c r="H815">
        <v>1326.4903564000001</v>
      </c>
      <c r="I815">
        <v>1340.0798339999999</v>
      </c>
      <c r="J815">
        <v>1336.9887695</v>
      </c>
      <c r="K815">
        <v>0</v>
      </c>
      <c r="L815">
        <v>2750</v>
      </c>
      <c r="M815">
        <v>2750</v>
      </c>
      <c r="N815">
        <v>0</v>
      </c>
    </row>
    <row r="816" spans="1:14" x14ac:dyDescent="0.25">
      <c r="A816">
        <v>198.450311</v>
      </c>
      <c r="B816" s="1">
        <f>DATE(2010,11,15) + TIME(10,48,26)</f>
        <v>40497.450300925928</v>
      </c>
      <c r="C816">
        <v>80</v>
      </c>
      <c r="D816">
        <v>77.877136230000005</v>
      </c>
      <c r="E816">
        <v>40</v>
      </c>
      <c r="F816">
        <v>39.972515106000003</v>
      </c>
      <c r="G816">
        <v>1328.0047606999999</v>
      </c>
      <c r="H816">
        <v>1326.4472656</v>
      </c>
      <c r="I816">
        <v>1340.0690918</v>
      </c>
      <c r="J816">
        <v>1336.9822998</v>
      </c>
      <c r="K816">
        <v>0</v>
      </c>
      <c r="L816">
        <v>2750</v>
      </c>
      <c r="M816">
        <v>2750</v>
      </c>
      <c r="N816">
        <v>0</v>
      </c>
    </row>
    <row r="817" spans="1:14" x14ac:dyDescent="0.25">
      <c r="A817">
        <v>199.01629199999999</v>
      </c>
      <c r="B817" s="1">
        <f>DATE(2010,11,16) + TIME(0,23,27)</f>
        <v>40498.016284722224</v>
      </c>
      <c r="C817">
        <v>80</v>
      </c>
      <c r="D817">
        <v>77.812530518000003</v>
      </c>
      <c r="E817">
        <v>40</v>
      </c>
      <c r="F817">
        <v>39.972503662000001</v>
      </c>
      <c r="G817">
        <v>1327.9727783000001</v>
      </c>
      <c r="H817">
        <v>1326.4030762</v>
      </c>
      <c r="I817">
        <v>1340.0584716999999</v>
      </c>
      <c r="J817">
        <v>1336.9758300999999</v>
      </c>
      <c r="K817">
        <v>0</v>
      </c>
      <c r="L817">
        <v>2750</v>
      </c>
      <c r="M817">
        <v>2750</v>
      </c>
      <c r="N817">
        <v>0</v>
      </c>
    </row>
    <row r="818" spans="1:14" x14ac:dyDescent="0.25">
      <c r="A818">
        <v>199.60510300000001</v>
      </c>
      <c r="B818" s="1">
        <f>DATE(2010,11,16) + TIME(14,31,20)</f>
        <v>40498.605092592596</v>
      </c>
      <c r="C818">
        <v>80</v>
      </c>
      <c r="D818">
        <v>77.746162415000001</v>
      </c>
      <c r="E818">
        <v>40</v>
      </c>
      <c r="F818">
        <v>39.972488403</v>
      </c>
      <c r="G818">
        <v>1327.9399414</v>
      </c>
      <c r="H818">
        <v>1326.3577881000001</v>
      </c>
      <c r="I818">
        <v>1340.0479736</v>
      </c>
      <c r="J818">
        <v>1336.9693603999999</v>
      </c>
      <c r="K818">
        <v>0</v>
      </c>
      <c r="L818">
        <v>2750</v>
      </c>
      <c r="M818">
        <v>2750</v>
      </c>
      <c r="N818">
        <v>0</v>
      </c>
    </row>
    <row r="819" spans="1:14" x14ac:dyDescent="0.25">
      <c r="A819">
        <v>200.21882199999999</v>
      </c>
      <c r="B819" s="1">
        <f>DATE(2010,11,17) + TIME(5,15,6)</f>
        <v>40499.218819444446</v>
      </c>
      <c r="C819">
        <v>80</v>
      </c>
      <c r="D819">
        <v>77.677864075000002</v>
      </c>
      <c r="E819">
        <v>40</v>
      </c>
      <c r="F819">
        <v>39.972476958999998</v>
      </c>
      <c r="G819">
        <v>1327.9061279</v>
      </c>
      <c r="H819">
        <v>1326.3114014</v>
      </c>
      <c r="I819">
        <v>1340.0373535000001</v>
      </c>
      <c r="J819">
        <v>1336.9630127</v>
      </c>
      <c r="K819">
        <v>0</v>
      </c>
      <c r="L819">
        <v>2750</v>
      </c>
      <c r="M819">
        <v>2750</v>
      </c>
      <c r="N819">
        <v>0</v>
      </c>
    </row>
    <row r="820" spans="1:14" x14ac:dyDescent="0.25">
      <c r="A820">
        <v>200.85977399999999</v>
      </c>
      <c r="B820" s="1">
        <f>DATE(2010,11,17) + TIME(20,38,4)</f>
        <v>40499.859768518516</v>
      </c>
      <c r="C820">
        <v>80</v>
      </c>
      <c r="D820">
        <v>77.607444763000004</v>
      </c>
      <c r="E820">
        <v>40</v>
      </c>
      <c r="F820">
        <v>39.972465515000003</v>
      </c>
      <c r="G820">
        <v>1327.8714600000001</v>
      </c>
      <c r="H820">
        <v>1326.2635498</v>
      </c>
      <c r="I820">
        <v>1340.0267334</v>
      </c>
      <c r="J820">
        <v>1336.9566649999999</v>
      </c>
      <c r="K820">
        <v>0</v>
      </c>
      <c r="L820">
        <v>2750</v>
      </c>
      <c r="M820">
        <v>2750</v>
      </c>
      <c r="N820">
        <v>0</v>
      </c>
    </row>
    <row r="821" spans="1:14" x14ac:dyDescent="0.25">
      <c r="A821">
        <v>201.53055699999999</v>
      </c>
      <c r="B821" s="1">
        <f>DATE(2010,11,18) + TIME(12,44,0)</f>
        <v>40500.530555555553</v>
      </c>
      <c r="C821">
        <v>80</v>
      </c>
      <c r="D821">
        <v>77.534683228000006</v>
      </c>
      <c r="E821">
        <v>40</v>
      </c>
      <c r="F821">
        <v>39.972457886000001</v>
      </c>
      <c r="G821">
        <v>1327.8356934000001</v>
      </c>
      <c r="H821">
        <v>1326.2143555</v>
      </c>
      <c r="I821">
        <v>1340.0161132999999</v>
      </c>
      <c r="J821">
        <v>1336.9501952999999</v>
      </c>
      <c r="K821">
        <v>0</v>
      </c>
      <c r="L821">
        <v>2750</v>
      </c>
      <c r="M821">
        <v>2750</v>
      </c>
      <c r="N821">
        <v>0</v>
      </c>
    </row>
    <row r="822" spans="1:14" x14ac:dyDescent="0.25">
      <c r="A822">
        <v>202.23414500000001</v>
      </c>
      <c r="B822" s="1">
        <f>DATE(2010,11,19) + TIME(5,37,10)</f>
        <v>40501.234143518515</v>
      </c>
      <c r="C822">
        <v>80</v>
      </c>
      <c r="D822">
        <v>77.459335327000005</v>
      </c>
      <c r="E822">
        <v>40</v>
      </c>
      <c r="F822">
        <v>39.972446441999999</v>
      </c>
      <c r="G822">
        <v>1327.7987060999999</v>
      </c>
      <c r="H822">
        <v>1326.1635742000001</v>
      </c>
      <c r="I822">
        <v>1340.0054932</v>
      </c>
      <c r="J822">
        <v>1336.9438477000001</v>
      </c>
      <c r="K822">
        <v>0</v>
      </c>
      <c r="L822">
        <v>2750</v>
      </c>
      <c r="M822">
        <v>2750</v>
      </c>
      <c r="N822">
        <v>0</v>
      </c>
    </row>
    <row r="823" spans="1:14" x14ac:dyDescent="0.25">
      <c r="A823">
        <v>202.97396800000001</v>
      </c>
      <c r="B823" s="1">
        <f>DATE(2010,11,19) + TIME(23,22,30)</f>
        <v>40501.973958333336</v>
      </c>
      <c r="C823">
        <v>80</v>
      </c>
      <c r="D823">
        <v>77.381111145000006</v>
      </c>
      <c r="E823">
        <v>40</v>
      </c>
      <c r="F823">
        <v>39.972438812</v>
      </c>
      <c r="G823">
        <v>1327.760376</v>
      </c>
      <c r="H823">
        <v>1326.1110839999999</v>
      </c>
      <c r="I823">
        <v>1339.994751</v>
      </c>
      <c r="J823">
        <v>1336.9373779</v>
      </c>
      <c r="K823">
        <v>0</v>
      </c>
      <c r="L823">
        <v>2750</v>
      </c>
      <c r="M823">
        <v>2750</v>
      </c>
      <c r="N823">
        <v>0</v>
      </c>
    </row>
    <row r="824" spans="1:14" x14ac:dyDescent="0.25">
      <c r="A824">
        <v>203.73883000000001</v>
      </c>
      <c r="B824" s="1">
        <f>DATE(2010,11,20) + TIME(17,43,54)</f>
        <v>40502.738819444443</v>
      </c>
      <c r="C824">
        <v>80</v>
      </c>
      <c r="D824">
        <v>77.300415039000001</v>
      </c>
      <c r="E824">
        <v>40</v>
      </c>
      <c r="F824">
        <v>39.972431182999998</v>
      </c>
      <c r="G824">
        <v>1327.7207031</v>
      </c>
      <c r="H824">
        <v>1326.0568848</v>
      </c>
      <c r="I824">
        <v>1339.9838867000001</v>
      </c>
      <c r="J824">
        <v>1336.9310303</v>
      </c>
      <c r="K824">
        <v>0</v>
      </c>
      <c r="L824">
        <v>2750</v>
      </c>
      <c r="M824">
        <v>2750</v>
      </c>
      <c r="N824">
        <v>0</v>
      </c>
    </row>
    <row r="825" spans="1:14" x14ac:dyDescent="0.25">
      <c r="A825">
        <v>204.51758899999999</v>
      </c>
      <c r="B825" s="1">
        <f>DATE(2010,11,21) + TIME(12,25,19)</f>
        <v>40503.517581018517</v>
      </c>
      <c r="C825">
        <v>80</v>
      </c>
      <c r="D825">
        <v>77.218055724999999</v>
      </c>
      <c r="E825">
        <v>40</v>
      </c>
      <c r="F825">
        <v>39.972423552999999</v>
      </c>
      <c r="G825">
        <v>1327.6801757999999</v>
      </c>
      <c r="H825">
        <v>1326.0013428</v>
      </c>
      <c r="I825">
        <v>1339.9731445</v>
      </c>
      <c r="J825">
        <v>1336.9245605000001</v>
      </c>
      <c r="K825">
        <v>0</v>
      </c>
      <c r="L825">
        <v>2750</v>
      </c>
      <c r="M825">
        <v>2750</v>
      </c>
      <c r="N825">
        <v>0</v>
      </c>
    </row>
    <row r="826" spans="1:14" x14ac:dyDescent="0.25">
      <c r="A826">
        <v>205.31193999999999</v>
      </c>
      <c r="B826" s="1">
        <f>DATE(2010,11,22) + TIME(7,29,11)</f>
        <v>40504.311932870369</v>
      </c>
      <c r="C826">
        <v>80</v>
      </c>
      <c r="D826">
        <v>77.134445189999994</v>
      </c>
      <c r="E826">
        <v>40</v>
      </c>
      <c r="F826">
        <v>39.972419739000003</v>
      </c>
      <c r="G826">
        <v>1327.6391602000001</v>
      </c>
      <c r="H826">
        <v>1325.9451904</v>
      </c>
      <c r="I826">
        <v>1339.9626464999999</v>
      </c>
      <c r="J826">
        <v>1336.918457</v>
      </c>
      <c r="K826">
        <v>0</v>
      </c>
      <c r="L826">
        <v>2750</v>
      </c>
      <c r="M826">
        <v>2750</v>
      </c>
      <c r="N826">
        <v>0</v>
      </c>
    </row>
    <row r="827" spans="1:14" x14ac:dyDescent="0.25">
      <c r="A827">
        <v>206.12343899999999</v>
      </c>
      <c r="B827" s="1">
        <f>DATE(2010,11,23) + TIME(2,57,45)</f>
        <v>40505.123437499999</v>
      </c>
      <c r="C827">
        <v>80</v>
      </c>
      <c r="D827">
        <v>77.049659728999998</v>
      </c>
      <c r="E827">
        <v>40</v>
      </c>
      <c r="F827">
        <v>39.972412108999997</v>
      </c>
      <c r="G827">
        <v>1327.5977783000001</v>
      </c>
      <c r="H827">
        <v>1325.8885498</v>
      </c>
      <c r="I827">
        <v>1339.9523925999999</v>
      </c>
      <c r="J827">
        <v>1336.9123535000001</v>
      </c>
      <c r="K827">
        <v>0</v>
      </c>
      <c r="L827">
        <v>2750</v>
      </c>
      <c r="M827">
        <v>2750</v>
      </c>
      <c r="N827">
        <v>0</v>
      </c>
    </row>
    <row r="828" spans="1:14" x14ac:dyDescent="0.25">
      <c r="A828">
        <v>206.95381399999999</v>
      </c>
      <c r="B828" s="1">
        <f>DATE(2010,11,23) + TIME(22,53,29)</f>
        <v>40505.95380787037</v>
      </c>
      <c r="C828">
        <v>80</v>
      </c>
      <c r="D828">
        <v>76.963630675999994</v>
      </c>
      <c r="E828">
        <v>40</v>
      </c>
      <c r="F828">
        <v>39.972412108999997</v>
      </c>
      <c r="G828">
        <v>1327.5560303</v>
      </c>
      <c r="H828">
        <v>1325.831543</v>
      </c>
      <c r="I828">
        <v>1339.9423827999999</v>
      </c>
      <c r="J828">
        <v>1336.9064940999999</v>
      </c>
      <c r="K828">
        <v>0</v>
      </c>
      <c r="L828">
        <v>2750</v>
      </c>
      <c r="M828">
        <v>2750</v>
      </c>
      <c r="N828">
        <v>0</v>
      </c>
    </row>
    <row r="829" spans="1:14" x14ac:dyDescent="0.25">
      <c r="A829">
        <v>207.80498</v>
      </c>
      <c r="B829" s="1">
        <f>DATE(2010,11,24) + TIME(19,19,10)</f>
        <v>40506.804976851854</v>
      </c>
      <c r="C829">
        <v>80</v>
      </c>
      <c r="D829">
        <v>76.876197814999998</v>
      </c>
      <c r="E829">
        <v>40</v>
      </c>
      <c r="F829">
        <v>39.972408295000001</v>
      </c>
      <c r="G829">
        <v>1327.5137939000001</v>
      </c>
      <c r="H829">
        <v>1325.7740478999999</v>
      </c>
      <c r="I829">
        <v>1339.9324951000001</v>
      </c>
      <c r="J829">
        <v>1336.9006348</v>
      </c>
      <c r="K829">
        <v>0</v>
      </c>
      <c r="L829">
        <v>2750</v>
      </c>
      <c r="M829">
        <v>2750</v>
      </c>
      <c r="N829">
        <v>0</v>
      </c>
    </row>
    <row r="830" spans="1:14" x14ac:dyDescent="0.25">
      <c r="A830">
        <v>208.67898400000001</v>
      </c>
      <c r="B830" s="1">
        <f>DATE(2010,11,25) + TIME(16,17,44)</f>
        <v>40507.678981481484</v>
      </c>
      <c r="C830">
        <v>80</v>
      </c>
      <c r="D830">
        <v>76.787155150999993</v>
      </c>
      <c r="E830">
        <v>40</v>
      </c>
      <c r="F830">
        <v>39.972408295000001</v>
      </c>
      <c r="G830">
        <v>1327.4711914</v>
      </c>
      <c r="H830">
        <v>1325.7158202999999</v>
      </c>
      <c r="I830">
        <v>1339.9227295000001</v>
      </c>
      <c r="J830">
        <v>1336.8950195</v>
      </c>
      <c r="K830">
        <v>0</v>
      </c>
      <c r="L830">
        <v>2750</v>
      </c>
      <c r="M830">
        <v>2750</v>
      </c>
      <c r="N830">
        <v>0</v>
      </c>
    </row>
    <row r="831" spans="1:14" x14ac:dyDescent="0.25">
      <c r="A831">
        <v>209.57762099999999</v>
      </c>
      <c r="B831" s="1">
        <f>DATE(2010,11,26) + TIME(13,51,46)</f>
        <v>40508.577615740738</v>
      </c>
      <c r="C831">
        <v>80</v>
      </c>
      <c r="D831">
        <v>76.696273804</v>
      </c>
      <c r="E831">
        <v>40</v>
      </c>
      <c r="F831">
        <v>39.972408295000001</v>
      </c>
      <c r="G831">
        <v>1327.4281006000001</v>
      </c>
      <c r="H831">
        <v>1325.6571045000001</v>
      </c>
      <c r="I831">
        <v>1339.9132079999999</v>
      </c>
      <c r="J831">
        <v>1336.8894043</v>
      </c>
      <c r="K831">
        <v>0</v>
      </c>
      <c r="L831">
        <v>2750</v>
      </c>
      <c r="M831">
        <v>2750</v>
      </c>
      <c r="N831">
        <v>0</v>
      </c>
    </row>
    <row r="832" spans="1:14" x14ac:dyDescent="0.25">
      <c r="A832">
        <v>210.503334</v>
      </c>
      <c r="B832" s="1">
        <f>DATE(2010,11,27) + TIME(12,4,48)</f>
        <v>40509.503333333334</v>
      </c>
      <c r="C832">
        <v>80</v>
      </c>
      <c r="D832">
        <v>76.603302002000007</v>
      </c>
      <c r="E832">
        <v>40</v>
      </c>
      <c r="F832">
        <v>39.972408295000001</v>
      </c>
      <c r="G832">
        <v>1327.3843993999999</v>
      </c>
      <c r="H832">
        <v>1325.5975341999999</v>
      </c>
      <c r="I832">
        <v>1339.9036865</v>
      </c>
      <c r="J832">
        <v>1336.8840332</v>
      </c>
      <c r="K832">
        <v>0</v>
      </c>
      <c r="L832">
        <v>2750</v>
      </c>
      <c r="M832">
        <v>2750</v>
      </c>
      <c r="N832">
        <v>0</v>
      </c>
    </row>
    <row r="833" spans="1:14" x14ac:dyDescent="0.25">
      <c r="A833">
        <v>211.45871199999999</v>
      </c>
      <c r="B833" s="1">
        <f>DATE(2010,11,28) + TIME(11,0,32)</f>
        <v>40510.458703703705</v>
      </c>
      <c r="C833">
        <v>80</v>
      </c>
      <c r="D833">
        <v>76.507965088000006</v>
      </c>
      <c r="E833">
        <v>40</v>
      </c>
      <c r="F833">
        <v>39.972412108999997</v>
      </c>
      <c r="G833">
        <v>1327.3399658000001</v>
      </c>
      <c r="H833">
        <v>1325.5371094</v>
      </c>
      <c r="I833">
        <v>1339.8942870999999</v>
      </c>
      <c r="J833">
        <v>1336.8785399999999</v>
      </c>
      <c r="K833">
        <v>0</v>
      </c>
      <c r="L833">
        <v>2750</v>
      </c>
      <c r="M833">
        <v>2750</v>
      </c>
      <c r="N833">
        <v>0</v>
      </c>
    </row>
    <row r="834" spans="1:14" x14ac:dyDescent="0.25">
      <c r="A834">
        <v>212.446562</v>
      </c>
      <c r="B834" s="1">
        <f>DATE(2010,11,29) + TIME(10,43,2)</f>
        <v>40511.446550925924</v>
      </c>
      <c r="C834">
        <v>80</v>
      </c>
      <c r="D834">
        <v>76.409942627000007</v>
      </c>
      <c r="E834">
        <v>40</v>
      </c>
      <c r="F834">
        <v>39.972415924000003</v>
      </c>
      <c r="G834">
        <v>1327.2947998</v>
      </c>
      <c r="H834">
        <v>1325.4758300999999</v>
      </c>
      <c r="I834">
        <v>1339.8850098</v>
      </c>
      <c r="J834">
        <v>1336.8732910000001</v>
      </c>
      <c r="K834">
        <v>0</v>
      </c>
      <c r="L834">
        <v>2750</v>
      </c>
      <c r="M834">
        <v>2750</v>
      </c>
      <c r="N834">
        <v>0</v>
      </c>
    </row>
    <row r="835" spans="1:14" x14ac:dyDescent="0.25">
      <c r="A835">
        <v>213.46996999999999</v>
      </c>
      <c r="B835" s="1">
        <f>DATE(2010,11,30) + TIME(11,16,45)</f>
        <v>40512.469965277778</v>
      </c>
      <c r="C835">
        <v>80</v>
      </c>
      <c r="D835">
        <v>76.308906554999993</v>
      </c>
      <c r="E835">
        <v>40</v>
      </c>
      <c r="F835">
        <v>39.972423552999999</v>
      </c>
      <c r="G835">
        <v>1327.2487793</v>
      </c>
      <c r="H835">
        <v>1325.4134521000001</v>
      </c>
      <c r="I835">
        <v>1339.8757324000001</v>
      </c>
      <c r="J835">
        <v>1336.8680420000001</v>
      </c>
      <c r="K835">
        <v>0</v>
      </c>
      <c r="L835">
        <v>2750</v>
      </c>
      <c r="M835">
        <v>2750</v>
      </c>
      <c r="N835">
        <v>0</v>
      </c>
    </row>
    <row r="836" spans="1:14" x14ac:dyDescent="0.25">
      <c r="A836">
        <v>214</v>
      </c>
      <c r="B836" s="1">
        <f>DATE(2010,12,1) + TIME(0,0,0)</f>
        <v>40513</v>
      </c>
      <c r="C836">
        <v>80</v>
      </c>
      <c r="D836">
        <v>76.231979370000005</v>
      </c>
      <c r="E836">
        <v>40</v>
      </c>
      <c r="F836">
        <v>39.972415924000003</v>
      </c>
      <c r="G836">
        <v>1327.2036132999999</v>
      </c>
      <c r="H836">
        <v>1325.3533935999999</v>
      </c>
      <c r="I836">
        <v>1339.8663329999999</v>
      </c>
      <c r="J836">
        <v>1336.8626709</v>
      </c>
      <c r="K836">
        <v>0</v>
      </c>
      <c r="L836">
        <v>2750</v>
      </c>
      <c r="M836">
        <v>2750</v>
      </c>
      <c r="N836">
        <v>0</v>
      </c>
    </row>
    <row r="837" spans="1:14" x14ac:dyDescent="0.25">
      <c r="A837">
        <v>215.06237100000001</v>
      </c>
      <c r="B837" s="1">
        <f>DATE(2010,12,2) + TIME(1,29,48)</f>
        <v>40514.062361111108</v>
      </c>
      <c r="C837">
        <v>80</v>
      </c>
      <c r="D837">
        <v>76.142387389999996</v>
      </c>
      <c r="E837">
        <v>40</v>
      </c>
      <c r="F837">
        <v>39.972431182999998</v>
      </c>
      <c r="G837">
        <v>1327.1730957</v>
      </c>
      <c r="H837">
        <v>1325.309082</v>
      </c>
      <c r="I837">
        <v>1339.8618164</v>
      </c>
      <c r="J837">
        <v>1336.8601074000001</v>
      </c>
      <c r="K837">
        <v>0</v>
      </c>
      <c r="L837">
        <v>2750</v>
      </c>
      <c r="M837">
        <v>2750</v>
      </c>
      <c r="N837">
        <v>0</v>
      </c>
    </row>
    <row r="838" spans="1:14" x14ac:dyDescent="0.25">
      <c r="A838">
        <v>216.18991800000001</v>
      </c>
      <c r="B838" s="1">
        <f>DATE(2010,12,3) + TIME(4,33,28)</f>
        <v>40515.18990740741</v>
      </c>
      <c r="C838">
        <v>80</v>
      </c>
      <c r="D838">
        <v>76.038795471</v>
      </c>
      <c r="E838">
        <v>40</v>
      </c>
      <c r="F838">
        <v>39.972442627</v>
      </c>
      <c r="G838">
        <v>1327.1281738</v>
      </c>
      <c r="H838">
        <v>1325.2493896000001</v>
      </c>
      <c r="I838">
        <v>1339.8527832</v>
      </c>
      <c r="J838">
        <v>1336.8551024999999</v>
      </c>
      <c r="K838">
        <v>0</v>
      </c>
      <c r="L838">
        <v>2750</v>
      </c>
      <c r="M838">
        <v>2750</v>
      </c>
      <c r="N838">
        <v>0</v>
      </c>
    </row>
    <row r="839" spans="1:14" x14ac:dyDescent="0.25">
      <c r="A839">
        <v>217.36616699999999</v>
      </c>
      <c r="B839" s="1">
        <f>DATE(2010,12,4) + TIME(8,47,16)</f>
        <v>40516.366157407407</v>
      </c>
      <c r="C839">
        <v>80</v>
      </c>
      <c r="D839">
        <v>75.926307678000001</v>
      </c>
      <c r="E839">
        <v>40</v>
      </c>
      <c r="F839">
        <v>39.972454071000001</v>
      </c>
      <c r="G839">
        <v>1327.0797118999999</v>
      </c>
      <c r="H839">
        <v>1325.1843262</v>
      </c>
      <c r="I839">
        <v>1339.8435059000001</v>
      </c>
      <c r="J839">
        <v>1336.8499756000001</v>
      </c>
      <c r="K839">
        <v>0</v>
      </c>
      <c r="L839">
        <v>2750</v>
      </c>
      <c r="M839">
        <v>2750</v>
      </c>
      <c r="N839">
        <v>0</v>
      </c>
    </row>
    <row r="840" spans="1:14" x14ac:dyDescent="0.25">
      <c r="A840">
        <v>218.596788</v>
      </c>
      <c r="B840" s="1">
        <f>DATE(2010,12,5) + TIME(14,19,22)</f>
        <v>40517.596782407411</v>
      </c>
      <c r="C840">
        <v>80</v>
      </c>
      <c r="D840">
        <v>75.807243346999996</v>
      </c>
      <c r="E840">
        <v>40</v>
      </c>
      <c r="F840">
        <v>39.972469330000003</v>
      </c>
      <c r="G840">
        <v>1327.0291748</v>
      </c>
      <c r="H840">
        <v>1325.1162108999999</v>
      </c>
      <c r="I840">
        <v>1339.8342285000001</v>
      </c>
      <c r="J840">
        <v>1336.8448486</v>
      </c>
      <c r="K840">
        <v>0</v>
      </c>
      <c r="L840">
        <v>2750</v>
      </c>
      <c r="M840">
        <v>2750</v>
      </c>
      <c r="N840">
        <v>0</v>
      </c>
    </row>
    <row r="841" spans="1:14" x14ac:dyDescent="0.25">
      <c r="A841">
        <v>219.88719599999999</v>
      </c>
      <c r="B841" s="1">
        <f>DATE(2010,12,6) + TIME(21,17,33)</f>
        <v>40518.887187499997</v>
      </c>
      <c r="C841">
        <v>80</v>
      </c>
      <c r="D841">
        <v>75.681983947999996</v>
      </c>
      <c r="E841">
        <v>40</v>
      </c>
      <c r="F841">
        <v>39.972480773999997</v>
      </c>
      <c r="G841">
        <v>1326.9768065999999</v>
      </c>
      <c r="H841">
        <v>1325.0456543</v>
      </c>
      <c r="I841">
        <v>1339.8249512</v>
      </c>
      <c r="J841">
        <v>1336.8397216999999</v>
      </c>
      <c r="K841">
        <v>0</v>
      </c>
      <c r="L841">
        <v>2750</v>
      </c>
      <c r="M841">
        <v>2750</v>
      </c>
      <c r="N841">
        <v>0</v>
      </c>
    </row>
    <row r="842" spans="1:14" x14ac:dyDescent="0.25">
      <c r="A842">
        <v>221.20640499999999</v>
      </c>
      <c r="B842" s="1">
        <f>DATE(2010,12,8) + TIME(4,57,13)</f>
        <v>40520.206400462965</v>
      </c>
      <c r="C842">
        <v>80</v>
      </c>
      <c r="D842">
        <v>75.551292419000006</v>
      </c>
      <c r="E842">
        <v>40</v>
      </c>
      <c r="F842">
        <v>39.972499847000002</v>
      </c>
      <c r="G842">
        <v>1326.9228516000001</v>
      </c>
      <c r="H842">
        <v>1324.9729004000001</v>
      </c>
      <c r="I842">
        <v>1339.8155518000001</v>
      </c>
      <c r="J842">
        <v>1336.8345947</v>
      </c>
      <c r="K842">
        <v>0</v>
      </c>
      <c r="L842">
        <v>2750</v>
      </c>
      <c r="M842">
        <v>2750</v>
      </c>
      <c r="N842">
        <v>0</v>
      </c>
    </row>
    <row r="843" spans="1:14" x14ac:dyDescent="0.25">
      <c r="A843">
        <v>222.55320900000001</v>
      </c>
      <c r="B843" s="1">
        <f>DATE(2010,12,9) + TIME(13,16,37)</f>
        <v>40521.553206018521</v>
      </c>
      <c r="C843">
        <v>80</v>
      </c>
      <c r="D843">
        <v>75.416625976999995</v>
      </c>
      <c r="E843">
        <v>40</v>
      </c>
      <c r="F843">
        <v>39.972515106000003</v>
      </c>
      <c r="G843">
        <v>1326.8681641000001</v>
      </c>
      <c r="H843">
        <v>1324.8991699000001</v>
      </c>
      <c r="I843">
        <v>1339.8063964999999</v>
      </c>
      <c r="J843">
        <v>1336.8295897999999</v>
      </c>
      <c r="K843">
        <v>0</v>
      </c>
      <c r="L843">
        <v>2750</v>
      </c>
      <c r="M843">
        <v>2750</v>
      </c>
      <c r="N843">
        <v>0</v>
      </c>
    </row>
    <row r="844" spans="1:14" x14ac:dyDescent="0.25">
      <c r="A844">
        <v>223.94205700000001</v>
      </c>
      <c r="B844" s="1">
        <f>DATE(2010,12,10) + TIME(22,36,33)</f>
        <v>40522.942048611112</v>
      </c>
      <c r="C844">
        <v>80</v>
      </c>
      <c r="D844">
        <v>75.278022766000007</v>
      </c>
      <c r="E844">
        <v>40</v>
      </c>
      <c r="F844">
        <v>39.972534179999997</v>
      </c>
      <c r="G844">
        <v>1326.8131103999999</v>
      </c>
      <c r="H844">
        <v>1324.8249512</v>
      </c>
      <c r="I844">
        <v>1339.7973632999999</v>
      </c>
      <c r="J844">
        <v>1336.824707</v>
      </c>
      <c r="K844">
        <v>0</v>
      </c>
      <c r="L844">
        <v>2750</v>
      </c>
      <c r="M844">
        <v>2750</v>
      </c>
      <c r="N844">
        <v>0</v>
      </c>
    </row>
    <row r="845" spans="1:14" x14ac:dyDescent="0.25">
      <c r="A845">
        <v>225.381485</v>
      </c>
      <c r="B845" s="1">
        <f>DATE(2010,12,12) + TIME(9,9,20)</f>
        <v>40524.381481481483</v>
      </c>
      <c r="C845">
        <v>80</v>
      </c>
      <c r="D845">
        <v>75.134552002000007</v>
      </c>
      <c r="E845">
        <v>40</v>
      </c>
      <c r="F845">
        <v>39.972553253000001</v>
      </c>
      <c r="G845">
        <v>1326.7574463000001</v>
      </c>
      <c r="H845">
        <v>1324.7498779</v>
      </c>
      <c r="I845">
        <v>1339.7883300999999</v>
      </c>
      <c r="J845">
        <v>1336.8199463000001</v>
      </c>
      <c r="K845">
        <v>0</v>
      </c>
      <c r="L845">
        <v>2750</v>
      </c>
      <c r="M845">
        <v>2750</v>
      </c>
      <c r="N845">
        <v>0</v>
      </c>
    </row>
    <row r="846" spans="1:14" x14ac:dyDescent="0.25">
      <c r="A846">
        <v>226.87296499999999</v>
      </c>
      <c r="B846" s="1">
        <f>DATE(2010,12,13) + TIME(20,57,4)</f>
        <v>40525.87296296296</v>
      </c>
      <c r="C846">
        <v>80</v>
      </c>
      <c r="D846">
        <v>74.985450744999994</v>
      </c>
      <c r="E846">
        <v>40</v>
      </c>
      <c r="F846">
        <v>39.972576140999998</v>
      </c>
      <c r="G846">
        <v>1326.7008057</v>
      </c>
      <c r="H846">
        <v>1324.6737060999999</v>
      </c>
      <c r="I846">
        <v>1339.7794189000001</v>
      </c>
      <c r="J846">
        <v>1336.8151855000001</v>
      </c>
      <c r="K846">
        <v>0</v>
      </c>
      <c r="L846">
        <v>2750</v>
      </c>
      <c r="M846">
        <v>2750</v>
      </c>
      <c r="N846">
        <v>0</v>
      </c>
    </row>
    <row r="847" spans="1:14" x14ac:dyDescent="0.25">
      <c r="A847">
        <v>228.39888300000001</v>
      </c>
      <c r="B847" s="1">
        <f>DATE(2010,12,15) + TIME(9,34,23)</f>
        <v>40527.398877314816</v>
      </c>
      <c r="C847">
        <v>80</v>
      </c>
      <c r="D847">
        <v>74.830604553000001</v>
      </c>
      <c r="E847">
        <v>40</v>
      </c>
      <c r="F847">
        <v>39.972599029999998</v>
      </c>
      <c r="G847">
        <v>1326.6431885</v>
      </c>
      <c r="H847">
        <v>1324.5964355000001</v>
      </c>
      <c r="I847">
        <v>1339.7705077999999</v>
      </c>
      <c r="J847">
        <v>1336.8104248</v>
      </c>
      <c r="K847">
        <v>0</v>
      </c>
      <c r="L847">
        <v>2750</v>
      </c>
      <c r="M847">
        <v>2750</v>
      </c>
      <c r="N847">
        <v>0</v>
      </c>
    </row>
    <row r="848" spans="1:14" x14ac:dyDescent="0.25">
      <c r="A848">
        <v>229.94126700000001</v>
      </c>
      <c r="B848" s="1">
        <f>DATE(2010,12,16) + TIME(22,35,25)</f>
        <v>40528.941261574073</v>
      </c>
      <c r="C848">
        <v>80</v>
      </c>
      <c r="D848">
        <v>74.671417235999996</v>
      </c>
      <c r="E848">
        <v>40</v>
      </c>
      <c r="F848">
        <v>39.972625731999997</v>
      </c>
      <c r="G848">
        <v>1326.5852050999999</v>
      </c>
      <c r="H848">
        <v>1324.5184326000001</v>
      </c>
      <c r="I848">
        <v>1339.7618408000001</v>
      </c>
      <c r="J848">
        <v>1336.8059082</v>
      </c>
      <c r="K848">
        <v>0</v>
      </c>
      <c r="L848">
        <v>2750</v>
      </c>
      <c r="M848">
        <v>2750</v>
      </c>
      <c r="N848">
        <v>0</v>
      </c>
    </row>
    <row r="849" spans="1:14" x14ac:dyDescent="0.25">
      <c r="A849">
        <v>231.51135199999999</v>
      </c>
      <c r="B849" s="1">
        <f>DATE(2010,12,18) + TIME(12,16,20)</f>
        <v>40530.511342592596</v>
      </c>
      <c r="C849">
        <v>80</v>
      </c>
      <c r="D849">
        <v>74.508827209000003</v>
      </c>
      <c r="E849">
        <v>40</v>
      </c>
      <c r="F849">
        <v>39.972648620999998</v>
      </c>
      <c r="G849">
        <v>1326.5273437999999</v>
      </c>
      <c r="H849">
        <v>1324.4405518000001</v>
      </c>
      <c r="I849">
        <v>1339.7532959</v>
      </c>
      <c r="J849">
        <v>1336.8013916</v>
      </c>
      <c r="K849">
        <v>0</v>
      </c>
      <c r="L849">
        <v>2750</v>
      </c>
      <c r="M849">
        <v>2750</v>
      </c>
      <c r="N849">
        <v>0</v>
      </c>
    </row>
    <row r="850" spans="1:14" x14ac:dyDescent="0.25">
      <c r="A850">
        <v>233.126071</v>
      </c>
      <c r="B850" s="1">
        <f>DATE(2010,12,20) + TIME(3,1,32)</f>
        <v>40532.126064814816</v>
      </c>
      <c r="C850">
        <v>80</v>
      </c>
      <c r="D850">
        <v>74.341979980000005</v>
      </c>
      <c r="E850">
        <v>40</v>
      </c>
      <c r="F850">
        <v>39.972679137999997</v>
      </c>
      <c r="G850">
        <v>1326.4694824000001</v>
      </c>
      <c r="H850">
        <v>1324.3629149999999</v>
      </c>
      <c r="I850">
        <v>1339.7449951000001</v>
      </c>
      <c r="J850">
        <v>1336.7971190999999</v>
      </c>
      <c r="K850">
        <v>0</v>
      </c>
      <c r="L850">
        <v>2750</v>
      </c>
      <c r="M850">
        <v>2750</v>
      </c>
      <c r="N850">
        <v>0</v>
      </c>
    </row>
    <row r="851" spans="1:14" x14ac:dyDescent="0.25">
      <c r="A851">
        <v>234.79744199999999</v>
      </c>
      <c r="B851" s="1">
        <f>DATE(2010,12,21) + TIME(19,8,18)</f>
        <v>40533.797430555554</v>
      </c>
      <c r="C851">
        <v>80</v>
      </c>
      <c r="D851">
        <v>74.169410705999994</v>
      </c>
      <c r="E851">
        <v>40</v>
      </c>
      <c r="F851">
        <v>39.972709655999999</v>
      </c>
      <c r="G851">
        <v>1326.4112548999999</v>
      </c>
      <c r="H851">
        <v>1324.2847899999999</v>
      </c>
      <c r="I851">
        <v>1339.7366943</v>
      </c>
      <c r="J851">
        <v>1336.7928466999999</v>
      </c>
      <c r="K851">
        <v>0</v>
      </c>
      <c r="L851">
        <v>2750</v>
      </c>
      <c r="M851">
        <v>2750</v>
      </c>
      <c r="N851">
        <v>0</v>
      </c>
    </row>
    <row r="852" spans="1:14" x14ac:dyDescent="0.25">
      <c r="A852">
        <v>236.52180899999999</v>
      </c>
      <c r="B852" s="1">
        <f>DATE(2010,12,23) + TIME(12,31,24)</f>
        <v>40535.521805555552</v>
      </c>
      <c r="C852">
        <v>80</v>
      </c>
      <c r="D852">
        <v>73.990066528</v>
      </c>
      <c r="E852">
        <v>40</v>
      </c>
      <c r="F852">
        <v>39.972740172999998</v>
      </c>
      <c r="G852">
        <v>1326.3522949000001</v>
      </c>
      <c r="H852">
        <v>1324.2056885</v>
      </c>
      <c r="I852">
        <v>1339.7283935999999</v>
      </c>
      <c r="J852">
        <v>1336.7885742000001</v>
      </c>
      <c r="K852">
        <v>0</v>
      </c>
      <c r="L852">
        <v>2750</v>
      </c>
      <c r="M852">
        <v>2750</v>
      </c>
      <c r="N852">
        <v>0</v>
      </c>
    </row>
    <row r="853" spans="1:14" x14ac:dyDescent="0.25">
      <c r="A853">
        <v>238.27389500000001</v>
      </c>
      <c r="B853" s="1">
        <f>DATE(2010,12,25) + TIME(6,34,24)</f>
        <v>40537.273888888885</v>
      </c>
      <c r="C853">
        <v>80</v>
      </c>
      <c r="D853">
        <v>73.804420471</v>
      </c>
      <c r="E853">
        <v>40</v>
      </c>
      <c r="F853">
        <v>39.972774506</v>
      </c>
      <c r="G853">
        <v>1326.2926024999999</v>
      </c>
      <c r="H853">
        <v>1324.1257324000001</v>
      </c>
      <c r="I853">
        <v>1339.7202147999999</v>
      </c>
      <c r="J853">
        <v>1336.7844238</v>
      </c>
      <c r="K853">
        <v>0</v>
      </c>
      <c r="L853">
        <v>2750</v>
      </c>
      <c r="M853">
        <v>2750</v>
      </c>
      <c r="N853">
        <v>0</v>
      </c>
    </row>
    <row r="854" spans="1:14" x14ac:dyDescent="0.25">
      <c r="A854">
        <v>240.06581299999999</v>
      </c>
      <c r="B854" s="1">
        <f>DATE(2010,12,27) + TIME(1,34,46)</f>
        <v>40539.065810185188</v>
      </c>
      <c r="C854">
        <v>80</v>
      </c>
      <c r="D854">
        <v>73.613731384000005</v>
      </c>
      <c r="E854">
        <v>40</v>
      </c>
      <c r="F854">
        <v>39.972808837999999</v>
      </c>
      <c r="G854">
        <v>1326.2327881000001</v>
      </c>
      <c r="H854">
        <v>1324.0455322</v>
      </c>
      <c r="I854">
        <v>1339.7121582</v>
      </c>
      <c r="J854">
        <v>1336.7803954999999</v>
      </c>
      <c r="K854">
        <v>0</v>
      </c>
      <c r="L854">
        <v>2750</v>
      </c>
      <c r="M854">
        <v>2750</v>
      </c>
      <c r="N854">
        <v>0</v>
      </c>
    </row>
    <row r="855" spans="1:14" x14ac:dyDescent="0.25">
      <c r="A855">
        <v>241.88129599999999</v>
      </c>
      <c r="B855" s="1">
        <f>DATE(2010,12,28) + TIME(21,9,4)</f>
        <v>40540.881296296298</v>
      </c>
      <c r="C855">
        <v>80</v>
      </c>
      <c r="D855">
        <v>73.417922974000007</v>
      </c>
      <c r="E855">
        <v>40</v>
      </c>
      <c r="F855">
        <v>39.972843169999997</v>
      </c>
      <c r="G855">
        <v>1326.1728516000001</v>
      </c>
      <c r="H855">
        <v>1323.9652100000001</v>
      </c>
      <c r="I855">
        <v>1339.7042236</v>
      </c>
      <c r="J855">
        <v>1336.7763672000001</v>
      </c>
      <c r="K855">
        <v>0</v>
      </c>
      <c r="L855">
        <v>2750</v>
      </c>
      <c r="M855">
        <v>2750</v>
      </c>
      <c r="N855">
        <v>0</v>
      </c>
    </row>
    <row r="856" spans="1:14" x14ac:dyDescent="0.25">
      <c r="A856">
        <v>243.739487</v>
      </c>
      <c r="B856" s="1">
        <f>DATE(2010,12,30) + TIME(17,44,51)</f>
        <v>40542.739479166667</v>
      </c>
      <c r="C856">
        <v>80</v>
      </c>
      <c r="D856">
        <v>73.217491150000001</v>
      </c>
      <c r="E856">
        <v>40</v>
      </c>
      <c r="F856">
        <v>39.972881317000002</v>
      </c>
      <c r="G856">
        <v>1326.1130370999999</v>
      </c>
      <c r="H856">
        <v>1323.8851318</v>
      </c>
      <c r="I856">
        <v>1339.6964111</v>
      </c>
      <c r="J856">
        <v>1336.7724608999999</v>
      </c>
      <c r="K856">
        <v>0</v>
      </c>
      <c r="L856">
        <v>2750</v>
      </c>
      <c r="M856">
        <v>2750</v>
      </c>
      <c r="N856">
        <v>0</v>
      </c>
    </row>
    <row r="857" spans="1:14" x14ac:dyDescent="0.25">
      <c r="A857">
        <v>245</v>
      </c>
      <c r="B857" s="1">
        <f>DATE(2011,1,1) + TIME(0,0,0)</f>
        <v>40544</v>
      </c>
      <c r="C857">
        <v>80</v>
      </c>
      <c r="D857">
        <v>73.031196593999994</v>
      </c>
      <c r="E857">
        <v>40</v>
      </c>
      <c r="F857">
        <v>39.972900391000003</v>
      </c>
      <c r="G857">
        <v>1326.0538329999999</v>
      </c>
      <c r="H857">
        <v>1323.8068848</v>
      </c>
      <c r="I857">
        <v>1339.6885986</v>
      </c>
      <c r="J857">
        <v>1336.7685547000001</v>
      </c>
      <c r="K857">
        <v>0</v>
      </c>
      <c r="L857">
        <v>2750</v>
      </c>
      <c r="M857">
        <v>2750</v>
      </c>
      <c r="N857">
        <v>0</v>
      </c>
    </row>
    <row r="858" spans="1:14" x14ac:dyDescent="0.25">
      <c r="A858">
        <v>246.91887500000001</v>
      </c>
      <c r="B858" s="1">
        <f>DATE(2011,1,2) + TIME(22,3,10)</f>
        <v>40545.918865740743</v>
      </c>
      <c r="C858">
        <v>80</v>
      </c>
      <c r="D858">
        <v>72.860519409000005</v>
      </c>
      <c r="E858">
        <v>40</v>
      </c>
      <c r="F858">
        <v>39.972946167000003</v>
      </c>
      <c r="G858">
        <v>1326.0080565999999</v>
      </c>
      <c r="H858">
        <v>1323.7421875</v>
      </c>
      <c r="I858">
        <v>1339.6835937999999</v>
      </c>
      <c r="J858">
        <v>1336.7661132999999</v>
      </c>
      <c r="K858">
        <v>0</v>
      </c>
      <c r="L858">
        <v>2750</v>
      </c>
      <c r="M858">
        <v>2750</v>
      </c>
      <c r="N858">
        <v>0</v>
      </c>
    </row>
    <row r="859" spans="1:14" x14ac:dyDescent="0.25">
      <c r="A859">
        <v>248.921639</v>
      </c>
      <c r="B859" s="1">
        <f>DATE(2011,1,4) + TIME(22,7,9)</f>
        <v>40547.921631944446</v>
      </c>
      <c r="C859">
        <v>80</v>
      </c>
      <c r="D859">
        <v>72.652679442999997</v>
      </c>
      <c r="E859">
        <v>40</v>
      </c>
      <c r="F859">
        <v>39.972988129000001</v>
      </c>
      <c r="G859">
        <v>1325.9520264</v>
      </c>
      <c r="H859">
        <v>1323.6690673999999</v>
      </c>
      <c r="I859">
        <v>1339.6761475000001</v>
      </c>
      <c r="J859">
        <v>1336.7623291</v>
      </c>
      <c r="K859">
        <v>0</v>
      </c>
      <c r="L859">
        <v>2750</v>
      </c>
      <c r="M859">
        <v>2750</v>
      </c>
      <c r="N859">
        <v>0</v>
      </c>
    </row>
    <row r="860" spans="1:14" x14ac:dyDescent="0.25">
      <c r="A860">
        <v>250.956883</v>
      </c>
      <c r="B860" s="1">
        <f>DATE(2011,1,6) + TIME(22,57,54)</f>
        <v>40549.956875000003</v>
      </c>
      <c r="C860">
        <v>80</v>
      </c>
      <c r="D860">
        <v>72.429412842000005</v>
      </c>
      <c r="E860">
        <v>40</v>
      </c>
      <c r="F860">
        <v>39.973033905000001</v>
      </c>
      <c r="G860">
        <v>1325.8919678</v>
      </c>
      <c r="H860">
        <v>1323.5892334</v>
      </c>
      <c r="I860">
        <v>1339.668457</v>
      </c>
      <c r="J860">
        <v>1336.7585449000001</v>
      </c>
      <c r="K860">
        <v>0</v>
      </c>
      <c r="L860">
        <v>2750</v>
      </c>
      <c r="M860">
        <v>2750</v>
      </c>
      <c r="N860">
        <v>0</v>
      </c>
    </row>
    <row r="861" spans="1:14" x14ac:dyDescent="0.25">
      <c r="A861">
        <v>253.01980399999999</v>
      </c>
      <c r="B861" s="1">
        <f>DATE(2011,1,9) + TIME(0,28,31)</f>
        <v>40552.019803240742</v>
      </c>
      <c r="C861">
        <v>80</v>
      </c>
      <c r="D861">
        <v>72.199195861999996</v>
      </c>
      <c r="E861">
        <v>40</v>
      </c>
      <c r="F861">
        <v>39.973079681000002</v>
      </c>
      <c r="G861">
        <v>1325.8310547000001</v>
      </c>
      <c r="H861">
        <v>1323.5079346</v>
      </c>
      <c r="I861">
        <v>1339.6610106999999</v>
      </c>
      <c r="J861">
        <v>1336.7548827999999</v>
      </c>
      <c r="K861">
        <v>0</v>
      </c>
      <c r="L861">
        <v>2750</v>
      </c>
      <c r="M861">
        <v>2750</v>
      </c>
      <c r="N861">
        <v>0</v>
      </c>
    </row>
    <row r="862" spans="1:14" x14ac:dyDescent="0.25">
      <c r="A862">
        <v>255.119058</v>
      </c>
      <c r="B862" s="1">
        <f>DATE(2011,1,11) + TIME(2,51,26)</f>
        <v>40554.119050925925</v>
      </c>
      <c r="C862">
        <v>80</v>
      </c>
      <c r="D862">
        <v>71.963836670000006</v>
      </c>
      <c r="E862">
        <v>40</v>
      </c>
      <c r="F862">
        <v>39.973125457999998</v>
      </c>
      <c r="G862">
        <v>1325.7702637</v>
      </c>
      <c r="H862">
        <v>1323.4266356999999</v>
      </c>
      <c r="I862">
        <v>1339.6535644999999</v>
      </c>
      <c r="J862">
        <v>1336.7513428</v>
      </c>
      <c r="K862">
        <v>0</v>
      </c>
      <c r="L862">
        <v>2750</v>
      </c>
      <c r="M862">
        <v>2750</v>
      </c>
      <c r="N862">
        <v>0</v>
      </c>
    </row>
    <row r="863" spans="1:14" x14ac:dyDescent="0.25">
      <c r="A863">
        <v>257.25766800000002</v>
      </c>
      <c r="B863" s="1">
        <f>DATE(2011,1,13) + TIME(6,11,2)</f>
        <v>40556.257662037038</v>
      </c>
      <c r="C863">
        <v>80</v>
      </c>
      <c r="D863">
        <v>71.723037719999994</v>
      </c>
      <c r="E863">
        <v>40</v>
      </c>
      <c r="F863">
        <v>39.973171233999999</v>
      </c>
      <c r="G863">
        <v>1325.7095947</v>
      </c>
      <c r="H863">
        <v>1323.3455810999999</v>
      </c>
      <c r="I863">
        <v>1339.6463623</v>
      </c>
      <c r="J863">
        <v>1336.7478027</v>
      </c>
      <c r="K863">
        <v>0</v>
      </c>
      <c r="L863">
        <v>2750</v>
      </c>
      <c r="M863">
        <v>2750</v>
      </c>
      <c r="N863">
        <v>0</v>
      </c>
    </row>
    <row r="864" spans="1:14" x14ac:dyDescent="0.25">
      <c r="A864">
        <v>259.45329299999997</v>
      </c>
      <c r="B864" s="1">
        <f>DATE(2011,1,15) + TIME(10,52,44)</f>
        <v>40558.453287037039</v>
      </c>
      <c r="C864">
        <v>80</v>
      </c>
      <c r="D864">
        <v>71.476150512999993</v>
      </c>
      <c r="E864">
        <v>40</v>
      </c>
      <c r="F864">
        <v>39.973220824999999</v>
      </c>
      <c r="G864">
        <v>1325.6490478999999</v>
      </c>
      <c r="H864">
        <v>1323.2645264</v>
      </c>
      <c r="I864">
        <v>1339.6391602000001</v>
      </c>
      <c r="J864">
        <v>1336.7442627</v>
      </c>
      <c r="K864">
        <v>0</v>
      </c>
      <c r="L864">
        <v>2750</v>
      </c>
      <c r="M864">
        <v>2750</v>
      </c>
      <c r="N864">
        <v>0</v>
      </c>
    </row>
    <row r="865" spans="1:14" x14ac:dyDescent="0.25">
      <c r="A865">
        <v>261.71320900000001</v>
      </c>
      <c r="B865" s="1">
        <f>DATE(2011,1,17) + TIME(17,7,1)</f>
        <v>40560.713206018518</v>
      </c>
      <c r="C865">
        <v>80</v>
      </c>
      <c r="D865">
        <v>71.221595764</v>
      </c>
      <c r="E865">
        <v>40</v>
      </c>
      <c r="F865">
        <v>39.973274230999998</v>
      </c>
      <c r="G865">
        <v>1325.5882568</v>
      </c>
      <c r="H865">
        <v>1323.1831055</v>
      </c>
      <c r="I865">
        <v>1339.6319579999999</v>
      </c>
      <c r="J865">
        <v>1336.7407227000001</v>
      </c>
      <c r="K865">
        <v>0</v>
      </c>
      <c r="L865">
        <v>2750</v>
      </c>
      <c r="M865">
        <v>2750</v>
      </c>
      <c r="N865">
        <v>0</v>
      </c>
    </row>
    <row r="866" spans="1:14" x14ac:dyDescent="0.25">
      <c r="A866">
        <v>263.99548199999998</v>
      </c>
      <c r="B866" s="1">
        <f>DATE(2011,1,19) + TIME(23,53,29)</f>
        <v>40562.995474537034</v>
      </c>
      <c r="C866">
        <v>80</v>
      </c>
      <c r="D866">
        <v>70.959342957000004</v>
      </c>
      <c r="E866">
        <v>40</v>
      </c>
      <c r="F866">
        <v>39.973327636999997</v>
      </c>
      <c r="G866">
        <v>1325.5268555</v>
      </c>
      <c r="H866">
        <v>1323.1013184000001</v>
      </c>
      <c r="I866">
        <v>1339.6248779</v>
      </c>
      <c r="J866">
        <v>1336.7373047000001</v>
      </c>
      <c r="K866">
        <v>0</v>
      </c>
      <c r="L866">
        <v>2750</v>
      </c>
      <c r="M866">
        <v>2750</v>
      </c>
      <c r="N866">
        <v>0</v>
      </c>
    </row>
    <row r="867" spans="1:14" x14ac:dyDescent="0.25">
      <c r="A867">
        <v>266.29911099999998</v>
      </c>
      <c r="B867" s="1">
        <f>DATE(2011,1,22) + TIME(7,10,43)</f>
        <v>40565.299108796295</v>
      </c>
      <c r="C867">
        <v>80</v>
      </c>
      <c r="D867">
        <v>70.692565918</v>
      </c>
      <c r="E867">
        <v>40</v>
      </c>
      <c r="F867">
        <v>39.973381042</v>
      </c>
      <c r="G867">
        <v>1325.4658202999999</v>
      </c>
      <c r="H867">
        <v>1323.0196533000001</v>
      </c>
      <c r="I867">
        <v>1339.6177978999999</v>
      </c>
      <c r="J867">
        <v>1336.7338867000001</v>
      </c>
      <c r="K867">
        <v>0</v>
      </c>
      <c r="L867">
        <v>2750</v>
      </c>
      <c r="M867">
        <v>2750</v>
      </c>
      <c r="N867">
        <v>0</v>
      </c>
    </row>
    <row r="868" spans="1:14" x14ac:dyDescent="0.25">
      <c r="A868">
        <v>268.64133500000003</v>
      </c>
      <c r="B868" s="1">
        <f>DATE(2011,1,24) + TIME(15,23,31)</f>
        <v>40567.641331018516</v>
      </c>
      <c r="C868">
        <v>80</v>
      </c>
      <c r="D868">
        <v>70.421630859000004</v>
      </c>
      <c r="E868">
        <v>40</v>
      </c>
      <c r="F868">
        <v>39.973434447999999</v>
      </c>
      <c r="G868">
        <v>1325.4053954999999</v>
      </c>
      <c r="H868">
        <v>1322.9387207</v>
      </c>
      <c r="I868">
        <v>1339.6108397999999</v>
      </c>
      <c r="J868">
        <v>1336.7304687999999</v>
      </c>
      <c r="K868">
        <v>0</v>
      </c>
      <c r="L868">
        <v>2750</v>
      </c>
      <c r="M868">
        <v>2750</v>
      </c>
      <c r="N868">
        <v>0</v>
      </c>
    </row>
    <row r="869" spans="1:14" x14ac:dyDescent="0.25">
      <c r="A869">
        <v>271.040325</v>
      </c>
      <c r="B869" s="1">
        <f>DATE(2011,1,27) + TIME(0,58,4)</f>
        <v>40570.040324074071</v>
      </c>
      <c r="C869">
        <v>80</v>
      </c>
      <c r="D869">
        <v>70.145004271999994</v>
      </c>
      <c r="E869">
        <v>40</v>
      </c>
      <c r="F869">
        <v>39.973491668999998</v>
      </c>
      <c r="G869">
        <v>1325.3453368999999</v>
      </c>
      <c r="H869">
        <v>1322.8582764</v>
      </c>
      <c r="I869">
        <v>1339.6040039</v>
      </c>
      <c r="J869">
        <v>1336.7271728999999</v>
      </c>
      <c r="K869">
        <v>0</v>
      </c>
      <c r="L869">
        <v>2750</v>
      </c>
      <c r="M869">
        <v>2750</v>
      </c>
      <c r="N869">
        <v>0</v>
      </c>
    </row>
    <row r="870" spans="1:14" x14ac:dyDescent="0.25">
      <c r="A870">
        <v>273.50743599999998</v>
      </c>
      <c r="B870" s="1">
        <f>DATE(2011,1,29) + TIME(12,10,42)</f>
        <v>40572.507430555554</v>
      </c>
      <c r="C870">
        <v>80</v>
      </c>
      <c r="D870">
        <v>69.860527039000004</v>
      </c>
      <c r="E870">
        <v>40</v>
      </c>
      <c r="F870">
        <v>39.973548889</v>
      </c>
      <c r="G870">
        <v>1325.2850341999999</v>
      </c>
      <c r="H870">
        <v>1322.7777100000001</v>
      </c>
      <c r="I870">
        <v>1339.597168</v>
      </c>
      <c r="J870">
        <v>1336.7237548999999</v>
      </c>
      <c r="K870">
        <v>0</v>
      </c>
      <c r="L870">
        <v>2750</v>
      </c>
      <c r="M870">
        <v>2750</v>
      </c>
      <c r="N870">
        <v>0</v>
      </c>
    </row>
    <row r="871" spans="1:14" x14ac:dyDescent="0.25">
      <c r="A871">
        <v>276</v>
      </c>
      <c r="B871" s="1">
        <f>DATE(2011,2,1) + TIME(0,0,0)</f>
        <v>40575</v>
      </c>
      <c r="C871">
        <v>80</v>
      </c>
      <c r="D871">
        <v>69.567611693999993</v>
      </c>
      <c r="E871">
        <v>40</v>
      </c>
      <c r="F871">
        <v>39.973609924000002</v>
      </c>
      <c r="G871">
        <v>1325.2243652</v>
      </c>
      <c r="H871">
        <v>1322.6967772999999</v>
      </c>
      <c r="I871">
        <v>1339.590332</v>
      </c>
      <c r="J871">
        <v>1336.7203368999999</v>
      </c>
      <c r="K871">
        <v>0</v>
      </c>
      <c r="L871">
        <v>2750</v>
      </c>
      <c r="M871">
        <v>2750</v>
      </c>
      <c r="N871">
        <v>0</v>
      </c>
    </row>
    <row r="872" spans="1:14" x14ac:dyDescent="0.25">
      <c r="A872">
        <v>278.48825299999999</v>
      </c>
      <c r="B872" s="1">
        <f>DATE(2011,2,3) + TIME(11,43,5)</f>
        <v>40577.488252314812</v>
      </c>
      <c r="C872">
        <v>80</v>
      </c>
      <c r="D872">
        <v>69.270423889</v>
      </c>
      <c r="E872">
        <v>40</v>
      </c>
      <c r="F872">
        <v>39.973667145</v>
      </c>
      <c r="G872">
        <v>1325.1640625</v>
      </c>
      <c r="H872">
        <v>1322.6159668</v>
      </c>
      <c r="I872">
        <v>1339.5834961</v>
      </c>
      <c r="J872">
        <v>1336.7170410000001</v>
      </c>
      <c r="K872">
        <v>0</v>
      </c>
      <c r="L872">
        <v>2750</v>
      </c>
      <c r="M872">
        <v>2750</v>
      </c>
      <c r="N872">
        <v>0</v>
      </c>
    </row>
    <row r="873" spans="1:14" x14ac:dyDescent="0.25">
      <c r="A873">
        <v>281.04582399999998</v>
      </c>
      <c r="B873" s="1">
        <f>DATE(2011,2,6) + TIME(1,5,59)</f>
        <v>40580.04582175926</v>
      </c>
      <c r="C873">
        <v>80</v>
      </c>
      <c r="D873">
        <v>68.970664978000002</v>
      </c>
      <c r="E873">
        <v>40</v>
      </c>
      <c r="F873">
        <v>39.973728180000002</v>
      </c>
      <c r="G873">
        <v>1325.1047363</v>
      </c>
      <c r="H873">
        <v>1322.536499</v>
      </c>
      <c r="I873">
        <v>1339.5769043</v>
      </c>
      <c r="J873">
        <v>1336.7137451000001</v>
      </c>
      <c r="K873">
        <v>0</v>
      </c>
      <c r="L873">
        <v>2750</v>
      </c>
      <c r="M873">
        <v>2750</v>
      </c>
      <c r="N873">
        <v>0</v>
      </c>
    </row>
    <row r="874" spans="1:14" x14ac:dyDescent="0.25">
      <c r="A874">
        <v>283.66699199999999</v>
      </c>
      <c r="B874" s="1">
        <f>DATE(2011,2,8) + TIME(16,0,28)</f>
        <v>40582.666990740741</v>
      </c>
      <c r="C874">
        <v>80</v>
      </c>
      <c r="D874">
        <v>68.662658691000004</v>
      </c>
      <c r="E874">
        <v>40</v>
      </c>
      <c r="F874">
        <v>39.973793030000003</v>
      </c>
      <c r="G874">
        <v>1325.0454102000001</v>
      </c>
      <c r="H874">
        <v>1322.4570312000001</v>
      </c>
      <c r="I874">
        <v>1339.5703125</v>
      </c>
      <c r="J874">
        <v>1336.7104492000001</v>
      </c>
      <c r="K874">
        <v>0</v>
      </c>
      <c r="L874">
        <v>2750</v>
      </c>
      <c r="M874">
        <v>2750</v>
      </c>
      <c r="N874">
        <v>0</v>
      </c>
    </row>
    <row r="875" spans="1:14" x14ac:dyDescent="0.25">
      <c r="A875">
        <v>286.34657299999998</v>
      </c>
      <c r="B875" s="1">
        <f>DATE(2011,2,11) + TIME(8,19,3)</f>
        <v>40585.346562500003</v>
      </c>
      <c r="C875">
        <v>80</v>
      </c>
      <c r="D875">
        <v>68.345924377000003</v>
      </c>
      <c r="E875">
        <v>40</v>
      </c>
      <c r="F875">
        <v>39.973857879999997</v>
      </c>
      <c r="G875">
        <v>1324.9858397999999</v>
      </c>
      <c r="H875">
        <v>1322.3773193</v>
      </c>
      <c r="I875">
        <v>1339.5635986</v>
      </c>
      <c r="J875">
        <v>1336.7071533000001</v>
      </c>
      <c r="K875">
        <v>0</v>
      </c>
      <c r="L875">
        <v>2750</v>
      </c>
      <c r="M875">
        <v>2750</v>
      </c>
      <c r="N875">
        <v>0</v>
      </c>
    </row>
    <row r="876" spans="1:14" x14ac:dyDescent="0.25">
      <c r="A876">
        <v>289.04423600000001</v>
      </c>
      <c r="B876" s="1">
        <f>DATE(2011,2,14) + TIME(1,3,42)</f>
        <v>40588.044236111113</v>
      </c>
      <c r="C876">
        <v>80</v>
      </c>
      <c r="D876">
        <v>68.021591186999999</v>
      </c>
      <c r="E876">
        <v>40</v>
      </c>
      <c r="F876">
        <v>39.973922729000002</v>
      </c>
      <c r="G876">
        <v>1324.9261475000001</v>
      </c>
      <c r="H876">
        <v>1322.2973632999999</v>
      </c>
      <c r="I876">
        <v>1339.5570068</v>
      </c>
      <c r="J876">
        <v>1336.7038574000001</v>
      </c>
      <c r="K876">
        <v>0</v>
      </c>
      <c r="L876">
        <v>2750</v>
      </c>
      <c r="M876">
        <v>2750</v>
      </c>
      <c r="N876">
        <v>0</v>
      </c>
    </row>
    <row r="877" spans="1:14" x14ac:dyDescent="0.25">
      <c r="A877">
        <v>291.77981699999998</v>
      </c>
      <c r="B877" s="1">
        <f>DATE(2011,2,16) + TIME(18,42,56)</f>
        <v>40590.779814814814</v>
      </c>
      <c r="C877">
        <v>80</v>
      </c>
      <c r="D877">
        <v>67.692810058999996</v>
      </c>
      <c r="E877">
        <v>40</v>
      </c>
      <c r="F877">
        <v>39.973991394000002</v>
      </c>
      <c r="G877">
        <v>1324.8669434000001</v>
      </c>
      <c r="H877">
        <v>1322.2178954999999</v>
      </c>
      <c r="I877">
        <v>1339.5504149999999</v>
      </c>
      <c r="J877">
        <v>1336.7004394999999</v>
      </c>
      <c r="K877">
        <v>0</v>
      </c>
      <c r="L877">
        <v>2750</v>
      </c>
      <c r="M877">
        <v>2750</v>
      </c>
      <c r="N877">
        <v>0</v>
      </c>
    </row>
    <row r="878" spans="1:14" x14ac:dyDescent="0.25">
      <c r="A878">
        <v>294.57420200000001</v>
      </c>
      <c r="B878" s="1">
        <f>DATE(2011,2,19) + TIME(13,46,51)</f>
        <v>40593.574201388888</v>
      </c>
      <c r="C878">
        <v>80</v>
      </c>
      <c r="D878">
        <v>67.358062743999994</v>
      </c>
      <c r="E878">
        <v>40</v>
      </c>
      <c r="F878">
        <v>39.974060059000003</v>
      </c>
      <c r="G878">
        <v>1324.8082274999999</v>
      </c>
      <c r="H878">
        <v>1322.1390381000001</v>
      </c>
      <c r="I878">
        <v>1339.5439452999999</v>
      </c>
      <c r="J878">
        <v>1336.6971435999999</v>
      </c>
      <c r="K878">
        <v>0</v>
      </c>
      <c r="L878">
        <v>2750</v>
      </c>
      <c r="M878">
        <v>2750</v>
      </c>
      <c r="N878">
        <v>0</v>
      </c>
    </row>
    <row r="879" spans="1:14" x14ac:dyDescent="0.25">
      <c r="A879">
        <v>297.44535500000001</v>
      </c>
      <c r="B879" s="1">
        <f>DATE(2011,2,22) + TIME(10,41,18)</f>
        <v>40596.445347222223</v>
      </c>
      <c r="C879">
        <v>80</v>
      </c>
      <c r="D879">
        <v>67.014877318999993</v>
      </c>
      <c r="E879">
        <v>40</v>
      </c>
      <c r="F879">
        <v>39.974128723</v>
      </c>
      <c r="G879">
        <v>1324.7495117000001</v>
      </c>
      <c r="H879">
        <v>1322.0601807</v>
      </c>
      <c r="I879">
        <v>1339.5373535000001</v>
      </c>
      <c r="J879">
        <v>1336.6938477000001</v>
      </c>
      <c r="K879">
        <v>0</v>
      </c>
      <c r="L879">
        <v>2750</v>
      </c>
      <c r="M879">
        <v>2750</v>
      </c>
      <c r="N879">
        <v>0</v>
      </c>
    </row>
    <row r="880" spans="1:14" x14ac:dyDescent="0.25">
      <c r="A880">
        <v>300.33469500000001</v>
      </c>
      <c r="B880" s="1">
        <f>DATE(2011,2,25) + TIME(8,1,57)</f>
        <v>40599.334687499999</v>
      </c>
      <c r="C880">
        <v>80</v>
      </c>
      <c r="D880">
        <v>66.662368774000001</v>
      </c>
      <c r="E880">
        <v>40</v>
      </c>
      <c r="F880">
        <v>39.974201202000003</v>
      </c>
      <c r="G880">
        <v>1324.6904297000001</v>
      </c>
      <c r="H880">
        <v>1321.980957</v>
      </c>
      <c r="I880">
        <v>1339.5307617000001</v>
      </c>
      <c r="J880">
        <v>1336.6904297000001</v>
      </c>
      <c r="K880">
        <v>0</v>
      </c>
      <c r="L880">
        <v>2750</v>
      </c>
      <c r="M880">
        <v>2750</v>
      </c>
      <c r="N880">
        <v>0</v>
      </c>
    </row>
    <row r="881" spans="1:14" x14ac:dyDescent="0.25">
      <c r="A881">
        <v>303.26338299999998</v>
      </c>
      <c r="B881" s="1">
        <f>DATE(2011,2,28) + TIME(6,19,16)</f>
        <v>40602.263379629629</v>
      </c>
      <c r="C881">
        <v>80</v>
      </c>
      <c r="D881">
        <v>66.305084229000002</v>
      </c>
      <c r="E881">
        <v>40</v>
      </c>
      <c r="F881">
        <v>39.974273682000003</v>
      </c>
      <c r="G881">
        <v>1324.6319579999999</v>
      </c>
      <c r="H881">
        <v>1321.9022216999999</v>
      </c>
      <c r="I881">
        <v>1339.5242920000001</v>
      </c>
      <c r="J881">
        <v>1336.6870117000001</v>
      </c>
      <c r="K881">
        <v>0</v>
      </c>
      <c r="L881">
        <v>2750</v>
      </c>
      <c r="M881">
        <v>2750</v>
      </c>
      <c r="N881">
        <v>0</v>
      </c>
    </row>
    <row r="882" spans="1:14" x14ac:dyDescent="0.25">
      <c r="A882">
        <v>304</v>
      </c>
      <c r="B882" s="1">
        <f>DATE(2011,3,1) + TIME(0,0,0)</f>
        <v>40603</v>
      </c>
      <c r="C882">
        <v>80</v>
      </c>
      <c r="D882">
        <v>66.045837402000004</v>
      </c>
      <c r="E882">
        <v>40</v>
      </c>
      <c r="F882">
        <v>39.974281310999999</v>
      </c>
      <c r="G882">
        <v>1324.574707</v>
      </c>
      <c r="H882">
        <v>1321.8297118999999</v>
      </c>
      <c r="I882">
        <v>1339.5177002</v>
      </c>
      <c r="J882">
        <v>1336.6834716999999</v>
      </c>
      <c r="K882">
        <v>0</v>
      </c>
      <c r="L882">
        <v>2750</v>
      </c>
      <c r="M882">
        <v>2750</v>
      </c>
      <c r="N882">
        <v>0</v>
      </c>
    </row>
    <row r="883" spans="1:14" x14ac:dyDescent="0.25">
      <c r="A883">
        <v>306.990951</v>
      </c>
      <c r="B883" s="1">
        <f>DATE(2011,3,3) + TIME(23,46,58)</f>
        <v>40605.990949074076</v>
      </c>
      <c r="C883">
        <v>80</v>
      </c>
      <c r="D883">
        <v>65.827346801999994</v>
      </c>
      <c r="E883">
        <v>40</v>
      </c>
      <c r="F883">
        <v>39.974361420000001</v>
      </c>
      <c r="G883">
        <v>1324.5517577999999</v>
      </c>
      <c r="H883">
        <v>1321.7896728999999</v>
      </c>
      <c r="I883">
        <v>1339.5161132999999</v>
      </c>
      <c r="J883">
        <v>1336.6827393000001</v>
      </c>
      <c r="K883">
        <v>0</v>
      </c>
      <c r="L883">
        <v>2750</v>
      </c>
      <c r="M883">
        <v>2750</v>
      </c>
      <c r="N883">
        <v>0</v>
      </c>
    </row>
    <row r="884" spans="1:14" x14ac:dyDescent="0.25">
      <c r="A884">
        <v>310.06070199999999</v>
      </c>
      <c r="B884" s="1">
        <f>DATE(2011,3,7) + TIME(1,27,24)</f>
        <v>40609.060694444444</v>
      </c>
      <c r="C884">
        <v>80</v>
      </c>
      <c r="D884">
        <v>65.472625731999997</v>
      </c>
      <c r="E884">
        <v>40</v>
      </c>
      <c r="F884">
        <v>39.974441528</v>
      </c>
      <c r="G884">
        <v>1324.5004882999999</v>
      </c>
      <c r="H884">
        <v>1321.7243652</v>
      </c>
      <c r="I884">
        <v>1339.5096435999999</v>
      </c>
      <c r="J884">
        <v>1336.6791992000001</v>
      </c>
      <c r="K884">
        <v>0</v>
      </c>
      <c r="L884">
        <v>2750</v>
      </c>
      <c r="M884">
        <v>2750</v>
      </c>
      <c r="N884">
        <v>0</v>
      </c>
    </row>
    <row r="885" spans="1:14" x14ac:dyDescent="0.25">
      <c r="A885">
        <v>313.16274700000002</v>
      </c>
      <c r="B885" s="1">
        <f>DATE(2011,3,10) + TIME(3,54,21)</f>
        <v>40612.162743055553</v>
      </c>
      <c r="C885">
        <v>80</v>
      </c>
      <c r="D885">
        <v>65.092620850000003</v>
      </c>
      <c r="E885">
        <v>40</v>
      </c>
      <c r="F885">
        <v>39.974517822000003</v>
      </c>
      <c r="G885">
        <v>1324.4436035000001</v>
      </c>
      <c r="H885">
        <v>1321.6481934000001</v>
      </c>
      <c r="I885">
        <v>1339.5031738</v>
      </c>
      <c r="J885">
        <v>1336.6756591999999</v>
      </c>
      <c r="K885">
        <v>0</v>
      </c>
      <c r="L885">
        <v>2750</v>
      </c>
      <c r="M885">
        <v>2750</v>
      </c>
      <c r="N885">
        <v>0</v>
      </c>
    </row>
    <row r="886" spans="1:14" x14ac:dyDescent="0.25">
      <c r="A886">
        <v>316.31968000000001</v>
      </c>
      <c r="B886" s="1">
        <f>DATE(2011,3,13) + TIME(7,40,20)</f>
        <v>40615.319675925923</v>
      </c>
      <c r="C886">
        <v>80</v>
      </c>
      <c r="D886">
        <v>64.703582764000004</v>
      </c>
      <c r="E886">
        <v>40</v>
      </c>
      <c r="F886">
        <v>39.974594115999999</v>
      </c>
      <c r="G886">
        <v>1324.3863524999999</v>
      </c>
      <c r="H886">
        <v>1321.5708007999999</v>
      </c>
      <c r="I886">
        <v>1339.496582</v>
      </c>
      <c r="J886">
        <v>1336.6721190999999</v>
      </c>
      <c r="K886">
        <v>0</v>
      </c>
      <c r="L886">
        <v>2750</v>
      </c>
      <c r="M886">
        <v>2750</v>
      </c>
      <c r="N886">
        <v>0</v>
      </c>
    </row>
    <row r="887" spans="1:14" x14ac:dyDescent="0.25">
      <c r="A887">
        <v>319.56007099999999</v>
      </c>
      <c r="B887" s="1">
        <f>DATE(2011,3,16) + TIME(13,26,30)</f>
        <v>40618.560069444444</v>
      </c>
      <c r="C887">
        <v>80</v>
      </c>
      <c r="D887">
        <v>64.306655883999994</v>
      </c>
      <c r="E887">
        <v>40</v>
      </c>
      <c r="F887">
        <v>39.974674225000001</v>
      </c>
      <c r="G887">
        <v>1324.3292236</v>
      </c>
      <c r="H887">
        <v>1321.4935303</v>
      </c>
      <c r="I887">
        <v>1339.4901123</v>
      </c>
      <c r="J887">
        <v>1336.6685791</v>
      </c>
      <c r="K887">
        <v>0</v>
      </c>
      <c r="L887">
        <v>2750</v>
      </c>
      <c r="M887">
        <v>2750</v>
      </c>
      <c r="N887">
        <v>0</v>
      </c>
    </row>
    <row r="888" spans="1:14" x14ac:dyDescent="0.25">
      <c r="A888">
        <v>322.83744999999999</v>
      </c>
      <c r="B888" s="1">
        <f>DATE(2011,3,19) + TIME(20,5,55)</f>
        <v>40621.837442129632</v>
      </c>
      <c r="C888">
        <v>80</v>
      </c>
      <c r="D888">
        <v>63.898059844999999</v>
      </c>
      <c r="E888">
        <v>40</v>
      </c>
      <c r="F888">
        <v>39.974754333</v>
      </c>
      <c r="G888">
        <v>1324.2719727000001</v>
      </c>
      <c r="H888">
        <v>1321.4160156</v>
      </c>
      <c r="I888">
        <v>1339.4835204999999</v>
      </c>
      <c r="J888">
        <v>1336.6649170000001</v>
      </c>
      <c r="K888">
        <v>0</v>
      </c>
      <c r="L888">
        <v>2750</v>
      </c>
      <c r="M888">
        <v>2750</v>
      </c>
      <c r="N888">
        <v>0</v>
      </c>
    </row>
    <row r="889" spans="1:14" x14ac:dyDescent="0.25">
      <c r="A889">
        <v>326.16370499999999</v>
      </c>
      <c r="B889" s="1">
        <f>DATE(2011,3,23) + TIME(3,55,44)</f>
        <v>40625.163703703707</v>
      </c>
      <c r="C889">
        <v>80</v>
      </c>
      <c r="D889">
        <v>63.483928679999998</v>
      </c>
      <c r="E889">
        <v>40</v>
      </c>
      <c r="F889">
        <v>39.974834442000002</v>
      </c>
      <c r="G889">
        <v>1324.2150879000001</v>
      </c>
      <c r="H889">
        <v>1321.3387451000001</v>
      </c>
      <c r="I889">
        <v>1339.4769286999999</v>
      </c>
      <c r="J889">
        <v>1336.6612548999999</v>
      </c>
      <c r="K889">
        <v>0</v>
      </c>
      <c r="L889">
        <v>2750</v>
      </c>
      <c r="M889">
        <v>2750</v>
      </c>
      <c r="N889">
        <v>0</v>
      </c>
    </row>
    <row r="890" spans="1:14" x14ac:dyDescent="0.25">
      <c r="A890">
        <v>329.56815499999999</v>
      </c>
      <c r="B890" s="1">
        <f>DATE(2011,3,26) + TIME(13,38,8)</f>
        <v>40628.568148148152</v>
      </c>
      <c r="C890">
        <v>80</v>
      </c>
      <c r="D890">
        <v>63.060012817</v>
      </c>
      <c r="E890">
        <v>40</v>
      </c>
      <c r="F890">
        <v>39.974918365000001</v>
      </c>
      <c r="G890">
        <v>1324.1585693</v>
      </c>
      <c r="H890">
        <v>1321.2619629000001</v>
      </c>
      <c r="I890">
        <v>1339.4703368999999</v>
      </c>
      <c r="J890">
        <v>1336.6574707</v>
      </c>
      <c r="K890">
        <v>0</v>
      </c>
      <c r="L890">
        <v>2750</v>
      </c>
      <c r="M890">
        <v>2750</v>
      </c>
      <c r="N890">
        <v>0</v>
      </c>
    </row>
    <row r="891" spans="1:14" x14ac:dyDescent="0.25">
      <c r="A891">
        <v>333.03119700000002</v>
      </c>
      <c r="B891" s="1">
        <f>DATE(2011,3,30) + TIME(0,44,55)</f>
        <v>40632.031192129631</v>
      </c>
      <c r="C891">
        <v>80</v>
      </c>
      <c r="D891">
        <v>62.628345490000001</v>
      </c>
      <c r="E891">
        <v>40</v>
      </c>
      <c r="F891">
        <v>39.975002289000003</v>
      </c>
      <c r="G891">
        <v>1324.1021728999999</v>
      </c>
      <c r="H891">
        <v>1321.1851807</v>
      </c>
      <c r="I891">
        <v>1339.4636230000001</v>
      </c>
      <c r="J891">
        <v>1336.6536865</v>
      </c>
      <c r="K891">
        <v>0</v>
      </c>
      <c r="L891">
        <v>2750</v>
      </c>
      <c r="M891">
        <v>2750</v>
      </c>
      <c r="N891">
        <v>0</v>
      </c>
    </row>
    <row r="892" spans="1:14" x14ac:dyDescent="0.25">
      <c r="A892">
        <v>335</v>
      </c>
      <c r="B892" s="1">
        <f>DATE(2011,4,1) + TIME(0,0,0)</f>
        <v>40634</v>
      </c>
      <c r="C892">
        <v>80</v>
      </c>
      <c r="D892">
        <v>62.218887328999998</v>
      </c>
      <c r="E892">
        <v>40</v>
      </c>
      <c r="F892">
        <v>39.975044250000003</v>
      </c>
      <c r="G892">
        <v>1324.0461425999999</v>
      </c>
      <c r="H892">
        <v>1321.1104736</v>
      </c>
      <c r="I892">
        <v>1339.4569091999999</v>
      </c>
      <c r="J892">
        <v>1336.6496582</v>
      </c>
      <c r="K892">
        <v>0</v>
      </c>
      <c r="L892">
        <v>2750</v>
      </c>
      <c r="M892">
        <v>2750</v>
      </c>
      <c r="N892">
        <v>0</v>
      </c>
    </row>
    <row r="893" spans="1:14" x14ac:dyDescent="0.25">
      <c r="A893">
        <v>338.51338500000003</v>
      </c>
      <c r="B893" s="1">
        <f>DATE(2011,4,4) + TIME(12,19,16)</f>
        <v>40637.513379629629</v>
      </c>
      <c r="C893">
        <v>80</v>
      </c>
      <c r="D893">
        <v>61.914501190000003</v>
      </c>
      <c r="E893">
        <v>40</v>
      </c>
      <c r="F893">
        <v>39.975135803000001</v>
      </c>
      <c r="G893">
        <v>1324.0091553</v>
      </c>
      <c r="H893">
        <v>1321.0546875</v>
      </c>
      <c r="I893">
        <v>1339.4532471</v>
      </c>
      <c r="J893">
        <v>1336.6475829999999</v>
      </c>
      <c r="K893">
        <v>0</v>
      </c>
      <c r="L893">
        <v>2750</v>
      </c>
      <c r="M893">
        <v>2750</v>
      </c>
      <c r="N893">
        <v>0</v>
      </c>
    </row>
    <row r="894" spans="1:14" x14ac:dyDescent="0.25">
      <c r="A894">
        <v>342.15655700000002</v>
      </c>
      <c r="B894" s="1">
        <f>DATE(2011,4,8) + TIME(3,45,26)</f>
        <v>40641.156550925924</v>
      </c>
      <c r="C894">
        <v>80</v>
      </c>
      <c r="D894">
        <v>61.474250793000003</v>
      </c>
      <c r="E894">
        <v>40</v>
      </c>
      <c r="F894">
        <v>39.975223540999998</v>
      </c>
      <c r="G894">
        <v>1323.9589844</v>
      </c>
      <c r="H894">
        <v>1320.9888916</v>
      </c>
      <c r="I894">
        <v>1339.4465332</v>
      </c>
      <c r="J894">
        <v>1336.6436768000001</v>
      </c>
      <c r="K894">
        <v>0</v>
      </c>
      <c r="L894">
        <v>2750</v>
      </c>
      <c r="M894">
        <v>2750</v>
      </c>
      <c r="N894">
        <v>0</v>
      </c>
    </row>
    <row r="895" spans="1:14" x14ac:dyDescent="0.25">
      <c r="A895">
        <v>345.84834699999999</v>
      </c>
      <c r="B895" s="1">
        <f>DATE(2011,4,11) + TIME(20,21,37)</f>
        <v>40644.848344907405</v>
      </c>
      <c r="C895">
        <v>80</v>
      </c>
      <c r="D895">
        <v>61.01241684</v>
      </c>
      <c r="E895">
        <v>40</v>
      </c>
      <c r="F895">
        <v>39.975311279000003</v>
      </c>
      <c r="G895">
        <v>1323.9044189000001</v>
      </c>
      <c r="H895">
        <v>1320.9146728999999</v>
      </c>
      <c r="I895">
        <v>1339.4396973</v>
      </c>
      <c r="J895">
        <v>1336.6395264</v>
      </c>
      <c r="K895">
        <v>0</v>
      </c>
      <c r="L895">
        <v>2750</v>
      </c>
      <c r="M895">
        <v>2750</v>
      </c>
      <c r="N895">
        <v>0</v>
      </c>
    </row>
    <row r="896" spans="1:14" x14ac:dyDescent="0.25">
      <c r="A896">
        <v>349.62027899999998</v>
      </c>
      <c r="B896" s="1">
        <f>DATE(2011,4,15) + TIME(14,53,12)</f>
        <v>40648.62027777778</v>
      </c>
      <c r="C896">
        <v>80</v>
      </c>
      <c r="D896">
        <v>60.525249481000003</v>
      </c>
      <c r="E896">
        <v>40</v>
      </c>
      <c r="F896">
        <v>39.975402832</v>
      </c>
      <c r="G896">
        <v>1323.8498535000001</v>
      </c>
      <c r="H896">
        <v>1320.8394774999999</v>
      </c>
      <c r="I896">
        <v>1339.4328613</v>
      </c>
      <c r="J896">
        <v>1336.635376</v>
      </c>
      <c r="K896">
        <v>0</v>
      </c>
      <c r="L896">
        <v>2750</v>
      </c>
      <c r="M896">
        <v>2750</v>
      </c>
      <c r="N896">
        <v>0</v>
      </c>
    </row>
    <row r="897" spans="1:14" x14ac:dyDescent="0.25">
      <c r="A897">
        <v>351.54530799999998</v>
      </c>
      <c r="B897" s="1">
        <f>DATE(2011,4,17) + TIME(13,5,14)</f>
        <v>40650.545300925929</v>
      </c>
      <c r="C897">
        <v>80</v>
      </c>
      <c r="D897">
        <v>60.100467682000001</v>
      </c>
      <c r="E897">
        <v>40</v>
      </c>
      <c r="F897">
        <v>39.975440978999998</v>
      </c>
      <c r="G897">
        <v>1323.7949219</v>
      </c>
      <c r="H897">
        <v>1320.7659911999999</v>
      </c>
      <c r="I897">
        <v>1339.4259033000001</v>
      </c>
      <c r="J897">
        <v>1336.6311035000001</v>
      </c>
      <c r="K897">
        <v>0</v>
      </c>
      <c r="L897">
        <v>2750</v>
      </c>
      <c r="M897">
        <v>2750</v>
      </c>
      <c r="N897">
        <v>0</v>
      </c>
    </row>
    <row r="898" spans="1:14" x14ac:dyDescent="0.25">
      <c r="A898">
        <v>353.27342499999997</v>
      </c>
      <c r="B898" s="1">
        <f>DATE(2011,4,19) + TIME(6,33,43)</f>
        <v>40652.273414351854</v>
      </c>
      <c r="C898">
        <v>80</v>
      </c>
      <c r="D898">
        <v>59.801715850999997</v>
      </c>
      <c r="E898">
        <v>40</v>
      </c>
      <c r="F898">
        <v>39.975479126000003</v>
      </c>
      <c r="G898">
        <v>1323.7620850000001</v>
      </c>
      <c r="H898">
        <v>1320.7164307</v>
      </c>
      <c r="I898">
        <v>1339.4223632999999</v>
      </c>
      <c r="J898">
        <v>1336.6289062000001</v>
      </c>
      <c r="K898">
        <v>0</v>
      </c>
      <c r="L898">
        <v>2750</v>
      </c>
      <c r="M898">
        <v>2750</v>
      </c>
      <c r="N898">
        <v>0</v>
      </c>
    </row>
    <row r="899" spans="1:14" x14ac:dyDescent="0.25">
      <c r="A899">
        <v>355.00154199999997</v>
      </c>
      <c r="B899" s="1">
        <f>DATE(2011,4,21) + TIME(0,2,13)</f>
        <v>40654.001539351855</v>
      </c>
      <c r="C899">
        <v>80</v>
      </c>
      <c r="D899">
        <v>59.569503783999998</v>
      </c>
      <c r="E899">
        <v>40</v>
      </c>
      <c r="F899">
        <v>39.975521088000001</v>
      </c>
      <c r="G899">
        <v>1323.7363281</v>
      </c>
      <c r="H899">
        <v>1320.6793213000001</v>
      </c>
      <c r="I899">
        <v>1339.4193115</v>
      </c>
      <c r="J899">
        <v>1336.6269531</v>
      </c>
      <c r="K899">
        <v>0</v>
      </c>
      <c r="L899">
        <v>2750</v>
      </c>
      <c r="M899">
        <v>2750</v>
      </c>
      <c r="N899">
        <v>0</v>
      </c>
    </row>
    <row r="900" spans="1:14" x14ac:dyDescent="0.25">
      <c r="A900">
        <v>356.72965799999997</v>
      </c>
      <c r="B900" s="1">
        <f>DATE(2011,4,22) + TIME(17,30,42)</f>
        <v>40655.72965277778</v>
      </c>
      <c r="C900">
        <v>80</v>
      </c>
      <c r="D900">
        <v>59.336791992000002</v>
      </c>
      <c r="E900">
        <v>40</v>
      </c>
      <c r="F900">
        <v>39.975559234999999</v>
      </c>
      <c r="G900">
        <v>1323.7121582</v>
      </c>
      <c r="H900">
        <v>1320.6456298999999</v>
      </c>
      <c r="I900">
        <v>1339.4161377</v>
      </c>
      <c r="J900">
        <v>1336.625</v>
      </c>
      <c r="K900">
        <v>0</v>
      </c>
      <c r="L900">
        <v>2750</v>
      </c>
      <c r="M900">
        <v>2750</v>
      </c>
      <c r="N900">
        <v>0</v>
      </c>
    </row>
    <row r="901" spans="1:14" x14ac:dyDescent="0.25">
      <c r="A901">
        <v>358.45777500000003</v>
      </c>
      <c r="B901" s="1">
        <f>DATE(2011,4,24) + TIME(10,59,11)</f>
        <v>40657.457766203705</v>
      </c>
      <c r="C901">
        <v>80</v>
      </c>
      <c r="D901">
        <v>59.109653473000002</v>
      </c>
      <c r="E901">
        <v>40</v>
      </c>
      <c r="F901">
        <v>39.975601196</v>
      </c>
      <c r="G901">
        <v>1323.6887207</v>
      </c>
      <c r="H901">
        <v>1320.6129149999999</v>
      </c>
      <c r="I901">
        <v>1339.4130858999999</v>
      </c>
      <c r="J901">
        <v>1336.6230469</v>
      </c>
      <c r="K901">
        <v>0</v>
      </c>
      <c r="L901">
        <v>2750</v>
      </c>
      <c r="M901">
        <v>2750</v>
      </c>
      <c r="N901">
        <v>0</v>
      </c>
    </row>
    <row r="902" spans="1:14" x14ac:dyDescent="0.25">
      <c r="A902">
        <v>360.18589200000002</v>
      </c>
      <c r="B902" s="1">
        <f>DATE(2011,4,26) + TIME(4,27,41)</f>
        <v>40659.185891203706</v>
      </c>
      <c r="C902">
        <v>80</v>
      </c>
      <c r="D902">
        <v>58.881156920999999</v>
      </c>
      <c r="E902">
        <v>40</v>
      </c>
      <c r="F902">
        <v>39.975643157999997</v>
      </c>
      <c r="G902">
        <v>1323.6656493999999</v>
      </c>
      <c r="H902">
        <v>1320.5809326000001</v>
      </c>
      <c r="I902">
        <v>1339.4100341999999</v>
      </c>
      <c r="J902">
        <v>1336.6210937999999</v>
      </c>
      <c r="K902">
        <v>0</v>
      </c>
      <c r="L902">
        <v>2750</v>
      </c>
      <c r="M902">
        <v>2750</v>
      </c>
      <c r="N902">
        <v>0</v>
      </c>
    </row>
    <row r="903" spans="1:14" x14ac:dyDescent="0.25">
      <c r="A903">
        <v>361.91400900000002</v>
      </c>
      <c r="B903" s="1">
        <f>DATE(2011,4,27) + TIME(21,56,10)</f>
        <v>40660.914004629631</v>
      </c>
      <c r="C903">
        <v>80</v>
      </c>
      <c r="D903">
        <v>58.653259276999997</v>
      </c>
      <c r="E903">
        <v>40</v>
      </c>
      <c r="F903">
        <v>39.975685120000001</v>
      </c>
      <c r="G903">
        <v>1323.6429443</v>
      </c>
      <c r="H903">
        <v>1320.5493164</v>
      </c>
      <c r="I903">
        <v>1339.4068603999999</v>
      </c>
      <c r="J903">
        <v>1336.6191406</v>
      </c>
      <c r="K903">
        <v>0</v>
      </c>
      <c r="L903">
        <v>2750</v>
      </c>
      <c r="M903">
        <v>2750</v>
      </c>
      <c r="N903">
        <v>0</v>
      </c>
    </row>
    <row r="904" spans="1:14" x14ac:dyDescent="0.25">
      <c r="A904">
        <v>363.45700399999998</v>
      </c>
      <c r="B904" s="1">
        <f>DATE(2011,4,29) + TIME(10,58,5)</f>
        <v>40662.457002314812</v>
      </c>
      <c r="C904">
        <v>80</v>
      </c>
      <c r="D904">
        <v>58.430503844999997</v>
      </c>
      <c r="E904">
        <v>40</v>
      </c>
      <c r="F904">
        <v>39.975719452</v>
      </c>
      <c r="G904">
        <v>1323.6206055</v>
      </c>
      <c r="H904">
        <v>1320.5184326000001</v>
      </c>
      <c r="I904">
        <v>1339.4038086</v>
      </c>
      <c r="J904">
        <v>1336.6171875</v>
      </c>
      <c r="K904">
        <v>0</v>
      </c>
      <c r="L904">
        <v>2750</v>
      </c>
      <c r="M904">
        <v>2750</v>
      </c>
      <c r="N904">
        <v>0</v>
      </c>
    </row>
    <row r="905" spans="1:14" x14ac:dyDescent="0.25">
      <c r="A905">
        <v>365</v>
      </c>
      <c r="B905" s="1">
        <f>DATE(2011,5,1) + TIME(0,0,0)</f>
        <v>40664</v>
      </c>
      <c r="C905">
        <v>80</v>
      </c>
      <c r="D905">
        <v>58.222351074000002</v>
      </c>
      <c r="E905">
        <v>40</v>
      </c>
      <c r="F905">
        <v>39.975757598999998</v>
      </c>
      <c r="G905">
        <v>1323.6008300999999</v>
      </c>
      <c r="H905">
        <v>1320.4909668</v>
      </c>
      <c r="I905">
        <v>1339.4011230000001</v>
      </c>
      <c r="J905">
        <v>1336.6153564000001</v>
      </c>
      <c r="K905">
        <v>0</v>
      </c>
      <c r="L905">
        <v>2750</v>
      </c>
      <c r="M905">
        <v>2750</v>
      </c>
      <c r="N905">
        <v>0</v>
      </c>
    </row>
    <row r="906" spans="1:14" x14ac:dyDescent="0.25">
      <c r="A906">
        <v>365.000001</v>
      </c>
      <c r="B906" s="1">
        <f>DATE(2011,5,1) + TIME(0,0,0)</f>
        <v>40664</v>
      </c>
      <c r="C906">
        <v>80</v>
      </c>
      <c r="D906">
        <v>58.222549438000001</v>
      </c>
      <c r="E906">
        <v>40</v>
      </c>
      <c r="F906">
        <v>39.975662231000001</v>
      </c>
      <c r="G906">
        <v>1327.7474365</v>
      </c>
      <c r="H906">
        <v>1324.7502440999999</v>
      </c>
      <c r="I906">
        <v>1335.8365478999999</v>
      </c>
      <c r="J906">
        <v>1333.401001</v>
      </c>
      <c r="K906">
        <v>2750</v>
      </c>
      <c r="L906">
        <v>0</v>
      </c>
      <c r="M906">
        <v>0</v>
      </c>
      <c r="N906">
        <v>2750</v>
      </c>
    </row>
    <row r="907" spans="1:14" x14ac:dyDescent="0.25">
      <c r="A907">
        <v>365.00000399999999</v>
      </c>
      <c r="B907" s="1">
        <f>DATE(2011,5,1) + TIME(0,0,0)</f>
        <v>40664</v>
      </c>
      <c r="C907">
        <v>80</v>
      </c>
      <c r="D907">
        <v>58.222892760999997</v>
      </c>
      <c r="E907">
        <v>40</v>
      </c>
      <c r="F907">
        <v>39.975505828999999</v>
      </c>
      <c r="G907">
        <v>1329.2169189000001</v>
      </c>
      <c r="H907">
        <v>1326.3937988</v>
      </c>
      <c r="I907">
        <v>1334.5406493999999</v>
      </c>
      <c r="J907">
        <v>1332.1054687999999</v>
      </c>
      <c r="K907">
        <v>2750</v>
      </c>
      <c r="L907">
        <v>0</v>
      </c>
      <c r="M907">
        <v>0</v>
      </c>
      <c r="N907">
        <v>2750</v>
      </c>
    </row>
    <row r="908" spans="1:14" x14ac:dyDescent="0.25">
      <c r="A908">
        <v>365.00001300000002</v>
      </c>
      <c r="B908" s="1">
        <f>DATE(2011,5,1) + TIME(0,0,1)</f>
        <v>40664.000011574077</v>
      </c>
      <c r="C908">
        <v>80</v>
      </c>
      <c r="D908">
        <v>58.223529816000003</v>
      </c>
      <c r="E908">
        <v>40</v>
      </c>
      <c r="F908">
        <v>39.975322722999998</v>
      </c>
      <c r="G908">
        <v>1331.0559082</v>
      </c>
      <c r="H908">
        <v>1328.2052002</v>
      </c>
      <c r="I908">
        <v>1332.9932861</v>
      </c>
      <c r="J908">
        <v>1330.5588379000001</v>
      </c>
      <c r="K908">
        <v>2750</v>
      </c>
      <c r="L908">
        <v>0</v>
      </c>
      <c r="M908">
        <v>0</v>
      </c>
      <c r="N908">
        <v>2750</v>
      </c>
    </row>
    <row r="909" spans="1:14" x14ac:dyDescent="0.25">
      <c r="A909">
        <v>365.00004000000001</v>
      </c>
      <c r="B909" s="1">
        <f>DATE(2011,5,1) + TIME(0,0,3)</f>
        <v>40664.000034722223</v>
      </c>
      <c r="C909">
        <v>80</v>
      </c>
      <c r="D909">
        <v>58.225002289000003</v>
      </c>
      <c r="E909">
        <v>40</v>
      </c>
      <c r="F909">
        <v>39.975131988999998</v>
      </c>
      <c r="G909">
        <v>1332.9475098</v>
      </c>
      <c r="H909">
        <v>1330.0109863</v>
      </c>
      <c r="I909">
        <v>1331.4501952999999</v>
      </c>
      <c r="J909">
        <v>1329.0170897999999</v>
      </c>
      <c r="K909">
        <v>2750</v>
      </c>
      <c r="L909">
        <v>0</v>
      </c>
      <c r="M909">
        <v>0</v>
      </c>
      <c r="N909">
        <v>2750</v>
      </c>
    </row>
    <row r="910" spans="1:14" x14ac:dyDescent="0.25">
      <c r="A910">
        <v>365.00012099999998</v>
      </c>
      <c r="B910" s="1">
        <f>DATE(2011,5,1) + TIME(0,0,10)</f>
        <v>40664.000115740739</v>
      </c>
      <c r="C910">
        <v>80</v>
      </c>
      <c r="D910">
        <v>58.229042053000001</v>
      </c>
      <c r="E910">
        <v>40</v>
      </c>
      <c r="F910">
        <v>39.974941254000001</v>
      </c>
      <c r="G910">
        <v>1334.8082274999999</v>
      </c>
      <c r="H910">
        <v>1331.7899170000001</v>
      </c>
      <c r="I910">
        <v>1329.9382324000001</v>
      </c>
      <c r="J910">
        <v>1327.5053711</v>
      </c>
      <c r="K910">
        <v>2750</v>
      </c>
      <c r="L910">
        <v>0</v>
      </c>
      <c r="M910">
        <v>0</v>
      </c>
      <c r="N910">
        <v>2750</v>
      </c>
    </row>
    <row r="911" spans="1:14" x14ac:dyDescent="0.25">
      <c r="A911">
        <v>365.00036399999999</v>
      </c>
      <c r="B911" s="1">
        <f>DATE(2011,5,1) + TIME(0,0,31)</f>
        <v>40664.000358796293</v>
      </c>
      <c r="C911">
        <v>80</v>
      </c>
      <c r="D911">
        <v>58.240989685000002</v>
      </c>
      <c r="E911">
        <v>40</v>
      </c>
      <c r="F911">
        <v>39.974727631</v>
      </c>
      <c r="G911">
        <v>1336.6508789</v>
      </c>
      <c r="H911">
        <v>1333.5539550999999</v>
      </c>
      <c r="I911">
        <v>1328.4195557</v>
      </c>
      <c r="J911">
        <v>1325.9781493999999</v>
      </c>
      <c r="K911">
        <v>2750</v>
      </c>
      <c r="L911">
        <v>0</v>
      </c>
      <c r="M911">
        <v>0</v>
      </c>
      <c r="N911">
        <v>2750</v>
      </c>
    </row>
    <row r="912" spans="1:14" x14ac:dyDescent="0.25">
      <c r="A912">
        <v>365.00109300000003</v>
      </c>
      <c r="B912" s="1">
        <f>DATE(2011,5,1) + TIME(0,1,34)</f>
        <v>40664.001087962963</v>
      </c>
      <c r="C912">
        <v>80</v>
      </c>
      <c r="D912">
        <v>58.277103424000003</v>
      </c>
      <c r="E912">
        <v>40</v>
      </c>
      <c r="F912">
        <v>39.974456787000001</v>
      </c>
      <c r="G912">
        <v>1338.3786620999999</v>
      </c>
      <c r="H912">
        <v>1335.2124022999999</v>
      </c>
      <c r="I912">
        <v>1326.9086914</v>
      </c>
      <c r="J912">
        <v>1324.4466553</v>
      </c>
      <c r="K912">
        <v>2750</v>
      </c>
      <c r="L912">
        <v>0</v>
      </c>
      <c r="M912">
        <v>0</v>
      </c>
      <c r="N912">
        <v>2750</v>
      </c>
    </row>
    <row r="913" spans="1:14" x14ac:dyDescent="0.25">
      <c r="A913">
        <v>365.00328000000002</v>
      </c>
      <c r="B913" s="1">
        <f>DATE(2011,5,1) + TIME(0,4,43)</f>
        <v>40664.003275462965</v>
      </c>
      <c r="C913">
        <v>80</v>
      </c>
      <c r="D913">
        <v>58.385974883999999</v>
      </c>
      <c r="E913">
        <v>40</v>
      </c>
      <c r="F913">
        <v>39.974025726000001</v>
      </c>
      <c r="G913">
        <v>1339.7061768000001</v>
      </c>
      <c r="H913">
        <v>1336.4992675999999</v>
      </c>
      <c r="I913">
        <v>1325.6373291</v>
      </c>
      <c r="J913">
        <v>1323.1582031</v>
      </c>
      <c r="K913">
        <v>2750</v>
      </c>
      <c r="L913">
        <v>0</v>
      </c>
      <c r="M913">
        <v>0</v>
      </c>
      <c r="N913">
        <v>2750</v>
      </c>
    </row>
    <row r="914" spans="1:14" x14ac:dyDescent="0.25">
      <c r="A914">
        <v>365.00984099999999</v>
      </c>
      <c r="B914" s="1">
        <f>DATE(2011,5,1) + TIME(0,14,10)</f>
        <v>40664.009837962964</v>
      </c>
      <c r="C914">
        <v>80</v>
      </c>
      <c r="D914">
        <v>58.708751677999999</v>
      </c>
      <c r="E914">
        <v>40</v>
      </c>
      <c r="F914">
        <v>39.973106383999998</v>
      </c>
      <c r="G914">
        <v>1340.4117432</v>
      </c>
      <c r="H914">
        <v>1337.2058105000001</v>
      </c>
      <c r="I914">
        <v>1324.9350586</v>
      </c>
      <c r="J914">
        <v>1322.4489745999999</v>
      </c>
      <c r="K914">
        <v>2750</v>
      </c>
      <c r="L914">
        <v>0</v>
      </c>
      <c r="M914">
        <v>0</v>
      </c>
      <c r="N914">
        <v>2750</v>
      </c>
    </row>
    <row r="915" spans="1:14" x14ac:dyDescent="0.25">
      <c r="A915">
        <v>365.02493099999998</v>
      </c>
      <c r="B915" s="1">
        <f>DATE(2011,5,1) + TIME(0,35,54)</f>
        <v>40664.024930555555</v>
      </c>
      <c r="C915">
        <v>80</v>
      </c>
      <c r="D915">
        <v>59.425640106000003</v>
      </c>
      <c r="E915">
        <v>40</v>
      </c>
      <c r="F915">
        <v>39.971195221000002</v>
      </c>
      <c r="G915">
        <v>1340.5778809000001</v>
      </c>
      <c r="H915">
        <v>1337.4077147999999</v>
      </c>
      <c r="I915">
        <v>1324.7608643000001</v>
      </c>
      <c r="J915">
        <v>1322.2730713000001</v>
      </c>
      <c r="K915">
        <v>2750</v>
      </c>
      <c r="L915">
        <v>0</v>
      </c>
      <c r="M915">
        <v>0</v>
      </c>
      <c r="N915">
        <v>2750</v>
      </c>
    </row>
    <row r="916" spans="1:14" x14ac:dyDescent="0.25">
      <c r="A916">
        <v>365.04028899999997</v>
      </c>
      <c r="B916" s="1">
        <f>DATE(2011,5,1) + TIME(0,58,0)</f>
        <v>40664.040277777778</v>
      </c>
      <c r="C916">
        <v>80</v>
      </c>
      <c r="D916">
        <v>60.132236481</v>
      </c>
      <c r="E916">
        <v>40</v>
      </c>
      <c r="F916">
        <v>39.969284058</v>
      </c>
      <c r="G916">
        <v>1340.5880127</v>
      </c>
      <c r="H916">
        <v>1337.4421387</v>
      </c>
      <c r="I916">
        <v>1324.7446289</v>
      </c>
      <c r="J916">
        <v>1322.2565918</v>
      </c>
      <c r="K916">
        <v>2750</v>
      </c>
      <c r="L916">
        <v>0</v>
      </c>
      <c r="M916">
        <v>0</v>
      </c>
      <c r="N916">
        <v>2750</v>
      </c>
    </row>
    <row r="917" spans="1:14" x14ac:dyDescent="0.25">
      <c r="A917">
        <v>365.055925</v>
      </c>
      <c r="B917" s="1">
        <f>DATE(2011,5,1) + TIME(1,20,31)</f>
        <v>40664.055914351855</v>
      </c>
      <c r="C917">
        <v>80</v>
      </c>
      <c r="D917">
        <v>60.828262328999998</v>
      </c>
      <c r="E917">
        <v>40</v>
      </c>
      <c r="F917">
        <v>39.967350005999997</v>
      </c>
      <c r="G917">
        <v>1340.5701904</v>
      </c>
      <c r="H917">
        <v>1337.4471435999999</v>
      </c>
      <c r="I917">
        <v>1324.7446289</v>
      </c>
      <c r="J917">
        <v>1322.2565918</v>
      </c>
      <c r="K917">
        <v>2750</v>
      </c>
      <c r="L917">
        <v>0</v>
      </c>
      <c r="M917">
        <v>0</v>
      </c>
      <c r="N917">
        <v>2750</v>
      </c>
    </row>
    <row r="918" spans="1:14" x14ac:dyDescent="0.25">
      <c r="A918">
        <v>365.07185099999998</v>
      </c>
      <c r="B918" s="1">
        <f>DATE(2011,5,1) + TIME(1,43,27)</f>
        <v>40664.071840277778</v>
      </c>
      <c r="C918">
        <v>80</v>
      </c>
      <c r="D918">
        <v>61.514179230000003</v>
      </c>
      <c r="E918">
        <v>40</v>
      </c>
      <c r="F918">
        <v>39.965393065999997</v>
      </c>
      <c r="G918">
        <v>1340.5496826000001</v>
      </c>
      <c r="H918">
        <v>1337.4479980000001</v>
      </c>
      <c r="I918">
        <v>1324.7454834</v>
      </c>
      <c r="J918">
        <v>1322.2573242000001</v>
      </c>
      <c r="K918">
        <v>2750</v>
      </c>
      <c r="L918">
        <v>0</v>
      </c>
      <c r="M918">
        <v>0</v>
      </c>
      <c r="N918">
        <v>2750</v>
      </c>
    </row>
    <row r="919" spans="1:14" x14ac:dyDescent="0.25">
      <c r="A919">
        <v>365.08808099999999</v>
      </c>
      <c r="B919" s="1">
        <f>DATE(2011,5,1) + TIME(2,6,50)</f>
        <v>40664.088078703702</v>
      </c>
      <c r="C919">
        <v>80</v>
      </c>
      <c r="D919">
        <v>62.190032959</v>
      </c>
      <c r="E919">
        <v>40</v>
      </c>
      <c r="F919">
        <v>39.963413238999998</v>
      </c>
      <c r="G919">
        <v>1340.5310059000001</v>
      </c>
      <c r="H919">
        <v>1337.4489745999999</v>
      </c>
      <c r="I919">
        <v>1324.7459716999999</v>
      </c>
      <c r="J919">
        <v>1322.2578125</v>
      </c>
      <c r="K919">
        <v>2750</v>
      </c>
      <c r="L919">
        <v>0</v>
      </c>
      <c r="M919">
        <v>0</v>
      </c>
      <c r="N919">
        <v>2750</v>
      </c>
    </row>
    <row r="920" spans="1:14" x14ac:dyDescent="0.25">
      <c r="A920">
        <v>365.104626</v>
      </c>
      <c r="B920" s="1">
        <f>DATE(2011,5,1) + TIME(2,30,39)</f>
        <v>40664.104618055557</v>
      </c>
      <c r="C920">
        <v>80</v>
      </c>
      <c r="D920">
        <v>62.855842590000002</v>
      </c>
      <c r="E920">
        <v>40</v>
      </c>
      <c r="F920">
        <v>39.961410522000001</v>
      </c>
      <c r="G920">
        <v>1340.5152588000001</v>
      </c>
      <c r="H920">
        <v>1337.4512939000001</v>
      </c>
      <c r="I920">
        <v>1324.7462158000001</v>
      </c>
      <c r="J920">
        <v>1322.2579346</v>
      </c>
      <c r="K920">
        <v>2750</v>
      </c>
      <c r="L920">
        <v>0</v>
      </c>
      <c r="M920">
        <v>0</v>
      </c>
      <c r="N920">
        <v>2750</v>
      </c>
    </row>
    <row r="921" spans="1:14" x14ac:dyDescent="0.25">
      <c r="A921">
        <v>365.12150000000003</v>
      </c>
      <c r="B921" s="1">
        <f>DATE(2011,5,1) + TIME(2,54,57)</f>
        <v>40664.121493055558</v>
      </c>
      <c r="C921">
        <v>80</v>
      </c>
      <c r="D921">
        <v>63.511611938000001</v>
      </c>
      <c r="E921">
        <v>40</v>
      </c>
      <c r="F921">
        <v>39.959377289000003</v>
      </c>
      <c r="G921">
        <v>1340.5024414</v>
      </c>
      <c r="H921">
        <v>1337.4552002</v>
      </c>
      <c r="I921">
        <v>1324.7464600000001</v>
      </c>
      <c r="J921">
        <v>1322.2581786999999</v>
      </c>
      <c r="K921">
        <v>2750</v>
      </c>
      <c r="L921">
        <v>0</v>
      </c>
      <c r="M921">
        <v>0</v>
      </c>
      <c r="N921">
        <v>2750</v>
      </c>
    </row>
    <row r="922" spans="1:14" x14ac:dyDescent="0.25">
      <c r="A922">
        <v>365.13871799999998</v>
      </c>
      <c r="B922" s="1">
        <f>DATE(2011,5,1) + TIME(3,19,45)</f>
        <v>40664.138715277775</v>
      </c>
      <c r="C922">
        <v>80</v>
      </c>
      <c r="D922">
        <v>64.157310486</v>
      </c>
      <c r="E922">
        <v>40</v>
      </c>
      <c r="F922">
        <v>39.957317351999997</v>
      </c>
      <c r="G922">
        <v>1340.4926757999999</v>
      </c>
      <c r="H922">
        <v>1337.4604492000001</v>
      </c>
      <c r="I922">
        <v>1324.746582</v>
      </c>
      <c r="J922">
        <v>1322.2581786999999</v>
      </c>
      <c r="K922">
        <v>2750</v>
      </c>
      <c r="L922">
        <v>0</v>
      </c>
      <c r="M922">
        <v>0</v>
      </c>
      <c r="N922">
        <v>2750</v>
      </c>
    </row>
    <row r="923" spans="1:14" x14ac:dyDescent="0.25">
      <c r="A923">
        <v>365.156295</v>
      </c>
      <c r="B923" s="1">
        <f>DATE(2011,5,1) + TIME(3,45,3)</f>
        <v>40664.156284722223</v>
      </c>
      <c r="C923">
        <v>80</v>
      </c>
      <c r="D923">
        <v>64.792907714999998</v>
      </c>
      <c r="E923">
        <v>40</v>
      </c>
      <c r="F923">
        <v>39.955230712999999</v>
      </c>
      <c r="G923">
        <v>1340.4855957</v>
      </c>
      <c r="H923">
        <v>1337.4672852000001</v>
      </c>
      <c r="I923">
        <v>1324.7468262</v>
      </c>
      <c r="J923">
        <v>1322.2583007999999</v>
      </c>
      <c r="K923">
        <v>2750</v>
      </c>
      <c r="L923">
        <v>0</v>
      </c>
      <c r="M923">
        <v>0</v>
      </c>
      <c r="N923">
        <v>2750</v>
      </c>
    </row>
    <row r="924" spans="1:14" x14ac:dyDescent="0.25">
      <c r="A924">
        <v>365.17424599999998</v>
      </c>
      <c r="B924" s="1">
        <f>DATE(2011,5,1) + TIME(4,10,54)</f>
        <v>40664.17423611111</v>
      </c>
      <c r="C924">
        <v>80</v>
      </c>
      <c r="D924">
        <v>65.418411254999995</v>
      </c>
      <c r="E924">
        <v>40</v>
      </c>
      <c r="F924">
        <v>39.953113555999998</v>
      </c>
      <c r="G924">
        <v>1340.4813231999999</v>
      </c>
      <c r="H924">
        <v>1337.4754639</v>
      </c>
      <c r="I924">
        <v>1324.7469481999999</v>
      </c>
      <c r="J924">
        <v>1322.2584228999999</v>
      </c>
      <c r="K924">
        <v>2750</v>
      </c>
      <c r="L924">
        <v>0</v>
      </c>
      <c r="M924">
        <v>0</v>
      </c>
      <c r="N924">
        <v>2750</v>
      </c>
    </row>
    <row r="925" spans="1:14" x14ac:dyDescent="0.25">
      <c r="A925">
        <v>365.192588</v>
      </c>
      <c r="B925" s="1">
        <f>DATE(2011,5,1) + TIME(4,37,19)</f>
        <v>40664.19258101852</v>
      </c>
      <c r="C925">
        <v>80</v>
      </c>
      <c r="D925">
        <v>66.033584594999994</v>
      </c>
      <c r="E925">
        <v>40</v>
      </c>
      <c r="F925">
        <v>39.950962066999999</v>
      </c>
      <c r="G925">
        <v>1340.4796143000001</v>
      </c>
      <c r="H925">
        <v>1337.4849853999999</v>
      </c>
      <c r="I925">
        <v>1324.7470702999999</v>
      </c>
      <c r="J925">
        <v>1322.2584228999999</v>
      </c>
      <c r="K925">
        <v>2750</v>
      </c>
      <c r="L925">
        <v>0</v>
      </c>
      <c r="M925">
        <v>0</v>
      </c>
      <c r="N925">
        <v>2750</v>
      </c>
    </row>
    <row r="926" spans="1:14" x14ac:dyDescent="0.25">
      <c r="A926">
        <v>365.21134000000001</v>
      </c>
      <c r="B926" s="1">
        <f>DATE(2011,5,1) + TIME(5,4,19)</f>
        <v>40664.211331018516</v>
      </c>
      <c r="C926">
        <v>80</v>
      </c>
      <c r="D926">
        <v>66.638397217000005</v>
      </c>
      <c r="E926">
        <v>40</v>
      </c>
      <c r="F926">
        <v>39.948783874999997</v>
      </c>
      <c r="G926">
        <v>1340.4804687999999</v>
      </c>
      <c r="H926">
        <v>1337.4958495999999</v>
      </c>
      <c r="I926">
        <v>1324.7471923999999</v>
      </c>
      <c r="J926">
        <v>1322.2585449000001</v>
      </c>
      <c r="K926">
        <v>2750</v>
      </c>
      <c r="L926">
        <v>0</v>
      </c>
      <c r="M926">
        <v>0</v>
      </c>
      <c r="N926">
        <v>2750</v>
      </c>
    </row>
    <row r="927" spans="1:14" x14ac:dyDescent="0.25">
      <c r="A927">
        <v>365.230524</v>
      </c>
      <c r="B927" s="1">
        <f>DATE(2011,5,1) + TIME(5,31,57)</f>
        <v>40664.230520833335</v>
      </c>
      <c r="C927">
        <v>80</v>
      </c>
      <c r="D927">
        <v>67.232727050999998</v>
      </c>
      <c r="E927">
        <v>40</v>
      </c>
      <c r="F927">
        <v>39.946567535</v>
      </c>
      <c r="G927">
        <v>1340.4837646000001</v>
      </c>
      <c r="H927">
        <v>1337.5079346</v>
      </c>
      <c r="I927">
        <v>1324.7473144999999</v>
      </c>
      <c r="J927">
        <v>1322.2585449000001</v>
      </c>
      <c r="K927">
        <v>2750</v>
      </c>
      <c r="L927">
        <v>0</v>
      </c>
      <c r="M927">
        <v>0</v>
      </c>
      <c r="N927">
        <v>2750</v>
      </c>
    </row>
    <row r="928" spans="1:14" x14ac:dyDescent="0.25">
      <c r="A928">
        <v>365.25016099999999</v>
      </c>
      <c r="B928" s="1">
        <f>DATE(2011,5,1) + TIME(6,0,13)</f>
        <v>40664.250150462962</v>
      </c>
      <c r="C928">
        <v>80</v>
      </c>
      <c r="D928">
        <v>67.816444396999998</v>
      </c>
      <c r="E928">
        <v>40</v>
      </c>
      <c r="F928">
        <v>39.944313049000002</v>
      </c>
      <c r="G928">
        <v>1340.4893798999999</v>
      </c>
      <c r="H928">
        <v>1337.5213623</v>
      </c>
      <c r="I928">
        <v>1324.7474365</v>
      </c>
      <c r="J928">
        <v>1322.2585449000001</v>
      </c>
      <c r="K928">
        <v>2750</v>
      </c>
      <c r="L928">
        <v>0</v>
      </c>
      <c r="M928">
        <v>0</v>
      </c>
      <c r="N928">
        <v>2750</v>
      </c>
    </row>
    <row r="929" spans="1:14" x14ac:dyDescent="0.25">
      <c r="A929">
        <v>365.27022599999998</v>
      </c>
      <c r="B929" s="1">
        <f>DATE(2011,5,1) + TIME(6,29,7)</f>
        <v>40664.270219907405</v>
      </c>
      <c r="C929">
        <v>80</v>
      </c>
      <c r="D929">
        <v>68.388099670000003</v>
      </c>
      <c r="E929">
        <v>40</v>
      </c>
      <c r="F929">
        <v>39.942028045999997</v>
      </c>
      <c r="G929">
        <v>1340.4974365</v>
      </c>
      <c r="H929">
        <v>1337.5358887</v>
      </c>
      <c r="I929">
        <v>1324.7474365</v>
      </c>
      <c r="J929">
        <v>1322.2585449000001</v>
      </c>
      <c r="K929">
        <v>2750</v>
      </c>
      <c r="L929">
        <v>0</v>
      </c>
      <c r="M929">
        <v>0</v>
      </c>
      <c r="N929">
        <v>2750</v>
      </c>
    </row>
    <row r="930" spans="1:14" x14ac:dyDescent="0.25">
      <c r="A930">
        <v>365.290729</v>
      </c>
      <c r="B930" s="1">
        <f>DATE(2011,5,1) + TIME(6,58,38)</f>
        <v>40664.290717592594</v>
      </c>
      <c r="C930">
        <v>80</v>
      </c>
      <c r="D930">
        <v>68.947257996000005</v>
      </c>
      <c r="E930">
        <v>40</v>
      </c>
      <c r="F930">
        <v>39.939712524000001</v>
      </c>
      <c r="G930">
        <v>1340.5076904</v>
      </c>
      <c r="H930">
        <v>1337.5516356999999</v>
      </c>
      <c r="I930">
        <v>1324.7475586</v>
      </c>
      <c r="J930">
        <v>1322.2585449000001</v>
      </c>
      <c r="K930">
        <v>2750</v>
      </c>
      <c r="L930">
        <v>0</v>
      </c>
      <c r="M930">
        <v>0</v>
      </c>
      <c r="N930">
        <v>2750</v>
      </c>
    </row>
    <row r="931" spans="1:14" x14ac:dyDescent="0.25">
      <c r="A931">
        <v>365.311689</v>
      </c>
      <c r="B931" s="1">
        <f>DATE(2011,5,1) + TIME(7,28,49)</f>
        <v>40664.311678240738</v>
      </c>
      <c r="C931">
        <v>80</v>
      </c>
      <c r="D931">
        <v>69.493789672999995</v>
      </c>
      <c r="E931">
        <v>40</v>
      </c>
      <c r="F931">
        <v>39.937358856000003</v>
      </c>
      <c r="G931">
        <v>1340.5198975000001</v>
      </c>
      <c r="H931">
        <v>1337.5683594</v>
      </c>
      <c r="I931">
        <v>1324.7475586</v>
      </c>
      <c r="J931">
        <v>1322.2585449000001</v>
      </c>
      <c r="K931">
        <v>2750</v>
      </c>
      <c r="L931">
        <v>0</v>
      </c>
      <c r="M931">
        <v>0</v>
      </c>
      <c r="N931">
        <v>2750</v>
      </c>
    </row>
    <row r="932" spans="1:14" x14ac:dyDescent="0.25">
      <c r="A932">
        <v>365.33312799999999</v>
      </c>
      <c r="B932" s="1">
        <f>DATE(2011,5,1) + TIME(7,59,42)</f>
        <v>40664.333124999997</v>
      </c>
      <c r="C932">
        <v>80</v>
      </c>
      <c r="D932">
        <v>70.027519225999995</v>
      </c>
      <c r="E932">
        <v>40</v>
      </c>
      <c r="F932">
        <v>39.934967041</v>
      </c>
      <c r="G932">
        <v>1340.5340576000001</v>
      </c>
      <c r="H932">
        <v>1337.5860596</v>
      </c>
      <c r="I932">
        <v>1324.7476807</v>
      </c>
      <c r="J932">
        <v>1322.2584228999999</v>
      </c>
      <c r="K932">
        <v>2750</v>
      </c>
      <c r="L932">
        <v>0</v>
      </c>
      <c r="M932">
        <v>0</v>
      </c>
      <c r="N932">
        <v>2750</v>
      </c>
    </row>
    <row r="933" spans="1:14" x14ac:dyDescent="0.25">
      <c r="A933">
        <v>365.35506700000002</v>
      </c>
      <c r="B933" s="1">
        <f>DATE(2011,5,1) + TIME(8,31,17)</f>
        <v>40664.355057870373</v>
      </c>
      <c r="C933">
        <v>80</v>
      </c>
      <c r="D933">
        <v>70.547904967999997</v>
      </c>
      <c r="E933">
        <v>40</v>
      </c>
      <c r="F933">
        <v>39.932540893999999</v>
      </c>
      <c r="G933">
        <v>1340.5500488</v>
      </c>
      <c r="H933">
        <v>1337.6046143000001</v>
      </c>
      <c r="I933">
        <v>1324.7476807</v>
      </c>
      <c r="J933">
        <v>1322.2584228999999</v>
      </c>
      <c r="K933">
        <v>2750</v>
      </c>
      <c r="L933">
        <v>0</v>
      </c>
      <c r="M933">
        <v>0</v>
      </c>
      <c r="N933">
        <v>2750</v>
      </c>
    </row>
    <row r="934" spans="1:14" x14ac:dyDescent="0.25">
      <c r="A934">
        <v>365.37753400000003</v>
      </c>
      <c r="B934" s="1">
        <f>DATE(2011,5,1) + TIME(9,3,38)</f>
        <v>40664.377523148149</v>
      </c>
      <c r="C934">
        <v>80</v>
      </c>
      <c r="D934">
        <v>71.055236816000004</v>
      </c>
      <c r="E934">
        <v>40</v>
      </c>
      <c r="F934">
        <v>39.930072783999996</v>
      </c>
      <c r="G934">
        <v>1340.567749</v>
      </c>
      <c r="H934">
        <v>1337.6241454999999</v>
      </c>
      <c r="I934">
        <v>1324.7478027</v>
      </c>
      <c r="J934">
        <v>1322.2583007999999</v>
      </c>
      <c r="K934">
        <v>2750</v>
      </c>
      <c r="L934">
        <v>0</v>
      </c>
      <c r="M934">
        <v>0</v>
      </c>
      <c r="N934">
        <v>2750</v>
      </c>
    </row>
    <row r="935" spans="1:14" x14ac:dyDescent="0.25">
      <c r="A935">
        <v>365.40055799999999</v>
      </c>
      <c r="B935" s="1">
        <f>DATE(2011,5,1) + TIME(9,36,48)</f>
        <v>40664.400555555556</v>
      </c>
      <c r="C935">
        <v>80</v>
      </c>
      <c r="D935">
        <v>71.549346924000005</v>
      </c>
      <c r="E935">
        <v>40</v>
      </c>
      <c r="F935">
        <v>39.927566528</v>
      </c>
      <c r="G935">
        <v>1340.5871582</v>
      </c>
      <c r="H935">
        <v>1337.6444091999999</v>
      </c>
      <c r="I935">
        <v>1324.7478027</v>
      </c>
      <c r="J935">
        <v>1322.2583007999999</v>
      </c>
      <c r="K935">
        <v>2750</v>
      </c>
      <c r="L935">
        <v>0</v>
      </c>
      <c r="M935">
        <v>0</v>
      </c>
      <c r="N935">
        <v>2750</v>
      </c>
    </row>
    <row r="936" spans="1:14" x14ac:dyDescent="0.25">
      <c r="A936">
        <v>365.42416700000001</v>
      </c>
      <c r="B936" s="1">
        <f>DATE(2011,5,1) + TIME(10,10,47)</f>
        <v>40664.424155092594</v>
      </c>
      <c r="C936">
        <v>80</v>
      </c>
      <c r="D936">
        <v>72.030082703000005</v>
      </c>
      <c r="E936">
        <v>40</v>
      </c>
      <c r="F936">
        <v>39.925010681000003</v>
      </c>
      <c r="G936">
        <v>1340.6080322</v>
      </c>
      <c r="H936">
        <v>1337.6654053</v>
      </c>
      <c r="I936">
        <v>1324.7478027</v>
      </c>
      <c r="J936">
        <v>1322.2581786999999</v>
      </c>
      <c r="K936">
        <v>2750</v>
      </c>
      <c r="L936">
        <v>0</v>
      </c>
      <c r="M936">
        <v>0</v>
      </c>
      <c r="N936">
        <v>2750</v>
      </c>
    </row>
    <row r="937" spans="1:14" x14ac:dyDescent="0.25">
      <c r="A937">
        <v>365.44839200000001</v>
      </c>
      <c r="B937" s="1">
        <f>DATE(2011,5,1) + TIME(10,45,41)</f>
        <v>40664.448391203703</v>
      </c>
      <c r="C937">
        <v>80</v>
      </c>
      <c r="D937">
        <v>72.497268676999994</v>
      </c>
      <c r="E937">
        <v>40</v>
      </c>
      <c r="F937">
        <v>39.922409058</v>
      </c>
      <c r="G937">
        <v>1340.6303711</v>
      </c>
      <c r="H937">
        <v>1337.6871338000001</v>
      </c>
      <c r="I937">
        <v>1324.7478027</v>
      </c>
      <c r="J937">
        <v>1322.2580565999999</v>
      </c>
      <c r="K937">
        <v>2750</v>
      </c>
      <c r="L937">
        <v>0</v>
      </c>
      <c r="M937">
        <v>0</v>
      </c>
      <c r="N937">
        <v>2750</v>
      </c>
    </row>
    <row r="938" spans="1:14" x14ac:dyDescent="0.25">
      <c r="A938">
        <v>365.47326900000002</v>
      </c>
      <c r="B938" s="1">
        <f>DATE(2011,5,1) + TIME(11,21,30)</f>
        <v>40664.473263888889</v>
      </c>
      <c r="C938">
        <v>80</v>
      </c>
      <c r="D938">
        <v>72.950729370000005</v>
      </c>
      <c r="E938">
        <v>40</v>
      </c>
      <c r="F938">
        <v>39.919757842999999</v>
      </c>
      <c r="G938">
        <v>1340.6540527</v>
      </c>
      <c r="H938">
        <v>1337.7094727000001</v>
      </c>
      <c r="I938">
        <v>1324.7478027</v>
      </c>
      <c r="J938">
        <v>1322.2579346</v>
      </c>
      <c r="K938">
        <v>2750</v>
      </c>
      <c r="L938">
        <v>0</v>
      </c>
      <c r="M938">
        <v>0</v>
      </c>
      <c r="N938">
        <v>2750</v>
      </c>
    </row>
    <row r="939" spans="1:14" x14ac:dyDescent="0.25">
      <c r="A939">
        <v>365.49883399999999</v>
      </c>
      <c r="B939" s="1">
        <f>DATE(2011,5,1) + TIME(11,58,19)</f>
        <v>40664.498831018522</v>
      </c>
      <c r="C939">
        <v>80</v>
      </c>
      <c r="D939">
        <v>73.390312195000007</v>
      </c>
      <c r="E939">
        <v>40</v>
      </c>
      <c r="F939">
        <v>39.917057036999999</v>
      </c>
      <c r="G939">
        <v>1340.6790771000001</v>
      </c>
      <c r="H939">
        <v>1337.7324219</v>
      </c>
      <c r="I939">
        <v>1324.7478027</v>
      </c>
      <c r="J939">
        <v>1322.2578125</v>
      </c>
      <c r="K939">
        <v>2750</v>
      </c>
      <c r="L939">
        <v>0</v>
      </c>
      <c r="M939">
        <v>0</v>
      </c>
      <c r="N939">
        <v>2750</v>
      </c>
    </row>
    <row r="940" spans="1:14" x14ac:dyDescent="0.25">
      <c r="A940">
        <v>365.525127</v>
      </c>
      <c r="B940" s="1">
        <f>DATE(2011,5,1) + TIME(12,36,10)</f>
        <v>40664.52511574074</v>
      </c>
      <c r="C940">
        <v>80</v>
      </c>
      <c r="D940">
        <v>73.815834045000003</v>
      </c>
      <c r="E940">
        <v>40</v>
      </c>
      <c r="F940">
        <v>39.914299010999997</v>
      </c>
      <c r="G940">
        <v>1340.7052002</v>
      </c>
      <c r="H940">
        <v>1337.7559814000001</v>
      </c>
      <c r="I940">
        <v>1324.7478027</v>
      </c>
      <c r="J940">
        <v>1322.2576904</v>
      </c>
      <c r="K940">
        <v>2750</v>
      </c>
      <c r="L940">
        <v>0</v>
      </c>
      <c r="M940">
        <v>0</v>
      </c>
      <c r="N940">
        <v>2750</v>
      </c>
    </row>
    <row r="941" spans="1:14" x14ac:dyDescent="0.25">
      <c r="A941">
        <v>365.55219099999999</v>
      </c>
      <c r="B941" s="1">
        <f>DATE(2011,5,1) + TIME(13,15,9)</f>
        <v>40664.552187499998</v>
      </c>
      <c r="C941">
        <v>80</v>
      </c>
      <c r="D941">
        <v>74.227142334000007</v>
      </c>
      <c r="E941">
        <v>40</v>
      </c>
      <c r="F941">
        <v>39.91147995</v>
      </c>
      <c r="G941">
        <v>1340.7324219</v>
      </c>
      <c r="H941">
        <v>1337.7799072</v>
      </c>
      <c r="I941">
        <v>1324.7476807</v>
      </c>
      <c r="J941">
        <v>1322.2575684000001</v>
      </c>
      <c r="K941">
        <v>2750</v>
      </c>
      <c r="L941">
        <v>0</v>
      </c>
      <c r="M941">
        <v>0</v>
      </c>
      <c r="N941">
        <v>2750</v>
      </c>
    </row>
    <row r="942" spans="1:14" x14ac:dyDescent="0.25">
      <c r="A942">
        <v>365.58007400000002</v>
      </c>
      <c r="B942" s="1">
        <f>DATE(2011,5,1) + TIME(13,55,18)</f>
        <v>40664.580069444448</v>
      </c>
      <c r="C942">
        <v>80</v>
      </c>
      <c r="D942">
        <v>74.624069214000002</v>
      </c>
      <c r="E942">
        <v>40</v>
      </c>
      <c r="F942">
        <v>39.908599854000002</v>
      </c>
      <c r="G942">
        <v>1340.7607422000001</v>
      </c>
      <c r="H942">
        <v>1337.8043213000001</v>
      </c>
      <c r="I942">
        <v>1324.7476807</v>
      </c>
      <c r="J942">
        <v>1322.2574463000001</v>
      </c>
      <c r="K942">
        <v>2750</v>
      </c>
      <c r="L942">
        <v>0</v>
      </c>
      <c r="M942">
        <v>0</v>
      </c>
      <c r="N942">
        <v>2750</v>
      </c>
    </row>
    <row r="943" spans="1:14" x14ac:dyDescent="0.25">
      <c r="A943">
        <v>365.60884199999998</v>
      </c>
      <c r="B943" s="1">
        <f>DATE(2011,5,1) + TIME(14,36,43)</f>
        <v>40664.608831018515</v>
      </c>
      <c r="C943">
        <v>80</v>
      </c>
      <c r="D943">
        <v>75.006652832</v>
      </c>
      <c r="E943">
        <v>40</v>
      </c>
      <c r="F943">
        <v>39.905654906999999</v>
      </c>
      <c r="G943">
        <v>1340.7899170000001</v>
      </c>
      <c r="H943">
        <v>1337.8291016000001</v>
      </c>
      <c r="I943">
        <v>1324.7476807</v>
      </c>
      <c r="J943">
        <v>1322.2573242000001</v>
      </c>
      <c r="K943">
        <v>2750</v>
      </c>
      <c r="L943">
        <v>0</v>
      </c>
      <c r="M943">
        <v>0</v>
      </c>
      <c r="N943">
        <v>2750</v>
      </c>
    </row>
    <row r="944" spans="1:14" x14ac:dyDescent="0.25">
      <c r="A944">
        <v>365.63853799999998</v>
      </c>
      <c r="B944" s="1">
        <f>DATE(2011,5,1) + TIME(15,19,29)</f>
        <v>40664.63853009259</v>
      </c>
      <c r="C944">
        <v>80</v>
      </c>
      <c r="D944">
        <v>75.374298096000004</v>
      </c>
      <c r="E944">
        <v>40</v>
      </c>
      <c r="F944">
        <v>39.902633667000003</v>
      </c>
      <c r="G944">
        <v>1340.8200684000001</v>
      </c>
      <c r="H944">
        <v>1337.8543701000001</v>
      </c>
      <c r="I944">
        <v>1324.7476807</v>
      </c>
      <c r="J944">
        <v>1322.2570800999999</v>
      </c>
      <c r="K944">
        <v>2750</v>
      </c>
      <c r="L944">
        <v>0</v>
      </c>
      <c r="M944">
        <v>0</v>
      </c>
      <c r="N944">
        <v>2750</v>
      </c>
    </row>
    <row r="945" spans="1:14" x14ac:dyDescent="0.25">
      <c r="A945">
        <v>365.66922699999998</v>
      </c>
      <c r="B945" s="1">
        <f>DATE(2011,5,1) + TIME(16,3,41)</f>
        <v>40664.669224537036</v>
      </c>
      <c r="C945">
        <v>80</v>
      </c>
      <c r="D945">
        <v>75.727149963000002</v>
      </c>
      <c r="E945">
        <v>40</v>
      </c>
      <c r="F945">
        <v>39.899543762</v>
      </c>
      <c r="G945">
        <v>1340.8508300999999</v>
      </c>
      <c r="H945">
        <v>1337.8797606999999</v>
      </c>
      <c r="I945">
        <v>1324.7475586</v>
      </c>
      <c r="J945">
        <v>1322.2569579999999</v>
      </c>
      <c r="K945">
        <v>2750</v>
      </c>
      <c r="L945">
        <v>0</v>
      </c>
      <c r="M945">
        <v>0</v>
      </c>
      <c r="N945">
        <v>2750</v>
      </c>
    </row>
    <row r="946" spans="1:14" x14ac:dyDescent="0.25">
      <c r="A946">
        <v>365.70097700000002</v>
      </c>
      <c r="B946" s="1">
        <f>DATE(2011,5,1) + TIME(16,49,24)</f>
        <v>40664.700972222221</v>
      </c>
      <c r="C946">
        <v>80</v>
      </c>
      <c r="D946">
        <v>76.065116881999998</v>
      </c>
      <c r="E946">
        <v>40</v>
      </c>
      <c r="F946">
        <v>39.896369933999999</v>
      </c>
      <c r="G946">
        <v>1340.8824463000001</v>
      </c>
      <c r="H946">
        <v>1337.9053954999999</v>
      </c>
      <c r="I946">
        <v>1324.7475586</v>
      </c>
      <c r="J946">
        <v>1322.2567139</v>
      </c>
      <c r="K946">
        <v>2750</v>
      </c>
      <c r="L946">
        <v>0</v>
      </c>
      <c r="M946">
        <v>0</v>
      </c>
      <c r="N946">
        <v>2750</v>
      </c>
    </row>
    <row r="947" spans="1:14" x14ac:dyDescent="0.25">
      <c r="A947">
        <v>365.73386599999998</v>
      </c>
      <c r="B947" s="1">
        <f>DATE(2011,5,1) + TIME(17,36,45)</f>
        <v>40664.733854166669</v>
      </c>
      <c r="C947">
        <v>80</v>
      </c>
      <c r="D947">
        <v>76.388107300000001</v>
      </c>
      <c r="E947">
        <v>40</v>
      </c>
      <c r="F947">
        <v>39.893108368</v>
      </c>
      <c r="G947">
        <v>1340.9145507999999</v>
      </c>
      <c r="H947">
        <v>1337.9312743999999</v>
      </c>
      <c r="I947">
        <v>1324.7474365</v>
      </c>
      <c r="J947">
        <v>1322.2565918</v>
      </c>
      <c r="K947">
        <v>2750</v>
      </c>
      <c r="L947">
        <v>0</v>
      </c>
      <c r="M947">
        <v>0</v>
      </c>
      <c r="N947">
        <v>2750</v>
      </c>
    </row>
    <row r="948" spans="1:14" x14ac:dyDescent="0.25">
      <c r="A948">
        <v>365.76797699999997</v>
      </c>
      <c r="B948" s="1">
        <f>DATE(2011,5,1) + TIME(18,25,53)</f>
        <v>40664.767974537041</v>
      </c>
      <c r="C948">
        <v>80</v>
      </c>
      <c r="D948">
        <v>76.696052550999994</v>
      </c>
      <c r="E948">
        <v>40</v>
      </c>
      <c r="F948">
        <v>39.889755248999997</v>
      </c>
      <c r="G948">
        <v>1340.9471435999999</v>
      </c>
      <c r="H948">
        <v>1337.9572754000001</v>
      </c>
      <c r="I948">
        <v>1324.7474365</v>
      </c>
      <c r="J948">
        <v>1322.2563477000001</v>
      </c>
      <c r="K948">
        <v>2750</v>
      </c>
      <c r="L948">
        <v>0</v>
      </c>
      <c r="M948">
        <v>0</v>
      </c>
      <c r="N948">
        <v>2750</v>
      </c>
    </row>
    <row r="949" spans="1:14" x14ac:dyDescent="0.25">
      <c r="A949">
        <v>365.80340799999999</v>
      </c>
      <c r="B949" s="1">
        <f>DATE(2011,5,1) + TIME(19,16,54)</f>
        <v>40664.803402777776</v>
      </c>
      <c r="C949">
        <v>80</v>
      </c>
      <c r="D949">
        <v>76.988914489999999</v>
      </c>
      <c r="E949">
        <v>40</v>
      </c>
      <c r="F949">
        <v>39.886302948000001</v>
      </c>
      <c r="G949">
        <v>1340.9803466999999</v>
      </c>
      <c r="H949">
        <v>1337.9832764</v>
      </c>
      <c r="I949">
        <v>1324.7473144999999</v>
      </c>
      <c r="J949">
        <v>1322.2562256000001</v>
      </c>
      <c r="K949">
        <v>2750</v>
      </c>
      <c r="L949">
        <v>0</v>
      </c>
      <c r="M949">
        <v>0</v>
      </c>
      <c r="N949">
        <v>2750</v>
      </c>
    </row>
    <row r="950" spans="1:14" x14ac:dyDescent="0.25">
      <c r="A950">
        <v>365.84026399999999</v>
      </c>
      <c r="B950" s="1">
        <f>DATE(2011,5,1) + TIME(20,9,58)</f>
        <v>40664.840254629627</v>
      </c>
      <c r="C950">
        <v>80</v>
      </c>
      <c r="D950">
        <v>77.266685486</v>
      </c>
      <c r="E950">
        <v>40</v>
      </c>
      <c r="F950">
        <v>39.882743834999999</v>
      </c>
      <c r="G950">
        <v>1341.0137939000001</v>
      </c>
      <c r="H950">
        <v>1338.0093993999999</v>
      </c>
      <c r="I950">
        <v>1324.7471923999999</v>
      </c>
      <c r="J950">
        <v>1322.2559814000001</v>
      </c>
      <c r="K950">
        <v>2750</v>
      </c>
      <c r="L950">
        <v>0</v>
      </c>
      <c r="M950">
        <v>0</v>
      </c>
      <c r="N950">
        <v>2750</v>
      </c>
    </row>
    <row r="951" spans="1:14" x14ac:dyDescent="0.25">
      <c r="A951">
        <v>365.878559</v>
      </c>
      <c r="B951" s="1">
        <f>DATE(2011,5,1) + TIME(21,5,7)</f>
        <v>40664.878553240742</v>
      </c>
      <c r="C951">
        <v>80</v>
      </c>
      <c r="D951">
        <v>77.528701781999999</v>
      </c>
      <c r="E951">
        <v>40</v>
      </c>
      <c r="F951">
        <v>39.879077911000003</v>
      </c>
      <c r="G951">
        <v>1341.0476074000001</v>
      </c>
      <c r="H951">
        <v>1338.0355225000001</v>
      </c>
      <c r="I951">
        <v>1324.7471923999999</v>
      </c>
      <c r="J951">
        <v>1322.2557373</v>
      </c>
      <c r="K951">
        <v>2750</v>
      </c>
      <c r="L951">
        <v>0</v>
      </c>
      <c r="M951">
        <v>0</v>
      </c>
      <c r="N951">
        <v>2750</v>
      </c>
    </row>
    <row r="952" spans="1:14" x14ac:dyDescent="0.25">
      <c r="A952">
        <v>365.91837600000002</v>
      </c>
      <c r="B952" s="1">
        <f>DATE(2011,5,1) + TIME(22,2,27)</f>
        <v>40664.918368055558</v>
      </c>
      <c r="C952">
        <v>80</v>
      </c>
      <c r="D952">
        <v>77.774902343999997</v>
      </c>
      <c r="E952">
        <v>40</v>
      </c>
      <c r="F952">
        <v>39.875301360999998</v>
      </c>
      <c r="G952">
        <v>1341.0816649999999</v>
      </c>
      <c r="H952">
        <v>1338.0615233999999</v>
      </c>
      <c r="I952">
        <v>1324.7470702999999</v>
      </c>
      <c r="J952">
        <v>1322.2554932</v>
      </c>
      <c r="K952">
        <v>2750</v>
      </c>
      <c r="L952">
        <v>0</v>
      </c>
      <c r="M952">
        <v>0</v>
      </c>
      <c r="N952">
        <v>2750</v>
      </c>
    </row>
    <row r="953" spans="1:14" x14ac:dyDescent="0.25">
      <c r="A953">
        <v>365.95982900000001</v>
      </c>
      <c r="B953" s="1">
        <f>DATE(2011,5,1) + TIME(23,2,9)</f>
        <v>40664.959826388891</v>
      </c>
      <c r="C953">
        <v>80</v>
      </c>
      <c r="D953">
        <v>78.005439757999994</v>
      </c>
      <c r="E953">
        <v>40</v>
      </c>
      <c r="F953">
        <v>39.871402740000001</v>
      </c>
      <c r="G953">
        <v>1341.1156006000001</v>
      </c>
      <c r="H953">
        <v>1338.0872803</v>
      </c>
      <c r="I953">
        <v>1324.7469481999999</v>
      </c>
      <c r="J953">
        <v>1322.255249</v>
      </c>
      <c r="K953">
        <v>2750</v>
      </c>
      <c r="L953">
        <v>0</v>
      </c>
      <c r="M953">
        <v>0</v>
      </c>
      <c r="N953">
        <v>2750</v>
      </c>
    </row>
    <row r="954" spans="1:14" x14ac:dyDescent="0.25">
      <c r="A954">
        <v>366.00304699999998</v>
      </c>
      <c r="B954" s="1">
        <f>DATE(2011,5,2) + TIME(0,4,23)</f>
        <v>40665.00304398148</v>
      </c>
      <c r="C954">
        <v>80</v>
      </c>
      <c r="D954">
        <v>78.220489502000007</v>
      </c>
      <c r="E954">
        <v>40</v>
      </c>
      <c r="F954">
        <v>39.867374419999997</v>
      </c>
      <c r="G954">
        <v>1341.1495361</v>
      </c>
      <c r="H954">
        <v>1338.1129149999999</v>
      </c>
      <c r="I954">
        <v>1324.7468262</v>
      </c>
      <c r="J954">
        <v>1322.2550048999999</v>
      </c>
      <c r="K954">
        <v>2750</v>
      </c>
      <c r="L954">
        <v>0</v>
      </c>
      <c r="M954">
        <v>0</v>
      </c>
      <c r="N954">
        <v>2750</v>
      </c>
    </row>
    <row r="955" spans="1:14" x14ac:dyDescent="0.25">
      <c r="A955">
        <v>366.04817200000002</v>
      </c>
      <c r="B955" s="1">
        <f>DATE(2011,5,2) + TIME(1,9,22)</f>
        <v>40665.048171296294</v>
      </c>
      <c r="C955">
        <v>80</v>
      </c>
      <c r="D955">
        <v>78.420288085999999</v>
      </c>
      <c r="E955">
        <v>40</v>
      </c>
      <c r="F955">
        <v>39.863208770999996</v>
      </c>
      <c r="G955">
        <v>1341.1833495999999</v>
      </c>
      <c r="H955">
        <v>1338.1381836</v>
      </c>
      <c r="I955">
        <v>1324.7467041</v>
      </c>
      <c r="J955">
        <v>1322.2547606999999</v>
      </c>
      <c r="K955">
        <v>2750</v>
      </c>
      <c r="L955">
        <v>0</v>
      </c>
      <c r="M955">
        <v>0</v>
      </c>
      <c r="N955">
        <v>2750</v>
      </c>
    </row>
    <row r="956" spans="1:14" x14ac:dyDescent="0.25">
      <c r="A956">
        <v>366.09536600000001</v>
      </c>
      <c r="B956" s="1">
        <f>DATE(2011,5,2) + TIME(2,17,19)</f>
        <v>40665.095358796294</v>
      </c>
      <c r="C956">
        <v>80</v>
      </c>
      <c r="D956">
        <v>78.605102539000001</v>
      </c>
      <c r="E956">
        <v>40</v>
      </c>
      <c r="F956">
        <v>39.858890533</v>
      </c>
      <c r="G956">
        <v>1341.2169189000001</v>
      </c>
      <c r="H956">
        <v>1338.1630858999999</v>
      </c>
      <c r="I956">
        <v>1324.746582</v>
      </c>
      <c r="J956">
        <v>1322.2545166</v>
      </c>
      <c r="K956">
        <v>2750</v>
      </c>
      <c r="L956">
        <v>0</v>
      </c>
      <c r="M956">
        <v>0</v>
      </c>
      <c r="N956">
        <v>2750</v>
      </c>
    </row>
    <row r="957" spans="1:14" x14ac:dyDescent="0.25">
      <c r="A957">
        <v>366.14480900000001</v>
      </c>
      <c r="B957" s="1">
        <f>DATE(2011,5,2) + TIME(3,28,31)</f>
        <v>40665.144803240742</v>
      </c>
      <c r="C957">
        <v>80</v>
      </c>
      <c r="D957">
        <v>78.775268554999997</v>
      </c>
      <c r="E957">
        <v>40</v>
      </c>
      <c r="F957">
        <v>39.854412078999999</v>
      </c>
      <c r="G957">
        <v>1341.25</v>
      </c>
      <c r="H957">
        <v>1338.1876221</v>
      </c>
      <c r="I957">
        <v>1324.7464600000001</v>
      </c>
      <c r="J957">
        <v>1322.2542725000001</v>
      </c>
      <c r="K957">
        <v>2750</v>
      </c>
      <c r="L957">
        <v>0</v>
      </c>
      <c r="M957">
        <v>0</v>
      </c>
      <c r="N957">
        <v>2750</v>
      </c>
    </row>
    <row r="958" spans="1:14" x14ac:dyDescent="0.25">
      <c r="A958">
        <v>366.19671499999998</v>
      </c>
      <c r="B958" s="1">
        <f>DATE(2011,5,2) + TIME(4,43,16)</f>
        <v>40665.196712962963</v>
      </c>
      <c r="C958">
        <v>80</v>
      </c>
      <c r="D958">
        <v>78.931175232000001</v>
      </c>
      <c r="E958">
        <v>40</v>
      </c>
      <c r="F958">
        <v>39.849754333</v>
      </c>
      <c r="G958">
        <v>1341.2827147999999</v>
      </c>
      <c r="H958">
        <v>1338.2116699000001</v>
      </c>
      <c r="I958">
        <v>1324.7463379000001</v>
      </c>
      <c r="J958">
        <v>1322.2539062000001</v>
      </c>
      <c r="K958">
        <v>2750</v>
      </c>
      <c r="L958">
        <v>0</v>
      </c>
      <c r="M958">
        <v>0</v>
      </c>
      <c r="N958">
        <v>2750</v>
      </c>
    </row>
    <row r="959" spans="1:14" x14ac:dyDescent="0.25">
      <c r="A959">
        <v>366.25134500000001</v>
      </c>
      <c r="B959" s="1">
        <f>DATE(2011,5,2) + TIME(6,1,56)</f>
        <v>40665.251342592594</v>
      </c>
      <c r="C959">
        <v>80</v>
      </c>
      <c r="D959">
        <v>79.073303222999996</v>
      </c>
      <c r="E959">
        <v>40</v>
      </c>
      <c r="F959">
        <v>39.844902038999997</v>
      </c>
      <c r="G959">
        <v>1341.3148193</v>
      </c>
      <c r="H959">
        <v>1338.2351074000001</v>
      </c>
      <c r="I959">
        <v>1324.7462158000001</v>
      </c>
      <c r="J959">
        <v>1322.2536620999999</v>
      </c>
      <c r="K959">
        <v>2750</v>
      </c>
      <c r="L959">
        <v>0</v>
      </c>
      <c r="M959">
        <v>0</v>
      </c>
      <c r="N959">
        <v>2750</v>
      </c>
    </row>
    <row r="960" spans="1:14" x14ac:dyDescent="0.25">
      <c r="A960">
        <v>366.308941</v>
      </c>
      <c r="B960" s="1">
        <f>DATE(2011,5,2) + TIME(7,24,52)</f>
        <v>40665.308935185189</v>
      </c>
      <c r="C960">
        <v>80</v>
      </c>
      <c r="D960">
        <v>79.202041625999996</v>
      </c>
      <c r="E960">
        <v>40</v>
      </c>
      <c r="F960">
        <v>39.839836120999998</v>
      </c>
      <c r="G960">
        <v>1341.3464355000001</v>
      </c>
      <c r="H960">
        <v>1338.2581786999999</v>
      </c>
      <c r="I960">
        <v>1324.7460937999999</v>
      </c>
      <c r="J960">
        <v>1322.253418</v>
      </c>
      <c r="K960">
        <v>2750</v>
      </c>
      <c r="L960">
        <v>0</v>
      </c>
      <c r="M960">
        <v>0</v>
      </c>
      <c r="N960">
        <v>2750</v>
      </c>
    </row>
    <row r="961" spans="1:14" x14ac:dyDescent="0.25">
      <c r="A961">
        <v>366.36742600000002</v>
      </c>
      <c r="B961" s="1">
        <f>DATE(2011,5,2) + TIME(8,49,5)</f>
        <v>40665.367418981485</v>
      </c>
      <c r="C961">
        <v>80</v>
      </c>
      <c r="D961">
        <v>79.314025878999999</v>
      </c>
      <c r="E961">
        <v>40</v>
      </c>
      <c r="F961">
        <v>39.834732056</v>
      </c>
      <c r="G961">
        <v>1341.3778076000001</v>
      </c>
      <c r="H961">
        <v>1338.2807617000001</v>
      </c>
      <c r="I961">
        <v>1324.7458495999999</v>
      </c>
      <c r="J961">
        <v>1322.2530518000001</v>
      </c>
      <c r="K961">
        <v>2750</v>
      </c>
      <c r="L961">
        <v>0</v>
      </c>
      <c r="M961">
        <v>0</v>
      </c>
      <c r="N961">
        <v>2750</v>
      </c>
    </row>
    <row r="962" spans="1:14" x14ac:dyDescent="0.25">
      <c r="A962">
        <v>366.42617799999999</v>
      </c>
      <c r="B962" s="1">
        <f>DATE(2011,5,2) + TIME(10,13,41)</f>
        <v>40665.426168981481</v>
      </c>
      <c r="C962">
        <v>80</v>
      </c>
      <c r="D962">
        <v>79.410263061999999</v>
      </c>
      <c r="E962">
        <v>40</v>
      </c>
      <c r="F962">
        <v>39.829635619999998</v>
      </c>
      <c r="G962">
        <v>1341.4074707</v>
      </c>
      <c r="H962">
        <v>1338.3020019999999</v>
      </c>
      <c r="I962">
        <v>1324.7457274999999</v>
      </c>
      <c r="J962">
        <v>1322.2526855000001</v>
      </c>
      <c r="K962">
        <v>2750</v>
      </c>
      <c r="L962">
        <v>0</v>
      </c>
      <c r="M962">
        <v>0</v>
      </c>
      <c r="N962">
        <v>2750</v>
      </c>
    </row>
    <row r="963" spans="1:14" x14ac:dyDescent="0.25">
      <c r="A963">
        <v>366.48536000000001</v>
      </c>
      <c r="B963" s="1">
        <f>DATE(2011,5,2) + TIME(11,38,55)</f>
        <v>40665.485358796293</v>
      </c>
      <c r="C963">
        <v>80</v>
      </c>
      <c r="D963">
        <v>79.493034363000007</v>
      </c>
      <c r="E963">
        <v>40</v>
      </c>
      <c r="F963">
        <v>39.82453537</v>
      </c>
      <c r="G963">
        <v>1341.4348144999999</v>
      </c>
      <c r="H963">
        <v>1338.3215332</v>
      </c>
      <c r="I963">
        <v>1324.7456055</v>
      </c>
      <c r="J963">
        <v>1322.2524414</v>
      </c>
      <c r="K963">
        <v>2750</v>
      </c>
      <c r="L963">
        <v>0</v>
      </c>
      <c r="M963">
        <v>0</v>
      </c>
      <c r="N963">
        <v>2750</v>
      </c>
    </row>
    <row r="964" spans="1:14" x14ac:dyDescent="0.25">
      <c r="A964">
        <v>366.54510800000003</v>
      </c>
      <c r="B964" s="1">
        <f>DATE(2011,5,2) + TIME(13,4,57)</f>
        <v>40665.545104166667</v>
      </c>
      <c r="C964">
        <v>80</v>
      </c>
      <c r="D964">
        <v>79.564247131000002</v>
      </c>
      <c r="E964">
        <v>40</v>
      </c>
      <c r="F964">
        <v>39.819419861</v>
      </c>
      <c r="G964">
        <v>1341.4600829999999</v>
      </c>
      <c r="H964">
        <v>1338.3397216999999</v>
      </c>
      <c r="I964">
        <v>1324.7453613</v>
      </c>
      <c r="J964">
        <v>1322.2520752</v>
      </c>
      <c r="K964">
        <v>2750</v>
      </c>
      <c r="L964">
        <v>0</v>
      </c>
      <c r="M964">
        <v>0</v>
      </c>
      <c r="N964">
        <v>2750</v>
      </c>
    </row>
    <row r="965" spans="1:14" x14ac:dyDescent="0.25">
      <c r="A965">
        <v>366.60557299999999</v>
      </c>
      <c r="B965" s="1">
        <f>DATE(2011,5,2) + TIME(14,32,1)</f>
        <v>40665.605567129627</v>
      </c>
      <c r="C965">
        <v>80</v>
      </c>
      <c r="D965">
        <v>79.625503539999997</v>
      </c>
      <c r="E965">
        <v>40</v>
      </c>
      <c r="F965">
        <v>39.814273833999998</v>
      </c>
      <c r="G965">
        <v>1341.4833983999999</v>
      </c>
      <c r="H965">
        <v>1338.3564452999999</v>
      </c>
      <c r="I965">
        <v>1324.7452393000001</v>
      </c>
      <c r="J965">
        <v>1322.2518310999999</v>
      </c>
      <c r="K965">
        <v>2750</v>
      </c>
      <c r="L965">
        <v>0</v>
      </c>
      <c r="M965">
        <v>0</v>
      </c>
      <c r="N965">
        <v>2750</v>
      </c>
    </row>
    <row r="966" spans="1:14" x14ac:dyDescent="0.25">
      <c r="A966">
        <v>366.66689100000002</v>
      </c>
      <c r="B966" s="1">
        <f>DATE(2011,5,2) + TIME(16,0,19)</f>
        <v>40665.666886574072</v>
      </c>
      <c r="C966">
        <v>80</v>
      </c>
      <c r="D966">
        <v>79.678176879999995</v>
      </c>
      <c r="E966">
        <v>40</v>
      </c>
      <c r="F966">
        <v>39.809089661000002</v>
      </c>
      <c r="G966">
        <v>1341.5048827999999</v>
      </c>
      <c r="H966">
        <v>1338.3718262</v>
      </c>
      <c r="I966">
        <v>1324.7449951000001</v>
      </c>
      <c r="J966">
        <v>1322.2514647999999</v>
      </c>
      <c r="K966">
        <v>2750</v>
      </c>
      <c r="L966">
        <v>0</v>
      </c>
      <c r="M966">
        <v>0</v>
      </c>
      <c r="N966">
        <v>2750</v>
      </c>
    </row>
    <row r="967" spans="1:14" x14ac:dyDescent="0.25">
      <c r="A967">
        <v>366.72919200000001</v>
      </c>
      <c r="B967" s="1">
        <f>DATE(2011,5,2) + TIME(17,30,2)</f>
        <v>40665.729189814818</v>
      </c>
      <c r="C967">
        <v>80</v>
      </c>
      <c r="D967">
        <v>79.723419188999998</v>
      </c>
      <c r="E967">
        <v>40</v>
      </c>
      <c r="F967">
        <v>39.803855896000002</v>
      </c>
      <c r="G967">
        <v>1341.5247803</v>
      </c>
      <c r="H967">
        <v>1338.3861084</v>
      </c>
      <c r="I967">
        <v>1324.7448730000001</v>
      </c>
      <c r="J967">
        <v>1322.2510986</v>
      </c>
      <c r="K967">
        <v>2750</v>
      </c>
      <c r="L967">
        <v>0</v>
      </c>
      <c r="M967">
        <v>0</v>
      </c>
      <c r="N967">
        <v>2750</v>
      </c>
    </row>
    <row r="968" spans="1:14" x14ac:dyDescent="0.25">
      <c r="A968">
        <v>366.79266000000001</v>
      </c>
      <c r="B968" s="1">
        <f>DATE(2011,5,2) + TIME(19,1,25)</f>
        <v>40665.792650462965</v>
      </c>
      <c r="C968">
        <v>80</v>
      </c>
      <c r="D968">
        <v>79.762260436999995</v>
      </c>
      <c r="E968">
        <v>40</v>
      </c>
      <c r="F968">
        <v>39.798561096</v>
      </c>
      <c r="G968">
        <v>1341.5432129000001</v>
      </c>
      <c r="H968">
        <v>1338.3992920000001</v>
      </c>
      <c r="I968">
        <v>1324.7446289</v>
      </c>
      <c r="J968">
        <v>1322.2508545000001</v>
      </c>
      <c r="K968">
        <v>2750</v>
      </c>
      <c r="L968">
        <v>0</v>
      </c>
      <c r="M968">
        <v>0</v>
      </c>
      <c r="N968">
        <v>2750</v>
      </c>
    </row>
    <row r="969" spans="1:14" x14ac:dyDescent="0.25">
      <c r="A969">
        <v>366.85747099999998</v>
      </c>
      <c r="B969" s="1">
        <f>DATE(2011,5,2) + TIME(20,34,45)</f>
        <v>40665.857465277775</v>
      </c>
      <c r="C969">
        <v>80</v>
      </c>
      <c r="D969">
        <v>79.795555114999999</v>
      </c>
      <c r="E969">
        <v>40</v>
      </c>
      <c r="F969">
        <v>39.793186188</v>
      </c>
      <c r="G969">
        <v>1341.5600586</v>
      </c>
      <c r="H969">
        <v>1338.411499</v>
      </c>
      <c r="I969">
        <v>1324.7445068</v>
      </c>
      <c r="J969">
        <v>1322.2504882999999</v>
      </c>
      <c r="K969">
        <v>2750</v>
      </c>
      <c r="L969">
        <v>0</v>
      </c>
      <c r="M969">
        <v>0</v>
      </c>
      <c r="N969">
        <v>2750</v>
      </c>
    </row>
    <row r="970" spans="1:14" x14ac:dyDescent="0.25">
      <c r="A970">
        <v>366.92380200000002</v>
      </c>
      <c r="B970" s="1">
        <f>DATE(2011,5,2) + TIME(22,10,16)</f>
        <v>40665.923796296294</v>
      </c>
      <c r="C970">
        <v>80</v>
      </c>
      <c r="D970">
        <v>79.824058532999999</v>
      </c>
      <c r="E970">
        <v>40</v>
      </c>
      <c r="F970">
        <v>39.787719727000002</v>
      </c>
      <c r="G970">
        <v>1341.5755615</v>
      </c>
      <c r="H970">
        <v>1338.4228516000001</v>
      </c>
      <c r="I970">
        <v>1324.7442627</v>
      </c>
      <c r="J970">
        <v>1322.2501221</v>
      </c>
      <c r="K970">
        <v>2750</v>
      </c>
      <c r="L970">
        <v>0</v>
      </c>
      <c r="M970">
        <v>0</v>
      </c>
      <c r="N970">
        <v>2750</v>
      </c>
    </row>
    <row r="971" spans="1:14" x14ac:dyDescent="0.25">
      <c r="A971">
        <v>366.99184400000001</v>
      </c>
      <c r="B971" s="1">
        <f>DATE(2011,5,2) + TIME(23,48,15)</f>
        <v>40665.991840277777</v>
      </c>
      <c r="C971">
        <v>80</v>
      </c>
      <c r="D971">
        <v>79.848403931000007</v>
      </c>
      <c r="E971">
        <v>40</v>
      </c>
      <c r="F971">
        <v>39.782150268999999</v>
      </c>
      <c r="G971">
        <v>1341.5897216999999</v>
      </c>
      <c r="H971">
        <v>1338.4331055</v>
      </c>
      <c r="I971">
        <v>1324.7440185999999</v>
      </c>
      <c r="J971">
        <v>1322.2498779</v>
      </c>
      <c r="K971">
        <v>2750</v>
      </c>
      <c r="L971">
        <v>0</v>
      </c>
      <c r="M971">
        <v>0</v>
      </c>
      <c r="N971">
        <v>2750</v>
      </c>
    </row>
    <row r="972" spans="1:14" x14ac:dyDescent="0.25">
      <c r="A972">
        <v>367.06074100000001</v>
      </c>
      <c r="B972" s="1">
        <f>DATE(2011,5,3) + TIME(1,27,28)</f>
        <v>40666.060740740744</v>
      </c>
      <c r="C972">
        <v>80</v>
      </c>
      <c r="D972">
        <v>79.868881225999999</v>
      </c>
      <c r="E972">
        <v>40</v>
      </c>
      <c r="F972">
        <v>39.776538848999998</v>
      </c>
      <c r="G972">
        <v>1341.6027832</v>
      </c>
      <c r="H972">
        <v>1338.442749</v>
      </c>
      <c r="I972">
        <v>1324.7438964999999</v>
      </c>
      <c r="J972">
        <v>1322.2495117000001</v>
      </c>
      <c r="K972">
        <v>2750</v>
      </c>
      <c r="L972">
        <v>0</v>
      </c>
      <c r="M972">
        <v>0</v>
      </c>
      <c r="N972">
        <v>2750</v>
      </c>
    </row>
    <row r="973" spans="1:14" x14ac:dyDescent="0.25">
      <c r="A973">
        <v>367.13055800000001</v>
      </c>
      <c r="B973" s="1">
        <f>DATE(2011,5,3) + TIME(3,8,0)</f>
        <v>40666.130555555559</v>
      </c>
      <c r="C973">
        <v>80</v>
      </c>
      <c r="D973">
        <v>79.886085510000001</v>
      </c>
      <c r="E973">
        <v>40</v>
      </c>
      <c r="F973">
        <v>39.770885468000003</v>
      </c>
      <c r="G973">
        <v>1341.6145019999999</v>
      </c>
      <c r="H973">
        <v>1338.4514160000001</v>
      </c>
      <c r="I973">
        <v>1324.7436522999999</v>
      </c>
      <c r="J973">
        <v>1322.2491454999999</v>
      </c>
      <c r="K973">
        <v>2750</v>
      </c>
      <c r="L973">
        <v>0</v>
      </c>
      <c r="M973">
        <v>0</v>
      </c>
      <c r="N973">
        <v>2750</v>
      </c>
    </row>
    <row r="974" spans="1:14" x14ac:dyDescent="0.25">
      <c r="A974">
        <v>367.201415</v>
      </c>
      <c r="B974" s="1">
        <f>DATE(2011,5,3) + TIME(4,50,2)</f>
        <v>40666.201412037037</v>
      </c>
      <c r="C974">
        <v>80</v>
      </c>
      <c r="D974">
        <v>79.900520325000002</v>
      </c>
      <c r="E974">
        <v>40</v>
      </c>
      <c r="F974">
        <v>39.765174866000002</v>
      </c>
      <c r="G974">
        <v>1341.625</v>
      </c>
      <c r="H974">
        <v>1338.4592285000001</v>
      </c>
      <c r="I974">
        <v>1324.7434082</v>
      </c>
      <c r="J974">
        <v>1322.2487793</v>
      </c>
      <c r="K974">
        <v>2750</v>
      </c>
      <c r="L974">
        <v>0</v>
      </c>
      <c r="M974">
        <v>0</v>
      </c>
      <c r="N974">
        <v>2750</v>
      </c>
    </row>
    <row r="975" spans="1:14" x14ac:dyDescent="0.25">
      <c r="A975">
        <v>367.273439</v>
      </c>
      <c r="B975" s="1">
        <f>DATE(2011,5,3) + TIME(6,33,45)</f>
        <v>40666.2734375</v>
      </c>
      <c r="C975">
        <v>80</v>
      </c>
      <c r="D975">
        <v>79.912628174000005</v>
      </c>
      <c r="E975">
        <v>40</v>
      </c>
      <c r="F975">
        <v>39.759403229</v>
      </c>
      <c r="G975">
        <v>1341.6341553</v>
      </c>
      <c r="H975">
        <v>1338.4661865</v>
      </c>
      <c r="I975">
        <v>1324.7431641000001</v>
      </c>
      <c r="J975">
        <v>1322.2484131000001</v>
      </c>
      <c r="K975">
        <v>2750</v>
      </c>
      <c r="L975">
        <v>0</v>
      </c>
      <c r="M975">
        <v>0</v>
      </c>
      <c r="N975">
        <v>2750</v>
      </c>
    </row>
    <row r="976" spans="1:14" x14ac:dyDescent="0.25">
      <c r="A976">
        <v>367.346788</v>
      </c>
      <c r="B976" s="1">
        <f>DATE(2011,5,3) + TIME(8,19,22)</f>
        <v>40666.346782407411</v>
      </c>
      <c r="C976">
        <v>80</v>
      </c>
      <c r="D976">
        <v>79.922760010000005</v>
      </c>
      <c r="E976">
        <v>40</v>
      </c>
      <c r="F976">
        <v>39.753555298000002</v>
      </c>
      <c r="G976">
        <v>1341.6420897999999</v>
      </c>
      <c r="H976">
        <v>1338.4724120999999</v>
      </c>
      <c r="I976">
        <v>1324.7429199000001</v>
      </c>
      <c r="J976">
        <v>1322.2480469</v>
      </c>
      <c r="K976">
        <v>2750</v>
      </c>
      <c r="L976">
        <v>0</v>
      </c>
      <c r="M976">
        <v>0</v>
      </c>
      <c r="N976">
        <v>2750</v>
      </c>
    </row>
    <row r="977" spans="1:14" x14ac:dyDescent="0.25">
      <c r="A977">
        <v>367.42159199999998</v>
      </c>
      <c r="B977" s="1">
        <f>DATE(2011,5,3) + TIME(10,7,5)</f>
        <v>40666.421585648146</v>
      </c>
      <c r="C977">
        <v>80</v>
      </c>
      <c r="D977">
        <v>79.931236267000003</v>
      </c>
      <c r="E977">
        <v>40</v>
      </c>
      <c r="F977">
        <v>39.747623443999998</v>
      </c>
      <c r="G977">
        <v>1341.6491699000001</v>
      </c>
      <c r="H977">
        <v>1338.4779053</v>
      </c>
      <c r="I977">
        <v>1324.7426757999999</v>
      </c>
      <c r="J977">
        <v>1322.2476807</v>
      </c>
      <c r="K977">
        <v>2750</v>
      </c>
      <c r="L977">
        <v>0</v>
      </c>
      <c r="M977">
        <v>0</v>
      </c>
      <c r="N977">
        <v>2750</v>
      </c>
    </row>
    <row r="978" spans="1:14" x14ac:dyDescent="0.25">
      <c r="A978">
        <v>367.497996</v>
      </c>
      <c r="B978" s="1">
        <f>DATE(2011,5,3) + TIME(11,57,6)</f>
        <v>40666.497986111113</v>
      </c>
      <c r="C978">
        <v>80</v>
      </c>
      <c r="D978">
        <v>79.938301085999996</v>
      </c>
      <c r="E978">
        <v>40</v>
      </c>
      <c r="F978">
        <v>39.741596221999998</v>
      </c>
      <c r="G978">
        <v>1341.6551514</v>
      </c>
      <c r="H978">
        <v>1338.4829102000001</v>
      </c>
      <c r="I978">
        <v>1324.7424315999999</v>
      </c>
      <c r="J978">
        <v>1322.2473144999999</v>
      </c>
      <c r="K978">
        <v>2750</v>
      </c>
      <c r="L978">
        <v>0</v>
      </c>
      <c r="M978">
        <v>0</v>
      </c>
      <c r="N978">
        <v>2750</v>
      </c>
    </row>
    <row r="979" spans="1:14" x14ac:dyDescent="0.25">
      <c r="A979">
        <v>367.57616300000001</v>
      </c>
      <c r="B979" s="1">
        <f>DATE(2011,5,3) + TIME(13,49,40)</f>
        <v>40666.576157407406</v>
      </c>
      <c r="C979">
        <v>80</v>
      </c>
      <c r="D979">
        <v>79.944190978999998</v>
      </c>
      <c r="E979">
        <v>40</v>
      </c>
      <c r="F979">
        <v>39.735462189000003</v>
      </c>
      <c r="G979">
        <v>1341.6601562000001</v>
      </c>
      <c r="H979">
        <v>1338.4871826000001</v>
      </c>
      <c r="I979">
        <v>1324.7421875</v>
      </c>
      <c r="J979">
        <v>1322.2469481999999</v>
      </c>
      <c r="K979">
        <v>2750</v>
      </c>
      <c r="L979">
        <v>0</v>
      </c>
      <c r="M979">
        <v>0</v>
      </c>
      <c r="N979">
        <v>2750</v>
      </c>
    </row>
    <row r="980" spans="1:14" x14ac:dyDescent="0.25">
      <c r="A980">
        <v>367.656272</v>
      </c>
      <c r="B980" s="1">
        <f>DATE(2011,5,3) + TIME(15,45,1)</f>
        <v>40666.656261574077</v>
      </c>
      <c r="C980">
        <v>80</v>
      </c>
      <c r="D980">
        <v>79.949081421000002</v>
      </c>
      <c r="E980">
        <v>40</v>
      </c>
      <c r="F980">
        <v>39.729213715</v>
      </c>
      <c r="G980">
        <v>1341.6644286999999</v>
      </c>
      <c r="H980">
        <v>1338.4909668</v>
      </c>
      <c r="I980">
        <v>1324.7419434000001</v>
      </c>
      <c r="J980">
        <v>1322.246582</v>
      </c>
      <c r="K980">
        <v>2750</v>
      </c>
      <c r="L980">
        <v>0</v>
      </c>
      <c r="M980">
        <v>0</v>
      </c>
      <c r="N980">
        <v>2750</v>
      </c>
    </row>
    <row r="981" spans="1:14" x14ac:dyDescent="0.25">
      <c r="A981">
        <v>367.738519</v>
      </c>
      <c r="B981" s="1">
        <f>DATE(2011,5,3) + TIME(17,43,28)</f>
        <v>40666.738518518519</v>
      </c>
      <c r="C981">
        <v>80</v>
      </c>
      <c r="D981">
        <v>79.953140258999994</v>
      </c>
      <c r="E981">
        <v>40</v>
      </c>
      <c r="F981">
        <v>39.722831726000003</v>
      </c>
      <c r="G981">
        <v>1341.6677245999999</v>
      </c>
      <c r="H981">
        <v>1338.4941406</v>
      </c>
      <c r="I981">
        <v>1324.7416992000001</v>
      </c>
      <c r="J981">
        <v>1322.2462158000001</v>
      </c>
      <c r="K981">
        <v>2750</v>
      </c>
      <c r="L981">
        <v>0</v>
      </c>
      <c r="M981">
        <v>0</v>
      </c>
      <c r="N981">
        <v>2750</v>
      </c>
    </row>
    <row r="982" spans="1:14" x14ac:dyDescent="0.25">
      <c r="A982">
        <v>367.82311800000002</v>
      </c>
      <c r="B982" s="1">
        <f>DATE(2011,5,3) + TIME(19,45,17)</f>
        <v>40666.823113425926</v>
      </c>
      <c r="C982">
        <v>80</v>
      </c>
      <c r="D982">
        <v>79.956497192</v>
      </c>
      <c r="E982">
        <v>40</v>
      </c>
      <c r="F982">
        <v>39.716304778999998</v>
      </c>
      <c r="G982">
        <v>1341.6701660000001</v>
      </c>
      <c r="H982">
        <v>1338.4967041</v>
      </c>
      <c r="I982">
        <v>1324.7413329999999</v>
      </c>
      <c r="J982">
        <v>1322.2458495999999</v>
      </c>
      <c r="K982">
        <v>2750</v>
      </c>
      <c r="L982">
        <v>0</v>
      </c>
      <c r="M982">
        <v>0</v>
      </c>
      <c r="N982">
        <v>2750</v>
      </c>
    </row>
    <row r="983" spans="1:14" x14ac:dyDescent="0.25">
      <c r="A983">
        <v>367.91037599999999</v>
      </c>
      <c r="B983" s="1">
        <f>DATE(2011,5,3) + TIME(21,50,56)</f>
        <v>40666.910370370373</v>
      </c>
      <c r="C983">
        <v>80</v>
      </c>
      <c r="D983">
        <v>79.959266662999994</v>
      </c>
      <c r="E983">
        <v>40</v>
      </c>
      <c r="F983">
        <v>39.7096138</v>
      </c>
      <c r="G983">
        <v>1341.671875</v>
      </c>
      <c r="H983">
        <v>1338.4987793</v>
      </c>
      <c r="I983">
        <v>1324.7410889</v>
      </c>
      <c r="J983">
        <v>1322.2453613</v>
      </c>
      <c r="K983">
        <v>2750</v>
      </c>
      <c r="L983">
        <v>0</v>
      </c>
      <c r="M983">
        <v>0</v>
      </c>
      <c r="N983">
        <v>2750</v>
      </c>
    </row>
    <row r="984" spans="1:14" x14ac:dyDescent="0.25">
      <c r="A984">
        <v>368.00062700000001</v>
      </c>
      <c r="B984" s="1">
        <f>DATE(2011,5,4) + TIME(0,0,54)</f>
        <v>40667.000625000001</v>
      </c>
      <c r="C984">
        <v>80</v>
      </c>
      <c r="D984">
        <v>79.961540221999996</v>
      </c>
      <c r="E984">
        <v>40</v>
      </c>
      <c r="F984">
        <v>39.702732085999997</v>
      </c>
      <c r="G984">
        <v>1341.6726074000001</v>
      </c>
      <c r="H984">
        <v>1338.5004882999999</v>
      </c>
      <c r="I984">
        <v>1324.7408447</v>
      </c>
      <c r="J984">
        <v>1322.2449951000001</v>
      </c>
      <c r="K984">
        <v>2750</v>
      </c>
      <c r="L984">
        <v>0</v>
      </c>
      <c r="M984">
        <v>0</v>
      </c>
      <c r="N984">
        <v>2750</v>
      </c>
    </row>
    <row r="985" spans="1:14" x14ac:dyDescent="0.25">
      <c r="A985">
        <v>368.09419600000001</v>
      </c>
      <c r="B985" s="1">
        <f>DATE(2011,5,4) + TIME(2,15,38)</f>
        <v>40667.094189814816</v>
      </c>
      <c r="C985">
        <v>80</v>
      </c>
      <c r="D985">
        <v>79.963409424000005</v>
      </c>
      <c r="E985">
        <v>40</v>
      </c>
      <c r="F985">
        <v>39.695644379000001</v>
      </c>
      <c r="G985">
        <v>1341.6710204999999</v>
      </c>
      <c r="H985">
        <v>1338.5003661999999</v>
      </c>
      <c r="I985">
        <v>1324.7404785000001</v>
      </c>
      <c r="J985">
        <v>1322.2445068</v>
      </c>
      <c r="K985">
        <v>2750</v>
      </c>
      <c r="L985">
        <v>0</v>
      </c>
      <c r="M985">
        <v>0</v>
      </c>
      <c r="N985">
        <v>2750</v>
      </c>
    </row>
    <row r="986" spans="1:14" x14ac:dyDescent="0.25">
      <c r="A986">
        <v>368.19124199999999</v>
      </c>
      <c r="B986" s="1">
        <f>DATE(2011,5,4) + TIME(4,35,23)</f>
        <v>40667.191238425927</v>
      </c>
      <c r="C986">
        <v>80</v>
      </c>
      <c r="D986">
        <v>79.964935303000004</v>
      </c>
      <c r="E986">
        <v>40</v>
      </c>
      <c r="F986">
        <v>39.688335418999998</v>
      </c>
      <c r="G986">
        <v>1341.6688231999999</v>
      </c>
      <c r="H986">
        <v>1338.5</v>
      </c>
      <c r="I986">
        <v>1324.7401123</v>
      </c>
      <c r="J986">
        <v>1322.2441406</v>
      </c>
      <c r="K986">
        <v>2750</v>
      </c>
      <c r="L986">
        <v>0</v>
      </c>
      <c r="M986">
        <v>0</v>
      </c>
      <c r="N986">
        <v>2750</v>
      </c>
    </row>
    <row r="987" spans="1:14" x14ac:dyDescent="0.25">
      <c r="A987">
        <v>368.29081200000002</v>
      </c>
      <c r="B987" s="1">
        <f>DATE(2011,5,4) + TIME(6,58,46)</f>
        <v>40667.290810185186</v>
      </c>
      <c r="C987">
        <v>80</v>
      </c>
      <c r="D987">
        <v>79.966156006000006</v>
      </c>
      <c r="E987">
        <v>40</v>
      </c>
      <c r="F987">
        <v>39.680873871000003</v>
      </c>
      <c r="G987">
        <v>1341.6660156</v>
      </c>
      <c r="H987">
        <v>1338.4992675999999</v>
      </c>
      <c r="I987">
        <v>1324.7398682</v>
      </c>
      <c r="J987">
        <v>1322.2436522999999</v>
      </c>
      <c r="K987">
        <v>2750</v>
      </c>
      <c r="L987">
        <v>0</v>
      </c>
      <c r="M987">
        <v>0</v>
      </c>
      <c r="N987">
        <v>2750</v>
      </c>
    </row>
    <row r="988" spans="1:14" x14ac:dyDescent="0.25">
      <c r="A988">
        <v>368.39278300000001</v>
      </c>
      <c r="B988" s="1">
        <f>DATE(2011,5,4) + TIME(9,25,36)</f>
        <v>40667.392777777779</v>
      </c>
      <c r="C988">
        <v>80</v>
      </c>
      <c r="D988">
        <v>79.967132567999997</v>
      </c>
      <c r="E988">
        <v>40</v>
      </c>
      <c r="F988">
        <v>39.673267365000001</v>
      </c>
      <c r="G988">
        <v>1341.6625977000001</v>
      </c>
      <c r="H988">
        <v>1338.4982910000001</v>
      </c>
      <c r="I988">
        <v>1324.7395019999999</v>
      </c>
      <c r="J988">
        <v>1322.2431641000001</v>
      </c>
      <c r="K988">
        <v>2750</v>
      </c>
      <c r="L988">
        <v>0</v>
      </c>
      <c r="M988">
        <v>0</v>
      </c>
      <c r="N988">
        <v>2750</v>
      </c>
    </row>
    <row r="989" spans="1:14" x14ac:dyDescent="0.25">
      <c r="A989">
        <v>368.49737299999998</v>
      </c>
      <c r="B989" s="1">
        <f>DATE(2011,5,4) + TIME(11,56,13)</f>
        <v>40667.497372685182</v>
      </c>
      <c r="C989">
        <v>80</v>
      </c>
      <c r="D989">
        <v>79.967918396000002</v>
      </c>
      <c r="E989">
        <v>40</v>
      </c>
      <c r="F989">
        <v>39.665504456000001</v>
      </c>
      <c r="G989">
        <v>1341.6586914</v>
      </c>
      <c r="H989">
        <v>1338.4968262</v>
      </c>
      <c r="I989">
        <v>1324.7391356999999</v>
      </c>
      <c r="J989">
        <v>1322.2426757999999</v>
      </c>
      <c r="K989">
        <v>2750</v>
      </c>
      <c r="L989">
        <v>0</v>
      </c>
      <c r="M989">
        <v>0</v>
      </c>
      <c r="N989">
        <v>2750</v>
      </c>
    </row>
    <row r="990" spans="1:14" x14ac:dyDescent="0.25">
      <c r="A990">
        <v>368.60480899999999</v>
      </c>
      <c r="B990" s="1">
        <f>DATE(2011,5,4) + TIME(14,30,55)</f>
        <v>40667.604803240742</v>
      </c>
      <c r="C990">
        <v>80</v>
      </c>
      <c r="D990">
        <v>79.968544006000002</v>
      </c>
      <c r="E990">
        <v>40</v>
      </c>
      <c r="F990">
        <v>39.657566070999998</v>
      </c>
      <c r="G990">
        <v>1341.6542969</v>
      </c>
      <c r="H990">
        <v>1338.4952393000001</v>
      </c>
      <c r="I990">
        <v>1324.7387695</v>
      </c>
      <c r="J990">
        <v>1322.2421875</v>
      </c>
      <c r="K990">
        <v>2750</v>
      </c>
      <c r="L990">
        <v>0</v>
      </c>
      <c r="M990">
        <v>0</v>
      </c>
      <c r="N990">
        <v>2750</v>
      </c>
    </row>
    <row r="991" spans="1:14" x14ac:dyDescent="0.25">
      <c r="A991">
        <v>368.71533899999997</v>
      </c>
      <c r="B991" s="1">
        <f>DATE(2011,5,4) + TIME(17,10,5)</f>
        <v>40667.71533564815</v>
      </c>
      <c r="C991">
        <v>80</v>
      </c>
      <c r="D991">
        <v>79.969039917000003</v>
      </c>
      <c r="E991">
        <v>40</v>
      </c>
      <c r="F991">
        <v>39.649436950999998</v>
      </c>
      <c r="G991">
        <v>1341.6494141000001</v>
      </c>
      <c r="H991">
        <v>1338.4932861</v>
      </c>
      <c r="I991">
        <v>1324.7384033000001</v>
      </c>
      <c r="J991">
        <v>1322.2416992000001</v>
      </c>
      <c r="K991">
        <v>2750</v>
      </c>
      <c r="L991">
        <v>0</v>
      </c>
      <c r="M991">
        <v>0</v>
      </c>
      <c r="N991">
        <v>2750</v>
      </c>
    </row>
    <row r="992" spans="1:14" x14ac:dyDescent="0.25">
      <c r="A992">
        <v>368.82924100000002</v>
      </c>
      <c r="B992" s="1">
        <f>DATE(2011,5,4) + TIME(19,54,6)</f>
        <v>40667.829236111109</v>
      </c>
      <c r="C992">
        <v>80</v>
      </c>
      <c r="D992">
        <v>79.969429016000007</v>
      </c>
      <c r="E992">
        <v>40</v>
      </c>
      <c r="F992">
        <v>39.641109467</v>
      </c>
      <c r="G992">
        <v>1341.644043</v>
      </c>
      <c r="H992">
        <v>1338.4910889</v>
      </c>
      <c r="I992">
        <v>1324.7380370999999</v>
      </c>
      <c r="J992">
        <v>1322.2410889</v>
      </c>
      <c r="K992">
        <v>2750</v>
      </c>
      <c r="L992">
        <v>0</v>
      </c>
      <c r="M992">
        <v>0</v>
      </c>
      <c r="N992">
        <v>2750</v>
      </c>
    </row>
    <row r="993" spans="1:14" x14ac:dyDescent="0.25">
      <c r="A993">
        <v>368.94513999999998</v>
      </c>
      <c r="B993" s="1">
        <f>DATE(2011,5,4) + TIME(22,41,0)</f>
        <v>40667.945138888892</v>
      </c>
      <c r="C993">
        <v>80</v>
      </c>
      <c r="D993">
        <v>79.969734192000004</v>
      </c>
      <c r="E993">
        <v>40</v>
      </c>
      <c r="F993">
        <v>39.632663727000001</v>
      </c>
      <c r="G993">
        <v>1341.6381836</v>
      </c>
      <c r="H993">
        <v>1338.4886475000001</v>
      </c>
      <c r="I993">
        <v>1324.7375488</v>
      </c>
      <c r="J993">
        <v>1322.2406006000001</v>
      </c>
      <c r="K993">
        <v>2750</v>
      </c>
      <c r="L993">
        <v>0</v>
      </c>
      <c r="M993">
        <v>0</v>
      </c>
      <c r="N993">
        <v>2750</v>
      </c>
    </row>
    <row r="994" spans="1:14" x14ac:dyDescent="0.25">
      <c r="A994">
        <v>369.06284599999998</v>
      </c>
      <c r="B994" s="1">
        <f>DATE(2011,5,5) + TIME(1,30,29)</f>
        <v>40668.062835648147</v>
      </c>
      <c r="C994">
        <v>80</v>
      </c>
      <c r="D994">
        <v>79.969978333</v>
      </c>
      <c r="E994">
        <v>40</v>
      </c>
      <c r="F994">
        <v>39.624111176</v>
      </c>
      <c r="G994">
        <v>1341.6319579999999</v>
      </c>
      <c r="H994">
        <v>1338.4859618999999</v>
      </c>
      <c r="I994">
        <v>1324.7371826000001</v>
      </c>
      <c r="J994">
        <v>1322.2401123</v>
      </c>
      <c r="K994">
        <v>2750</v>
      </c>
      <c r="L994">
        <v>0</v>
      </c>
      <c r="M994">
        <v>0</v>
      </c>
      <c r="N994">
        <v>2750</v>
      </c>
    </row>
    <row r="995" spans="1:14" x14ac:dyDescent="0.25">
      <c r="A995">
        <v>369.18273900000003</v>
      </c>
      <c r="B995" s="1">
        <f>DATE(2011,5,5) + TIME(4,23,8)</f>
        <v>40668.18273148148</v>
      </c>
      <c r="C995">
        <v>80</v>
      </c>
      <c r="D995">
        <v>79.970161438000005</v>
      </c>
      <c r="E995">
        <v>40</v>
      </c>
      <c r="F995">
        <v>39.615436553999999</v>
      </c>
      <c r="G995">
        <v>1341.6254882999999</v>
      </c>
      <c r="H995">
        <v>1338.4831543</v>
      </c>
      <c r="I995">
        <v>1324.7366943</v>
      </c>
      <c r="J995">
        <v>1322.2395019999999</v>
      </c>
      <c r="K995">
        <v>2750</v>
      </c>
      <c r="L995">
        <v>0</v>
      </c>
      <c r="M995">
        <v>0</v>
      </c>
      <c r="N995">
        <v>2750</v>
      </c>
    </row>
    <row r="996" spans="1:14" x14ac:dyDescent="0.25">
      <c r="A996">
        <v>369.30532499999998</v>
      </c>
      <c r="B996" s="1">
        <f>DATE(2011,5,5) + TIME(7,19,40)</f>
        <v>40668.305324074077</v>
      </c>
      <c r="C996">
        <v>80</v>
      </c>
      <c r="D996">
        <v>79.970306395999998</v>
      </c>
      <c r="E996">
        <v>40</v>
      </c>
      <c r="F996">
        <v>39.606605530000003</v>
      </c>
      <c r="G996">
        <v>1341.6186522999999</v>
      </c>
      <c r="H996">
        <v>1338.4801024999999</v>
      </c>
      <c r="I996">
        <v>1324.7363281</v>
      </c>
      <c r="J996">
        <v>1322.2388916</v>
      </c>
      <c r="K996">
        <v>2750</v>
      </c>
      <c r="L996">
        <v>0</v>
      </c>
      <c r="M996">
        <v>0</v>
      </c>
      <c r="N996">
        <v>2750</v>
      </c>
    </row>
    <row r="997" spans="1:14" x14ac:dyDescent="0.25">
      <c r="A997">
        <v>369.43097699999998</v>
      </c>
      <c r="B997" s="1">
        <f>DATE(2011,5,5) + TIME(10,20,36)</f>
        <v>40668.430972222224</v>
      </c>
      <c r="C997">
        <v>80</v>
      </c>
      <c r="D997">
        <v>79.970413207999997</v>
      </c>
      <c r="E997">
        <v>40</v>
      </c>
      <c r="F997">
        <v>39.597599029999998</v>
      </c>
      <c r="G997">
        <v>1341.6114502</v>
      </c>
      <c r="H997">
        <v>1338.4768065999999</v>
      </c>
      <c r="I997">
        <v>1324.7358397999999</v>
      </c>
      <c r="J997">
        <v>1322.2384033000001</v>
      </c>
      <c r="K997">
        <v>2750</v>
      </c>
      <c r="L997">
        <v>0</v>
      </c>
      <c r="M997">
        <v>0</v>
      </c>
      <c r="N997">
        <v>2750</v>
      </c>
    </row>
    <row r="998" spans="1:14" x14ac:dyDescent="0.25">
      <c r="A998">
        <v>369.55811599999998</v>
      </c>
      <c r="B998" s="1">
        <f>DATE(2011,5,5) + TIME(13,23,41)</f>
        <v>40668.558113425926</v>
      </c>
      <c r="C998">
        <v>80</v>
      </c>
      <c r="D998">
        <v>79.970497131000002</v>
      </c>
      <c r="E998">
        <v>40</v>
      </c>
      <c r="F998">
        <v>39.588508605999998</v>
      </c>
      <c r="G998">
        <v>1341.6040039</v>
      </c>
      <c r="H998">
        <v>1338.4733887</v>
      </c>
      <c r="I998">
        <v>1324.7353516000001</v>
      </c>
      <c r="J998">
        <v>1322.237793</v>
      </c>
      <c r="K998">
        <v>2750</v>
      </c>
      <c r="L998">
        <v>0</v>
      </c>
      <c r="M998">
        <v>0</v>
      </c>
      <c r="N998">
        <v>2750</v>
      </c>
    </row>
    <row r="999" spans="1:14" x14ac:dyDescent="0.25">
      <c r="A999">
        <v>369.68598100000003</v>
      </c>
      <c r="B999" s="1">
        <f>DATE(2011,5,5) + TIME(16,27,48)</f>
        <v>40668.685972222222</v>
      </c>
      <c r="C999">
        <v>80</v>
      </c>
      <c r="D999">
        <v>79.970558166999993</v>
      </c>
      <c r="E999">
        <v>40</v>
      </c>
      <c r="F999">
        <v>39.579387664999999</v>
      </c>
      <c r="G999">
        <v>1341.5963135</v>
      </c>
      <c r="H999">
        <v>1338.4699707</v>
      </c>
      <c r="I999">
        <v>1324.7349853999999</v>
      </c>
      <c r="J999">
        <v>1322.2371826000001</v>
      </c>
      <c r="K999">
        <v>2750</v>
      </c>
      <c r="L999">
        <v>0</v>
      </c>
      <c r="M999">
        <v>0</v>
      </c>
      <c r="N999">
        <v>2750</v>
      </c>
    </row>
    <row r="1000" spans="1:14" x14ac:dyDescent="0.25">
      <c r="A1000">
        <v>369.814818</v>
      </c>
      <c r="B1000" s="1">
        <f>DATE(2011,5,5) + TIME(19,33,20)</f>
        <v>40668.814814814818</v>
      </c>
      <c r="C1000">
        <v>80</v>
      </c>
      <c r="D1000">
        <v>79.970596313000001</v>
      </c>
      <c r="E1000">
        <v>40</v>
      </c>
      <c r="F1000">
        <v>39.570224762000002</v>
      </c>
      <c r="G1000">
        <v>1341.588501</v>
      </c>
      <c r="H1000">
        <v>1338.4663086</v>
      </c>
      <c r="I1000">
        <v>1324.7344971</v>
      </c>
      <c r="J1000">
        <v>1322.2365723</v>
      </c>
      <c r="K1000">
        <v>2750</v>
      </c>
      <c r="L1000">
        <v>0</v>
      </c>
      <c r="M1000">
        <v>0</v>
      </c>
      <c r="N1000">
        <v>2750</v>
      </c>
    </row>
    <row r="1001" spans="1:14" x14ac:dyDescent="0.25">
      <c r="A1001">
        <v>369.94486999999998</v>
      </c>
      <c r="B1001" s="1">
        <f>DATE(2011,5,5) + TIME(22,40,36)</f>
        <v>40668.944861111115</v>
      </c>
      <c r="C1001">
        <v>80</v>
      </c>
      <c r="D1001">
        <v>79.970626831000004</v>
      </c>
      <c r="E1001">
        <v>40</v>
      </c>
      <c r="F1001">
        <v>39.561004638999997</v>
      </c>
      <c r="G1001">
        <v>1341.5805664</v>
      </c>
      <c r="H1001">
        <v>1338.4626464999999</v>
      </c>
      <c r="I1001">
        <v>1324.7340088000001</v>
      </c>
      <c r="J1001">
        <v>1322.2359618999999</v>
      </c>
      <c r="K1001">
        <v>2750</v>
      </c>
      <c r="L1001">
        <v>0</v>
      </c>
      <c r="M1001">
        <v>0</v>
      </c>
      <c r="N1001">
        <v>2750</v>
      </c>
    </row>
    <row r="1002" spans="1:14" x14ac:dyDescent="0.25">
      <c r="A1002">
        <v>370.07637999999997</v>
      </c>
      <c r="B1002" s="1">
        <f>DATE(2011,5,6) + TIME(1,49,59)</f>
        <v>40669.076377314814</v>
      </c>
      <c r="C1002">
        <v>80</v>
      </c>
      <c r="D1002">
        <v>79.970642089999998</v>
      </c>
      <c r="E1002">
        <v>40</v>
      </c>
      <c r="F1002">
        <v>39.551712035999998</v>
      </c>
      <c r="G1002">
        <v>1341.5725098</v>
      </c>
      <c r="H1002">
        <v>1338.4589844</v>
      </c>
      <c r="I1002">
        <v>1324.7335204999999</v>
      </c>
      <c r="J1002">
        <v>1322.2352295000001</v>
      </c>
      <c r="K1002">
        <v>2750</v>
      </c>
      <c r="L1002">
        <v>0</v>
      </c>
      <c r="M1002">
        <v>0</v>
      </c>
      <c r="N1002">
        <v>2750</v>
      </c>
    </row>
    <row r="1003" spans="1:14" x14ac:dyDescent="0.25">
      <c r="A1003">
        <v>370.20961999999997</v>
      </c>
      <c r="B1003" s="1">
        <f>DATE(2011,5,6) + TIME(5,1,51)</f>
        <v>40669.209618055553</v>
      </c>
      <c r="C1003">
        <v>80</v>
      </c>
      <c r="D1003">
        <v>79.970649718999994</v>
      </c>
      <c r="E1003">
        <v>40</v>
      </c>
      <c r="F1003">
        <v>39.542335510000001</v>
      </c>
      <c r="G1003">
        <v>1341.5644531</v>
      </c>
      <c r="H1003">
        <v>1338.4552002</v>
      </c>
      <c r="I1003">
        <v>1324.7330322</v>
      </c>
      <c r="J1003">
        <v>1322.2346190999999</v>
      </c>
      <c r="K1003">
        <v>2750</v>
      </c>
      <c r="L1003">
        <v>0</v>
      </c>
      <c r="M1003">
        <v>0</v>
      </c>
      <c r="N1003">
        <v>2750</v>
      </c>
    </row>
    <row r="1004" spans="1:14" x14ac:dyDescent="0.25">
      <c r="A1004">
        <v>370.34486399999997</v>
      </c>
      <c r="B1004" s="1">
        <f>DATE(2011,5,6) + TIME(8,16,36)</f>
        <v>40669.344861111109</v>
      </c>
      <c r="C1004">
        <v>80</v>
      </c>
      <c r="D1004">
        <v>79.970649718999994</v>
      </c>
      <c r="E1004">
        <v>40</v>
      </c>
      <c r="F1004">
        <v>39.532859801999997</v>
      </c>
      <c r="G1004">
        <v>1341.5561522999999</v>
      </c>
      <c r="H1004">
        <v>1338.4514160000001</v>
      </c>
      <c r="I1004">
        <v>1324.7325439000001</v>
      </c>
      <c r="J1004">
        <v>1322.2340088000001</v>
      </c>
      <c r="K1004">
        <v>2750</v>
      </c>
      <c r="L1004">
        <v>0</v>
      </c>
      <c r="M1004">
        <v>0</v>
      </c>
      <c r="N1004">
        <v>2750</v>
      </c>
    </row>
    <row r="1005" spans="1:14" x14ac:dyDescent="0.25">
      <c r="A1005">
        <v>370.482347</v>
      </c>
      <c r="B1005" s="1">
        <f>DATE(2011,5,6) + TIME(11,34,34)</f>
        <v>40669.48233796296</v>
      </c>
      <c r="C1005">
        <v>80</v>
      </c>
      <c r="D1005">
        <v>79.970642089999998</v>
      </c>
      <c r="E1005">
        <v>40</v>
      </c>
      <c r="F1005">
        <v>39.523265838999997</v>
      </c>
      <c r="G1005">
        <v>1341.5478516000001</v>
      </c>
      <c r="H1005">
        <v>1338.4475098</v>
      </c>
      <c r="I1005">
        <v>1324.7320557</v>
      </c>
      <c r="J1005">
        <v>1322.2333983999999</v>
      </c>
      <c r="K1005">
        <v>2750</v>
      </c>
      <c r="L1005">
        <v>0</v>
      </c>
      <c r="M1005">
        <v>0</v>
      </c>
      <c r="N1005">
        <v>2750</v>
      </c>
    </row>
    <row r="1006" spans="1:14" x14ac:dyDescent="0.25">
      <c r="A1006">
        <v>370.62235500000003</v>
      </c>
      <c r="B1006" s="1">
        <f>DATE(2011,5,6) + TIME(14,56,11)</f>
        <v>40669.622349537036</v>
      </c>
      <c r="C1006">
        <v>80</v>
      </c>
      <c r="D1006">
        <v>79.970634459999999</v>
      </c>
      <c r="E1006">
        <v>40</v>
      </c>
      <c r="F1006">
        <v>39.513545989999997</v>
      </c>
      <c r="G1006">
        <v>1341.5394286999999</v>
      </c>
      <c r="H1006">
        <v>1338.4434814000001</v>
      </c>
      <c r="I1006">
        <v>1324.7315673999999</v>
      </c>
      <c r="J1006">
        <v>1322.2326660000001</v>
      </c>
      <c r="K1006">
        <v>2750</v>
      </c>
      <c r="L1006">
        <v>0</v>
      </c>
      <c r="M1006">
        <v>0</v>
      </c>
      <c r="N1006">
        <v>2750</v>
      </c>
    </row>
    <row r="1007" spans="1:14" x14ac:dyDescent="0.25">
      <c r="A1007">
        <v>370.76519200000001</v>
      </c>
      <c r="B1007" s="1">
        <f>DATE(2011,5,6) + TIME(18,21,52)</f>
        <v>40669.765185185184</v>
      </c>
      <c r="C1007">
        <v>80</v>
      </c>
      <c r="D1007">
        <v>79.970619201999995</v>
      </c>
      <c r="E1007">
        <v>40</v>
      </c>
      <c r="F1007">
        <v>39.503677367999998</v>
      </c>
      <c r="G1007">
        <v>1341.5307617000001</v>
      </c>
      <c r="H1007">
        <v>1338.4395752</v>
      </c>
      <c r="I1007">
        <v>1324.730957</v>
      </c>
      <c r="J1007">
        <v>1322.2320557</v>
      </c>
      <c r="K1007">
        <v>2750</v>
      </c>
      <c r="L1007">
        <v>0</v>
      </c>
      <c r="M1007">
        <v>0</v>
      </c>
      <c r="N1007">
        <v>2750</v>
      </c>
    </row>
    <row r="1008" spans="1:14" x14ac:dyDescent="0.25">
      <c r="A1008">
        <v>370.91118599999999</v>
      </c>
      <c r="B1008" s="1">
        <f>DATE(2011,5,6) + TIME(21,52,6)</f>
        <v>40669.911180555559</v>
      </c>
      <c r="C1008">
        <v>80</v>
      </c>
      <c r="D1008">
        <v>79.970596313000001</v>
      </c>
      <c r="E1008">
        <v>40</v>
      </c>
      <c r="F1008">
        <v>39.493640900000003</v>
      </c>
      <c r="G1008">
        <v>1341.5220947</v>
      </c>
      <c r="H1008">
        <v>1338.4354248</v>
      </c>
      <c r="I1008">
        <v>1324.7304687999999</v>
      </c>
      <c r="J1008">
        <v>1322.2313231999999</v>
      </c>
      <c r="K1008">
        <v>2750</v>
      </c>
      <c r="L1008">
        <v>0</v>
      </c>
      <c r="M1008">
        <v>0</v>
      </c>
      <c r="N1008">
        <v>2750</v>
      </c>
    </row>
    <row r="1009" spans="1:14" x14ac:dyDescent="0.25">
      <c r="A1009">
        <v>371.06069300000001</v>
      </c>
      <c r="B1009" s="1">
        <f>DATE(2011,5,7) + TIME(1,27,23)</f>
        <v>40670.060682870368</v>
      </c>
      <c r="C1009">
        <v>80</v>
      </c>
      <c r="D1009">
        <v>79.970573424999998</v>
      </c>
      <c r="E1009">
        <v>40</v>
      </c>
      <c r="F1009">
        <v>39.483417510999999</v>
      </c>
      <c r="G1009">
        <v>1341.5131836</v>
      </c>
      <c r="H1009">
        <v>1338.4313964999999</v>
      </c>
      <c r="I1009">
        <v>1324.7299805</v>
      </c>
      <c r="J1009">
        <v>1322.2305908000001</v>
      </c>
      <c r="K1009">
        <v>2750</v>
      </c>
      <c r="L1009">
        <v>0</v>
      </c>
      <c r="M1009">
        <v>0</v>
      </c>
      <c r="N1009">
        <v>2750</v>
      </c>
    </row>
    <row r="1010" spans="1:14" x14ac:dyDescent="0.25">
      <c r="A1010">
        <v>371.21439600000002</v>
      </c>
      <c r="B1010" s="1">
        <f>DATE(2011,5,7) + TIME(5,8,43)</f>
        <v>40670.214386574073</v>
      </c>
      <c r="C1010">
        <v>80</v>
      </c>
      <c r="D1010">
        <v>79.970542907999999</v>
      </c>
      <c r="E1010">
        <v>40</v>
      </c>
      <c r="F1010">
        <v>39.47297287</v>
      </c>
      <c r="G1010">
        <v>1341.5042725000001</v>
      </c>
      <c r="H1010">
        <v>1338.427124</v>
      </c>
      <c r="I1010">
        <v>1324.7293701000001</v>
      </c>
      <c r="J1010">
        <v>1322.2298584</v>
      </c>
      <c r="K1010">
        <v>2750</v>
      </c>
      <c r="L1010">
        <v>0</v>
      </c>
      <c r="M1010">
        <v>0</v>
      </c>
      <c r="N1010">
        <v>2750</v>
      </c>
    </row>
    <row r="1011" spans="1:14" x14ac:dyDescent="0.25">
      <c r="A1011">
        <v>371.372972</v>
      </c>
      <c r="B1011" s="1">
        <f>DATE(2011,5,7) + TIME(8,57,4)</f>
        <v>40670.37296296296</v>
      </c>
      <c r="C1011">
        <v>80</v>
      </c>
      <c r="D1011">
        <v>79.970512389999996</v>
      </c>
      <c r="E1011">
        <v>40</v>
      </c>
      <c r="F1011">
        <v>39.4622612</v>
      </c>
      <c r="G1011">
        <v>1341.4951172000001</v>
      </c>
      <c r="H1011">
        <v>1338.4229736</v>
      </c>
      <c r="I1011">
        <v>1324.7287598</v>
      </c>
      <c r="J1011">
        <v>1322.229126</v>
      </c>
      <c r="K1011">
        <v>2750</v>
      </c>
      <c r="L1011">
        <v>0</v>
      </c>
      <c r="M1011">
        <v>0</v>
      </c>
      <c r="N1011">
        <v>2750</v>
      </c>
    </row>
    <row r="1012" spans="1:14" x14ac:dyDescent="0.25">
      <c r="A1012">
        <v>371.535574</v>
      </c>
      <c r="B1012" s="1">
        <f>DATE(2011,5,7) + TIME(12,51,13)</f>
        <v>40670.535567129627</v>
      </c>
      <c r="C1012">
        <v>80</v>
      </c>
      <c r="D1012">
        <v>79.970481872999997</v>
      </c>
      <c r="E1012">
        <v>40</v>
      </c>
      <c r="F1012">
        <v>39.451335907000001</v>
      </c>
      <c r="G1012">
        <v>1341.4857178</v>
      </c>
      <c r="H1012">
        <v>1338.4185791</v>
      </c>
      <c r="I1012">
        <v>1324.7281493999999</v>
      </c>
      <c r="J1012">
        <v>1322.2283935999999</v>
      </c>
      <c r="K1012">
        <v>2750</v>
      </c>
      <c r="L1012">
        <v>0</v>
      </c>
      <c r="M1012">
        <v>0</v>
      </c>
      <c r="N1012">
        <v>2750</v>
      </c>
    </row>
    <row r="1013" spans="1:14" x14ac:dyDescent="0.25">
      <c r="A1013">
        <v>371.70223199999998</v>
      </c>
      <c r="B1013" s="1">
        <f>DATE(2011,5,7) + TIME(16,51,12)</f>
        <v>40670.702222222222</v>
      </c>
      <c r="C1013">
        <v>80</v>
      </c>
      <c r="D1013">
        <v>79.970451354999994</v>
      </c>
      <c r="E1013">
        <v>40</v>
      </c>
      <c r="F1013">
        <v>39.440193176000001</v>
      </c>
      <c r="G1013">
        <v>1341.4761963000001</v>
      </c>
      <c r="H1013">
        <v>1338.4141846</v>
      </c>
      <c r="I1013">
        <v>1324.7275391000001</v>
      </c>
      <c r="J1013">
        <v>1322.2276611</v>
      </c>
      <c r="K1013">
        <v>2750</v>
      </c>
      <c r="L1013">
        <v>0</v>
      </c>
      <c r="M1013">
        <v>0</v>
      </c>
      <c r="N1013">
        <v>2750</v>
      </c>
    </row>
    <row r="1014" spans="1:14" x14ac:dyDescent="0.25">
      <c r="A1014">
        <v>371.87206400000002</v>
      </c>
      <c r="B1014" s="1">
        <f>DATE(2011,5,7) + TIME(20,55,46)</f>
        <v>40670.872060185182</v>
      </c>
      <c r="C1014">
        <v>80</v>
      </c>
      <c r="D1014">
        <v>79.970413207999997</v>
      </c>
      <c r="E1014">
        <v>40</v>
      </c>
      <c r="F1014">
        <v>39.428878783999998</v>
      </c>
      <c r="G1014">
        <v>1341.4665527</v>
      </c>
      <c r="H1014">
        <v>1338.4097899999999</v>
      </c>
      <c r="I1014">
        <v>1324.7269286999999</v>
      </c>
      <c r="J1014">
        <v>1322.2268065999999</v>
      </c>
      <c r="K1014">
        <v>2750</v>
      </c>
      <c r="L1014">
        <v>0</v>
      </c>
      <c r="M1014">
        <v>0</v>
      </c>
      <c r="N1014">
        <v>2750</v>
      </c>
    </row>
    <row r="1015" spans="1:14" x14ac:dyDescent="0.25">
      <c r="A1015">
        <v>372.04401999999999</v>
      </c>
      <c r="B1015" s="1">
        <f>DATE(2011,5,8) + TIME(1,3,23)</f>
        <v>40671.044016203705</v>
      </c>
      <c r="C1015">
        <v>80</v>
      </c>
      <c r="D1015">
        <v>79.970367432000003</v>
      </c>
      <c r="E1015">
        <v>40</v>
      </c>
      <c r="F1015">
        <v>39.417461394999997</v>
      </c>
      <c r="G1015">
        <v>1341.4569091999999</v>
      </c>
      <c r="H1015">
        <v>1338.4052733999999</v>
      </c>
      <c r="I1015">
        <v>1324.7263184000001</v>
      </c>
      <c r="J1015">
        <v>1322.2259521000001</v>
      </c>
      <c r="K1015">
        <v>2750</v>
      </c>
      <c r="L1015">
        <v>0</v>
      </c>
      <c r="M1015">
        <v>0</v>
      </c>
      <c r="N1015">
        <v>2750</v>
      </c>
    </row>
    <row r="1016" spans="1:14" x14ac:dyDescent="0.25">
      <c r="A1016">
        <v>372.21842900000001</v>
      </c>
      <c r="B1016" s="1">
        <f>DATE(2011,5,8) + TIME(5,14,32)</f>
        <v>40671.218425925923</v>
      </c>
      <c r="C1016">
        <v>80</v>
      </c>
      <c r="D1016">
        <v>79.970329285000005</v>
      </c>
      <c r="E1016">
        <v>40</v>
      </c>
      <c r="F1016">
        <v>39.405918120999999</v>
      </c>
      <c r="G1016">
        <v>1341.4472656</v>
      </c>
      <c r="H1016">
        <v>1338.4008789</v>
      </c>
      <c r="I1016">
        <v>1324.7257079999999</v>
      </c>
      <c r="J1016">
        <v>1322.2250977000001</v>
      </c>
      <c r="K1016">
        <v>2750</v>
      </c>
      <c r="L1016">
        <v>0</v>
      </c>
      <c r="M1016">
        <v>0</v>
      </c>
      <c r="N1016">
        <v>2750</v>
      </c>
    </row>
    <row r="1017" spans="1:14" x14ac:dyDescent="0.25">
      <c r="A1017">
        <v>372.39567299999999</v>
      </c>
      <c r="B1017" s="1">
        <f>DATE(2011,5,8) + TIME(9,29,46)</f>
        <v>40671.395671296297</v>
      </c>
      <c r="C1017">
        <v>80</v>
      </c>
      <c r="D1017">
        <v>79.970291137999993</v>
      </c>
      <c r="E1017">
        <v>40</v>
      </c>
      <c r="F1017">
        <v>39.394233704000001</v>
      </c>
      <c r="G1017">
        <v>1341.4375</v>
      </c>
      <c r="H1017">
        <v>1338.3964844</v>
      </c>
      <c r="I1017">
        <v>1324.7249756000001</v>
      </c>
      <c r="J1017">
        <v>1322.2242432</v>
      </c>
      <c r="K1017">
        <v>2750</v>
      </c>
      <c r="L1017">
        <v>0</v>
      </c>
      <c r="M1017">
        <v>0</v>
      </c>
      <c r="N1017">
        <v>2750</v>
      </c>
    </row>
    <row r="1018" spans="1:14" x14ac:dyDescent="0.25">
      <c r="A1018">
        <v>372.576008</v>
      </c>
      <c r="B1018" s="1">
        <f>DATE(2011,5,8) + TIME(13,49,27)</f>
        <v>40671.576006944444</v>
      </c>
      <c r="C1018">
        <v>80</v>
      </c>
      <c r="D1018">
        <v>79.970245360999996</v>
      </c>
      <c r="E1018">
        <v>40</v>
      </c>
      <c r="F1018">
        <v>39.382396698000001</v>
      </c>
      <c r="G1018">
        <v>1341.4278564000001</v>
      </c>
      <c r="H1018">
        <v>1338.3919678</v>
      </c>
      <c r="I1018">
        <v>1324.7243652</v>
      </c>
      <c r="J1018">
        <v>1322.2233887</v>
      </c>
      <c r="K1018">
        <v>2750</v>
      </c>
      <c r="L1018">
        <v>0</v>
      </c>
      <c r="M1018">
        <v>0</v>
      </c>
      <c r="N1018">
        <v>2750</v>
      </c>
    </row>
    <row r="1019" spans="1:14" x14ac:dyDescent="0.25">
      <c r="A1019">
        <v>372.759794</v>
      </c>
      <c r="B1019" s="1">
        <f>DATE(2011,5,8) + TIME(18,14,6)</f>
        <v>40671.759791666664</v>
      </c>
      <c r="C1019">
        <v>80</v>
      </c>
      <c r="D1019">
        <v>79.970199585000003</v>
      </c>
      <c r="E1019">
        <v>40</v>
      </c>
      <c r="F1019">
        <v>39.37039566</v>
      </c>
      <c r="G1019">
        <v>1341.4180908000001</v>
      </c>
      <c r="H1019">
        <v>1338.3875731999999</v>
      </c>
      <c r="I1019">
        <v>1324.7236327999999</v>
      </c>
      <c r="J1019">
        <v>1322.2225341999999</v>
      </c>
      <c r="K1019">
        <v>2750</v>
      </c>
      <c r="L1019">
        <v>0</v>
      </c>
      <c r="M1019">
        <v>0</v>
      </c>
      <c r="N1019">
        <v>2750</v>
      </c>
    </row>
    <row r="1020" spans="1:14" x14ac:dyDescent="0.25">
      <c r="A1020">
        <v>372.94741099999999</v>
      </c>
      <c r="B1020" s="1">
        <f>DATE(2011,5,8) + TIME(22,44,16)</f>
        <v>40671.94740740741</v>
      </c>
      <c r="C1020">
        <v>80</v>
      </c>
      <c r="D1020">
        <v>79.970153808999996</v>
      </c>
      <c r="E1020">
        <v>40</v>
      </c>
      <c r="F1020">
        <v>39.358200072999999</v>
      </c>
      <c r="G1020">
        <v>1341.4083252</v>
      </c>
      <c r="H1020">
        <v>1338.3830565999999</v>
      </c>
      <c r="I1020">
        <v>1324.7229004000001</v>
      </c>
      <c r="J1020">
        <v>1322.2216797000001</v>
      </c>
      <c r="K1020">
        <v>2750</v>
      </c>
      <c r="L1020">
        <v>0</v>
      </c>
      <c r="M1020">
        <v>0</v>
      </c>
      <c r="N1020">
        <v>2750</v>
      </c>
    </row>
    <row r="1021" spans="1:14" x14ac:dyDescent="0.25">
      <c r="A1021">
        <v>373.139276</v>
      </c>
      <c r="B1021" s="1">
        <f>DATE(2011,5,9) + TIME(3,20,33)</f>
        <v>40672.139270833337</v>
      </c>
      <c r="C1021">
        <v>80</v>
      </c>
      <c r="D1021">
        <v>79.970108031999999</v>
      </c>
      <c r="E1021">
        <v>40</v>
      </c>
      <c r="F1021">
        <v>39.345802307</v>
      </c>
      <c r="G1021">
        <v>1341.3984375</v>
      </c>
      <c r="H1021">
        <v>1338.3786620999999</v>
      </c>
      <c r="I1021">
        <v>1324.722168</v>
      </c>
      <c r="J1021">
        <v>1322.2207031</v>
      </c>
      <c r="K1021">
        <v>2750</v>
      </c>
      <c r="L1021">
        <v>0</v>
      </c>
      <c r="M1021">
        <v>0</v>
      </c>
      <c r="N1021">
        <v>2750</v>
      </c>
    </row>
    <row r="1022" spans="1:14" x14ac:dyDescent="0.25">
      <c r="A1022">
        <v>373.33584300000001</v>
      </c>
      <c r="B1022" s="1">
        <f>DATE(2011,5,9) + TIME(8,3,36)</f>
        <v>40672.335833333331</v>
      </c>
      <c r="C1022">
        <v>80</v>
      </c>
      <c r="D1022">
        <v>79.970062256000006</v>
      </c>
      <c r="E1022">
        <v>40</v>
      </c>
      <c r="F1022">
        <v>39.333168030000003</v>
      </c>
      <c r="G1022">
        <v>1341.3885498</v>
      </c>
      <c r="H1022">
        <v>1338.3741454999999</v>
      </c>
      <c r="I1022">
        <v>1324.7214355000001</v>
      </c>
      <c r="J1022">
        <v>1322.2197266000001</v>
      </c>
      <c r="K1022">
        <v>2750</v>
      </c>
      <c r="L1022">
        <v>0</v>
      </c>
      <c r="M1022">
        <v>0</v>
      </c>
      <c r="N1022">
        <v>2750</v>
      </c>
    </row>
    <row r="1023" spans="1:14" x14ac:dyDescent="0.25">
      <c r="A1023">
        <v>373.53563300000002</v>
      </c>
      <c r="B1023" s="1">
        <f>DATE(2011,5,9) + TIME(12,51,18)</f>
        <v>40672.535624999997</v>
      </c>
      <c r="C1023">
        <v>80</v>
      </c>
      <c r="D1023">
        <v>79.970016478999995</v>
      </c>
      <c r="E1023">
        <v>40</v>
      </c>
      <c r="F1023">
        <v>39.320377350000001</v>
      </c>
      <c r="G1023">
        <v>1341.3785399999999</v>
      </c>
      <c r="H1023">
        <v>1338.3695068</v>
      </c>
      <c r="I1023">
        <v>1324.7207031</v>
      </c>
      <c r="J1023">
        <v>1322.21875</v>
      </c>
      <c r="K1023">
        <v>2750</v>
      </c>
      <c r="L1023">
        <v>0</v>
      </c>
      <c r="M1023">
        <v>0</v>
      </c>
      <c r="N1023">
        <v>2750</v>
      </c>
    </row>
    <row r="1024" spans="1:14" x14ac:dyDescent="0.25">
      <c r="A1024">
        <v>373.73676</v>
      </c>
      <c r="B1024" s="1">
        <f>DATE(2011,5,9) + TIME(17,40,56)</f>
        <v>40672.736759259256</v>
      </c>
      <c r="C1024">
        <v>80</v>
      </c>
      <c r="D1024">
        <v>79.969963074000006</v>
      </c>
      <c r="E1024">
        <v>40</v>
      </c>
      <c r="F1024">
        <v>39.307529449</v>
      </c>
      <c r="G1024">
        <v>1341.3685303</v>
      </c>
      <c r="H1024">
        <v>1338.3649902</v>
      </c>
      <c r="I1024">
        <v>1324.7199707</v>
      </c>
      <c r="J1024">
        <v>1322.2177733999999</v>
      </c>
      <c r="K1024">
        <v>2750</v>
      </c>
      <c r="L1024">
        <v>0</v>
      </c>
      <c r="M1024">
        <v>0</v>
      </c>
      <c r="N1024">
        <v>2750</v>
      </c>
    </row>
    <row r="1025" spans="1:14" x14ac:dyDescent="0.25">
      <c r="A1025">
        <v>373.93964799999998</v>
      </c>
      <c r="B1025" s="1">
        <f>DATE(2011,5,9) + TIME(22,33,5)</f>
        <v>40672.939641203702</v>
      </c>
      <c r="C1025">
        <v>80</v>
      </c>
      <c r="D1025">
        <v>79.969917296999995</v>
      </c>
      <c r="E1025">
        <v>40</v>
      </c>
      <c r="F1025">
        <v>39.294612884999999</v>
      </c>
      <c r="G1025">
        <v>1341.3586425999999</v>
      </c>
      <c r="H1025">
        <v>1338.3605957</v>
      </c>
      <c r="I1025">
        <v>1324.7191161999999</v>
      </c>
      <c r="J1025">
        <v>1322.2167969</v>
      </c>
      <c r="K1025">
        <v>2750</v>
      </c>
      <c r="L1025">
        <v>0</v>
      </c>
      <c r="M1025">
        <v>0</v>
      </c>
      <c r="N1025">
        <v>2750</v>
      </c>
    </row>
    <row r="1026" spans="1:14" x14ac:dyDescent="0.25">
      <c r="A1026">
        <v>374.14475199999998</v>
      </c>
      <c r="B1026" s="1">
        <f>DATE(2011,5,10) + TIME(3,28,26)</f>
        <v>40673.144745370373</v>
      </c>
      <c r="C1026">
        <v>80</v>
      </c>
      <c r="D1026">
        <v>79.969871521000002</v>
      </c>
      <c r="E1026">
        <v>40</v>
      </c>
      <c r="F1026">
        <v>39.281604766999997</v>
      </c>
      <c r="G1026">
        <v>1341.3488769999999</v>
      </c>
      <c r="H1026">
        <v>1338.3562012</v>
      </c>
      <c r="I1026">
        <v>1324.7183838000001</v>
      </c>
      <c r="J1026">
        <v>1322.2158202999999</v>
      </c>
      <c r="K1026">
        <v>2750</v>
      </c>
      <c r="L1026">
        <v>0</v>
      </c>
      <c r="M1026">
        <v>0</v>
      </c>
      <c r="N1026">
        <v>2750</v>
      </c>
    </row>
    <row r="1027" spans="1:14" x14ac:dyDescent="0.25">
      <c r="A1027">
        <v>374.35251399999999</v>
      </c>
      <c r="B1027" s="1">
        <f>DATE(2011,5,10) + TIME(8,27,37)</f>
        <v>40673.352511574078</v>
      </c>
      <c r="C1027">
        <v>80</v>
      </c>
      <c r="D1027">
        <v>79.969818114999995</v>
      </c>
      <c r="E1027">
        <v>40</v>
      </c>
      <c r="F1027">
        <v>39.268486023000001</v>
      </c>
      <c r="G1027">
        <v>1341.3391113</v>
      </c>
      <c r="H1027">
        <v>1338.3518065999999</v>
      </c>
      <c r="I1027">
        <v>1324.7175293</v>
      </c>
      <c r="J1027">
        <v>1322.2147216999999</v>
      </c>
      <c r="K1027">
        <v>2750</v>
      </c>
      <c r="L1027">
        <v>0</v>
      </c>
      <c r="M1027">
        <v>0</v>
      </c>
      <c r="N1027">
        <v>2750</v>
      </c>
    </row>
    <row r="1028" spans="1:14" x14ac:dyDescent="0.25">
      <c r="A1028">
        <v>374.56332099999997</v>
      </c>
      <c r="B1028" s="1">
        <f>DATE(2011,5,10) + TIME(13,31,10)</f>
        <v>40673.563310185185</v>
      </c>
      <c r="C1028">
        <v>80</v>
      </c>
      <c r="D1028">
        <v>79.969772339000002</v>
      </c>
      <c r="E1028">
        <v>40</v>
      </c>
      <c r="F1028">
        <v>39.255237579000003</v>
      </c>
      <c r="G1028">
        <v>1341.3293457</v>
      </c>
      <c r="H1028">
        <v>1338.3474120999999</v>
      </c>
      <c r="I1028">
        <v>1324.7166748</v>
      </c>
      <c r="J1028">
        <v>1322.2137451000001</v>
      </c>
      <c r="K1028">
        <v>2750</v>
      </c>
      <c r="L1028">
        <v>0</v>
      </c>
      <c r="M1028">
        <v>0</v>
      </c>
      <c r="N1028">
        <v>2750</v>
      </c>
    </row>
    <row r="1029" spans="1:14" x14ac:dyDescent="0.25">
      <c r="A1029">
        <v>374.77763399999998</v>
      </c>
      <c r="B1029" s="1">
        <f>DATE(2011,5,10) + TIME(18,39,47)</f>
        <v>40673.777627314812</v>
      </c>
      <c r="C1029">
        <v>80</v>
      </c>
      <c r="D1029">
        <v>79.969726562000005</v>
      </c>
      <c r="E1029">
        <v>40</v>
      </c>
      <c r="F1029">
        <v>39.241844176999997</v>
      </c>
      <c r="G1029">
        <v>1341.3197021000001</v>
      </c>
      <c r="H1029">
        <v>1338.3431396000001</v>
      </c>
      <c r="I1029">
        <v>1324.7159423999999</v>
      </c>
      <c r="J1029">
        <v>1322.2126464999999</v>
      </c>
      <c r="K1029">
        <v>2750</v>
      </c>
      <c r="L1029">
        <v>0</v>
      </c>
      <c r="M1029">
        <v>0</v>
      </c>
      <c r="N1029">
        <v>2750</v>
      </c>
    </row>
    <row r="1030" spans="1:14" x14ac:dyDescent="0.25">
      <c r="A1030">
        <v>374.99594100000002</v>
      </c>
      <c r="B1030" s="1">
        <f>DATE(2011,5,10) + TIME(23,54,9)</f>
        <v>40673.995937500003</v>
      </c>
      <c r="C1030">
        <v>80</v>
      </c>
      <c r="D1030">
        <v>79.969673157000003</v>
      </c>
      <c r="E1030">
        <v>40</v>
      </c>
      <c r="F1030">
        <v>39.228279114000003</v>
      </c>
      <c r="G1030">
        <v>1341.3100586</v>
      </c>
      <c r="H1030">
        <v>1338.3387451000001</v>
      </c>
      <c r="I1030">
        <v>1324.7150879000001</v>
      </c>
      <c r="J1030">
        <v>1322.2115478999999</v>
      </c>
      <c r="K1030">
        <v>2750</v>
      </c>
      <c r="L1030">
        <v>0</v>
      </c>
      <c r="M1030">
        <v>0</v>
      </c>
      <c r="N1030">
        <v>2750</v>
      </c>
    </row>
    <row r="1031" spans="1:14" x14ac:dyDescent="0.25">
      <c r="A1031">
        <v>375.21939900000001</v>
      </c>
      <c r="B1031" s="1">
        <f>DATE(2011,5,11) + TIME(5,15,56)</f>
        <v>40674.219398148147</v>
      </c>
      <c r="C1031">
        <v>80</v>
      </c>
      <c r="D1031">
        <v>79.969627380000006</v>
      </c>
      <c r="E1031">
        <v>40</v>
      </c>
      <c r="F1031">
        <v>39.214488983000003</v>
      </c>
      <c r="G1031">
        <v>1341.300293</v>
      </c>
      <c r="H1031">
        <v>1338.3344727000001</v>
      </c>
      <c r="I1031">
        <v>1324.7142334</v>
      </c>
      <c r="J1031">
        <v>1322.2104492000001</v>
      </c>
      <c r="K1031">
        <v>2750</v>
      </c>
      <c r="L1031">
        <v>0</v>
      </c>
      <c r="M1031">
        <v>0</v>
      </c>
      <c r="N1031">
        <v>2750</v>
      </c>
    </row>
    <row r="1032" spans="1:14" x14ac:dyDescent="0.25">
      <c r="A1032">
        <v>375.44905199999999</v>
      </c>
      <c r="B1032" s="1">
        <f>DATE(2011,5,11) + TIME(10,46,38)</f>
        <v>40674.449050925927</v>
      </c>
      <c r="C1032">
        <v>80</v>
      </c>
      <c r="D1032">
        <v>79.969573975000003</v>
      </c>
      <c r="E1032">
        <v>40</v>
      </c>
      <c r="F1032">
        <v>39.200416564999998</v>
      </c>
      <c r="G1032">
        <v>1341.2905272999999</v>
      </c>
      <c r="H1032">
        <v>1338.3302002</v>
      </c>
      <c r="I1032">
        <v>1324.7132568</v>
      </c>
      <c r="J1032">
        <v>1322.2093506000001</v>
      </c>
      <c r="K1032">
        <v>2750</v>
      </c>
      <c r="L1032">
        <v>0</v>
      </c>
      <c r="M1032">
        <v>0</v>
      </c>
      <c r="N1032">
        <v>2750</v>
      </c>
    </row>
    <row r="1033" spans="1:14" x14ac:dyDescent="0.25">
      <c r="A1033">
        <v>375.68568599999998</v>
      </c>
      <c r="B1033" s="1">
        <f>DATE(2011,5,11) + TIME(16,27,23)</f>
        <v>40674.685682870368</v>
      </c>
      <c r="C1033">
        <v>80</v>
      </c>
      <c r="D1033">
        <v>79.969520568999997</v>
      </c>
      <c r="E1033">
        <v>40</v>
      </c>
      <c r="F1033">
        <v>39.186023712000001</v>
      </c>
      <c r="G1033">
        <v>1341.2807617000001</v>
      </c>
      <c r="H1033">
        <v>1338.3258057</v>
      </c>
      <c r="I1033">
        <v>1324.7124022999999</v>
      </c>
      <c r="J1033">
        <v>1322.2081298999999</v>
      </c>
      <c r="K1033">
        <v>2750</v>
      </c>
      <c r="L1033">
        <v>0</v>
      </c>
      <c r="M1033">
        <v>0</v>
      </c>
      <c r="N1033">
        <v>2750</v>
      </c>
    </row>
    <row r="1034" spans="1:14" x14ac:dyDescent="0.25">
      <c r="A1034">
        <v>375.929418</v>
      </c>
      <c r="B1034" s="1">
        <f>DATE(2011,5,11) + TIME(22,18,21)</f>
        <v>40674.929409722223</v>
      </c>
      <c r="C1034">
        <v>80</v>
      </c>
      <c r="D1034">
        <v>79.969474792</v>
      </c>
      <c r="E1034">
        <v>40</v>
      </c>
      <c r="F1034">
        <v>39.171302795000003</v>
      </c>
      <c r="G1034">
        <v>1341.2707519999999</v>
      </c>
      <c r="H1034">
        <v>1338.3215332</v>
      </c>
      <c r="I1034">
        <v>1324.7114257999999</v>
      </c>
      <c r="J1034">
        <v>1322.2069091999999</v>
      </c>
      <c r="K1034">
        <v>2750</v>
      </c>
      <c r="L1034">
        <v>0</v>
      </c>
      <c r="M1034">
        <v>0</v>
      </c>
      <c r="N1034">
        <v>2750</v>
      </c>
    </row>
    <row r="1035" spans="1:14" x14ac:dyDescent="0.25">
      <c r="A1035">
        <v>376.17699099999999</v>
      </c>
      <c r="B1035" s="1">
        <f>DATE(2011,5,12) + TIME(4,14,52)</f>
        <v>40675.176990740743</v>
      </c>
      <c r="C1035">
        <v>80</v>
      </c>
      <c r="D1035">
        <v>79.969421386999997</v>
      </c>
      <c r="E1035">
        <v>40</v>
      </c>
      <c r="F1035">
        <v>39.156402587999999</v>
      </c>
      <c r="G1035">
        <v>1341.2606201000001</v>
      </c>
      <c r="H1035">
        <v>1338.3170166</v>
      </c>
      <c r="I1035">
        <v>1324.7104492000001</v>
      </c>
      <c r="J1035">
        <v>1322.2056885</v>
      </c>
      <c r="K1035">
        <v>2750</v>
      </c>
      <c r="L1035">
        <v>0</v>
      </c>
      <c r="M1035">
        <v>0</v>
      </c>
      <c r="N1035">
        <v>2750</v>
      </c>
    </row>
    <row r="1036" spans="1:14" x14ac:dyDescent="0.25">
      <c r="A1036">
        <v>376.42900200000003</v>
      </c>
      <c r="B1036" s="1">
        <f>DATE(2011,5,12) + TIME(10,17,45)</f>
        <v>40675.428993055553</v>
      </c>
      <c r="C1036">
        <v>80</v>
      </c>
      <c r="D1036">
        <v>79.969367981000005</v>
      </c>
      <c r="E1036">
        <v>40</v>
      </c>
      <c r="F1036">
        <v>39.141300201</v>
      </c>
      <c r="G1036">
        <v>1341.2506103999999</v>
      </c>
      <c r="H1036">
        <v>1338.3127440999999</v>
      </c>
      <c r="I1036">
        <v>1324.7094727000001</v>
      </c>
      <c r="J1036">
        <v>1322.2043457</v>
      </c>
      <c r="K1036">
        <v>2750</v>
      </c>
      <c r="L1036">
        <v>0</v>
      </c>
      <c r="M1036">
        <v>0</v>
      </c>
      <c r="N1036">
        <v>2750</v>
      </c>
    </row>
    <row r="1037" spans="1:14" x14ac:dyDescent="0.25">
      <c r="A1037">
        <v>376.685407</v>
      </c>
      <c r="B1037" s="1">
        <f>DATE(2011,5,12) + TIME(16,26,59)</f>
        <v>40675.68540509259</v>
      </c>
      <c r="C1037">
        <v>80</v>
      </c>
      <c r="D1037">
        <v>79.969314574999999</v>
      </c>
      <c r="E1037">
        <v>40</v>
      </c>
      <c r="F1037">
        <v>39.125999450999998</v>
      </c>
      <c r="G1037">
        <v>1341.2406006000001</v>
      </c>
      <c r="H1037">
        <v>1338.3083495999999</v>
      </c>
      <c r="I1037">
        <v>1324.708374</v>
      </c>
      <c r="J1037">
        <v>1322.2030029</v>
      </c>
      <c r="K1037">
        <v>2750</v>
      </c>
      <c r="L1037">
        <v>0</v>
      </c>
      <c r="M1037">
        <v>0</v>
      </c>
      <c r="N1037">
        <v>2750</v>
      </c>
    </row>
    <row r="1038" spans="1:14" x14ac:dyDescent="0.25">
      <c r="A1038">
        <v>376.94360699999999</v>
      </c>
      <c r="B1038" s="1">
        <f>DATE(2011,5,12) + TIME(22,38,47)</f>
        <v>40675.943599537037</v>
      </c>
      <c r="C1038">
        <v>80</v>
      </c>
      <c r="D1038">
        <v>79.969261169000006</v>
      </c>
      <c r="E1038">
        <v>40</v>
      </c>
      <c r="F1038">
        <v>39.110630035</v>
      </c>
      <c r="G1038">
        <v>1341.2305908000001</v>
      </c>
      <c r="H1038">
        <v>1338.3039550999999</v>
      </c>
      <c r="I1038">
        <v>1324.7073975000001</v>
      </c>
      <c r="J1038">
        <v>1322.2016602000001</v>
      </c>
      <c r="K1038">
        <v>2750</v>
      </c>
      <c r="L1038">
        <v>0</v>
      </c>
      <c r="M1038">
        <v>0</v>
      </c>
      <c r="N1038">
        <v>2750</v>
      </c>
    </row>
    <row r="1039" spans="1:14" x14ac:dyDescent="0.25">
      <c r="A1039">
        <v>377.20409999999998</v>
      </c>
      <c r="B1039" s="1">
        <f>DATE(2011,5,13) + TIME(4,53,54)</f>
        <v>40676.204097222224</v>
      </c>
      <c r="C1039">
        <v>80</v>
      </c>
      <c r="D1039">
        <v>79.969207764000004</v>
      </c>
      <c r="E1039">
        <v>40</v>
      </c>
      <c r="F1039">
        <v>39.095172882</v>
      </c>
      <c r="G1039">
        <v>1341.2207031</v>
      </c>
      <c r="H1039">
        <v>1338.2996826000001</v>
      </c>
      <c r="I1039">
        <v>1324.7062988</v>
      </c>
      <c r="J1039">
        <v>1322.2003173999999</v>
      </c>
      <c r="K1039">
        <v>2750</v>
      </c>
      <c r="L1039">
        <v>0</v>
      </c>
      <c r="M1039">
        <v>0</v>
      </c>
      <c r="N1039">
        <v>2750</v>
      </c>
    </row>
    <row r="1040" spans="1:14" x14ac:dyDescent="0.25">
      <c r="A1040">
        <v>377.46738199999999</v>
      </c>
      <c r="B1040" s="1">
        <f>DATE(2011,5,13) + TIME(11,13,1)</f>
        <v>40676.467372685183</v>
      </c>
      <c r="C1040">
        <v>80</v>
      </c>
      <c r="D1040">
        <v>79.969161987000007</v>
      </c>
      <c r="E1040">
        <v>40</v>
      </c>
      <c r="F1040">
        <v>39.079624176000003</v>
      </c>
      <c r="G1040">
        <v>1341.2109375</v>
      </c>
      <c r="H1040">
        <v>1338.2954102000001</v>
      </c>
      <c r="I1040">
        <v>1324.7052002</v>
      </c>
      <c r="J1040">
        <v>1322.1989745999999</v>
      </c>
      <c r="K1040">
        <v>2750</v>
      </c>
      <c r="L1040">
        <v>0</v>
      </c>
      <c r="M1040">
        <v>0</v>
      </c>
      <c r="N1040">
        <v>2750</v>
      </c>
    </row>
    <row r="1041" spans="1:14" x14ac:dyDescent="0.25">
      <c r="A1041">
        <v>377.73396000000002</v>
      </c>
      <c r="B1041" s="1">
        <f>DATE(2011,5,13) + TIME(17,36,54)</f>
        <v>40676.733958333331</v>
      </c>
      <c r="C1041">
        <v>80</v>
      </c>
      <c r="D1041">
        <v>79.969108582000004</v>
      </c>
      <c r="E1041">
        <v>40</v>
      </c>
      <c r="F1041">
        <v>39.063957213999998</v>
      </c>
      <c r="G1041">
        <v>1341.2011719</v>
      </c>
      <c r="H1041">
        <v>1338.2912598</v>
      </c>
      <c r="I1041">
        <v>1324.7041016000001</v>
      </c>
      <c r="J1041">
        <v>1322.1976318</v>
      </c>
      <c r="K1041">
        <v>2750</v>
      </c>
      <c r="L1041">
        <v>0</v>
      </c>
      <c r="M1041">
        <v>0</v>
      </c>
      <c r="N1041">
        <v>2750</v>
      </c>
    </row>
    <row r="1042" spans="1:14" x14ac:dyDescent="0.25">
      <c r="A1042">
        <v>378.00448</v>
      </c>
      <c r="B1042" s="1">
        <f>DATE(2011,5,14) + TIME(0,6,27)</f>
        <v>40677.004479166666</v>
      </c>
      <c r="C1042">
        <v>80</v>
      </c>
      <c r="D1042">
        <v>79.969055175999998</v>
      </c>
      <c r="E1042">
        <v>40</v>
      </c>
      <c r="F1042">
        <v>39.048149109000001</v>
      </c>
      <c r="G1042">
        <v>1341.1915283000001</v>
      </c>
      <c r="H1042">
        <v>1338.2871094</v>
      </c>
      <c r="I1042">
        <v>1324.7030029</v>
      </c>
      <c r="J1042">
        <v>1322.1961670000001</v>
      </c>
      <c r="K1042">
        <v>2750</v>
      </c>
      <c r="L1042">
        <v>0</v>
      </c>
      <c r="M1042">
        <v>0</v>
      </c>
      <c r="N1042">
        <v>2750</v>
      </c>
    </row>
    <row r="1043" spans="1:14" x14ac:dyDescent="0.25">
      <c r="A1043">
        <v>378.279382</v>
      </c>
      <c r="B1043" s="1">
        <f>DATE(2011,5,14) + TIME(6,42,18)</f>
        <v>40677.279374999998</v>
      </c>
      <c r="C1043">
        <v>80</v>
      </c>
      <c r="D1043">
        <v>79.969001770000006</v>
      </c>
      <c r="E1043">
        <v>40</v>
      </c>
      <c r="F1043">
        <v>39.032188415999997</v>
      </c>
      <c r="G1043">
        <v>1341.1820068</v>
      </c>
      <c r="H1043">
        <v>1338.2829589999999</v>
      </c>
      <c r="I1043">
        <v>1324.7019043</v>
      </c>
      <c r="J1043">
        <v>1322.1947021000001</v>
      </c>
      <c r="K1043">
        <v>2750</v>
      </c>
      <c r="L1043">
        <v>0</v>
      </c>
      <c r="M1043">
        <v>0</v>
      </c>
      <c r="N1043">
        <v>2750</v>
      </c>
    </row>
    <row r="1044" spans="1:14" x14ac:dyDescent="0.25">
      <c r="A1044">
        <v>378.55926099999999</v>
      </c>
      <c r="B1044" s="1">
        <f>DATE(2011,5,14) + TIME(13,25,20)</f>
        <v>40677.559259259258</v>
      </c>
      <c r="C1044">
        <v>80</v>
      </c>
      <c r="D1044">
        <v>79.968955993999998</v>
      </c>
      <c r="E1044">
        <v>40</v>
      </c>
      <c r="F1044">
        <v>39.016036987</v>
      </c>
      <c r="G1044">
        <v>1341.1723632999999</v>
      </c>
      <c r="H1044">
        <v>1338.2788086</v>
      </c>
      <c r="I1044">
        <v>1324.7008057</v>
      </c>
      <c r="J1044">
        <v>1322.1932373</v>
      </c>
      <c r="K1044">
        <v>2750</v>
      </c>
      <c r="L1044">
        <v>0</v>
      </c>
      <c r="M1044">
        <v>0</v>
      </c>
      <c r="N1044">
        <v>2750</v>
      </c>
    </row>
    <row r="1045" spans="1:14" x14ac:dyDescent="0.25">
      <c r="A1045">
        <v>378.84124700000001</v>
      </c>
      <c r="B1045" s="1">
        <f>DATE(2011,5,14) + TIME(20,11,23)</f>
        <v>40677.841238425928</v>
      </c>
      <c r="C1045">
        <v>80</v>
      </c>
      <c r="D1045">
        <v>79.968902588000006</v>
      </c>
      <c r="E1045">
        <v>40</v>
      </c>
      <c r="F1045">
        <v>38.999828338999997</v>
      </c>
      <c r="G1045">
        <v>1341.1628418</v>
      </c>
      <c r="H1045">
        <v>1338.2747803</v>
      </c>
      <c r="I1045">
        <v>1324.6995850000001</v>
      </c>
      <c r="J1045">
        <v>1322.1916504000001</v>
      </c>
      <c r="K1045">
        <v>2750</v>
      </c>
      <c r="L1045">
        <v>0</v>
      </c>
      <c r="M1045">
        <v>0</v>
      </c>
      <c r="N1045">
        <v>2750</v>
      </c>
    </row>
    <row r="1046" spans="1:14" x14ac:dyDescent="0.25">
      <c r="A1046">
        <v>379.125878</v>
      </c>
      <c r="B1046" s="1">
        <f>DATE(2011,5,15) + TIME(3,1,15)</f>
        <v>40678.125868055555</v>
      </c>
      <c r="C1046">
        <v>80</v>
      </c>
      <c r="D1046">
        <v>79.968856811999999</v>
      </c>
      <c r="E1046">
        <v>40</v>
      </c>
      <c r="F1046">
        <v>38.983535766999999</v>
      </c>
      <c r="G1046">
        <v>1341.1534423999999</v>
      </c>
      <c r="H1046">
        <v>1338.2706298999999</v>
      </c>
      <c r="I1046">
        <v>1324.6983643000001</v>
      </c>
      <c r="J1046">
        <v>1322.1901855000001</v>
      </c>
      <c r="K1046">
        <v>2750</v>
      </c>
      <c r="L1046">
        <v>0</v>
      </c>
      <c r="M1046">
        <v>0</v>
      </c>
      <c r="N1046">
        <v>2750</v>
      </c>
    </row>
    <row r="1047" spans="1:14" x14ac:dyDescent="0.25">
      <c r="A1047">
        <v>379.41385300000002</v>
      </c>
      <c r="B1047" s="1">
        <f>DATE(2011,5,15) + TIME(9,55,56)</f>
        <v>40678.413842592592</v>
      </c>
      <c r="C1047">
        <v>80</v>
      </c>
      <c r="D1047">
        <v>79.968803406000006</v>
      </c>
      <c r="E1047">
        <v>40</v>
      </c>
      <c r="F1047">
        <v>38.967147826999998</v>
      </c>
      <c r="G1047">
        <v>1341.144043</v>
      </c>
      <c r="H1047">
        <v>1338.2667236</v>
      </c>
      <c r="I1047">
        <v>1324.6971435999999</v>
      </c>
      <c r="J1047">
        <v>1322.1885986</v>
      </c>
      <c r="K1047">
        <v>2750</v>
      </c>
      <c r="L1047">
        <v>0</v>
      </c>
      <c r="M1047">
        <v>0</v>
      </c>
      <c r="N1047">
        <v>2750</v>
      </c>
    </row>
    <row r="1048" spans="1:14" x14ac:dyDescent="0.25">
      <c r="A1048">
        <v>379.70575100000002</v>
      </c>
      <c r="B1048" s="1">
        <f>DATE(2011,5,15) + TIME(16,56,16)</f>
        <v>40678.705740740741</v>
      </c>
      <c r="C1048">
        <v>80</v>
      </c>
      <c r="D1048">
        <v>79.96875</v>
      </c>
      <c r="E1048">
        <v>40</v>
      </c>
      <c r="F1048">
        <v>38.950634002999998</v>
      </c>
      <c r="G1048">
        <v>1341.1347656</v>
      </c>
      <c r="H1048">
        <v>1338.2626952999999</v>
      </c>
      <c r="I1048">
        <v>1324.6959228999999</v>
      </c>
      <c r="J1048">
        <v>1322.1870117000001</v>
      </c>
      <c r="K1048">
        <v>2750</v>
      </c>
      <c r="L1048">
        <v>0</v>
      </c>
      <c r="M1048">
        <v>0</v>
      </c>
      <c r="N1048">
        <v>2750</v>
      </c>
    </row>
    <row r="1049" spans="1:14" x14ac:dyDescent="0.25">
      <c r="A1049">
        <v>380.00226099999998</v>
      </c>
      <c r="B1049" s="1">
        <f>DATE(2011,5,16) + TIME(0,3,15)</f>
        <v>40679.002256944441</v>
      </c>
      <c r="C1049">
        <v>80</v>
      </c>
      <c r="D1049">
        <v>79.968704224000007</v>
      </c>
      <c r="E1049">
        <v>40</v>
      </c>
      <c r="F1049">
        <v>38.933967590000002</v>
      </c>
      <c r="G1049">
        <v>1341.1254882999999</v>
      </c>
      <c r="H1049">
        <v>1338.2587891000001</v>
      </c>
      <c r="I1049">
        <v>1324.6947021000001</v>
      </c>
      <c r="J1049">
        <v>1322.1854248</v>
      </c>
      <c r="K1049">
        <v>2750</v>
      </c>
      <c r="L1049">
        <v>0</v>
      </c>
      <c r="M1049">
        <v>0</v>
      </c>
      <c r="N1049">
        <v>2750</v>
      </c>
    </row>
    <row r="1050" spans="1:14" x14ac:dyDescent="0.25">
      <c r="A1050">
        <v>380.304845</v>
      </c>
      <c r="B1050" s="1">
        <f>DATE(2011,5,16) + TIME(7,18,58)</f>
        <v>40679.304837962962</v>
      </c>
      <c r="C1050">
        <v>80</v>
      </c>
      <c r="D1050">
        <v>79.968650818</v>
      </c>
      <c r="E1050">
        <v>40</v>
      </c>
      <c r="F1050">
        <v>38.917091370000001</v>
      </c>
      <c r="G1050">
        <v>1341.1163329999999</v>
      </c>
      <c r="H1050">
        <v>1338.2548827999999</v>
      </c>
      <c r="I1050">
        <v>1324.6933594</v>
      </c>
      <c r="J1050">
        <v>1322.1837158000001</v>
      </c>
      <c r="K1050">
        <v>2750</v>
      </c>
      <c r="L1050">
        <v>0</v>
      </c>
      <c r="M1050">
        <v>0</v>
      </c>
      <c r="N1050">
        <v>2750</v>
      </c>
    </row>
    <row r="1051" spans="1:14" x14ac:dyDescent="0.25">
      <c r="A1051">
        <v>380.615521</v>
      </c>
      <c r="B1051" s="1">
        <f>DATE(2011,5,16) + TIME(14,46,21)</f>
        <v>40679.615520833337</v>
      </c>
      <c r="C1051">
        <v>80</v>
      </c>
      <c r="D1051">
        <v>79.968605041999993</v>
      </c>
      <c r="E1051">
        <v>40</v>
      </c>
      <c r="F1051">
        <v>38.899917602999999</v>
      </c>
      <c r="G1051">
        <v>1341.1070557</v>
      </c>
      <c r="H1051">
        <v>1338.2509766000001</v>
      </c>
      <c r="I1051">
        <v>1324.6921387</v>
      </c>
      <c r="J1051">
        <v>1322.1820068</v>
      </c>
      <c r="K1051">
        <v>2750</v>
      </c>
      <c r="L1051">
        <v>0</v>
      </c>
      <c r="M1051">
        <v>0</v>
      </c>
      <c r="N1051">
        <v>2750</v>
      </c>
    </row>
    <row r="1052" spans="1:14" x14ac:dyDescent="0.25">
      <c r="A1052">
        <v>380.93550099999999</v>
      </c>
      <c r="B1052" s="1">
        <f>DATE(2011,5,16) + TIME(22,27,7)</f>
        <v>40679.935497685183</v>
      </c>
      <c r="C1052">
        <v>80</v>
      </c>
      <c r="D1052">
        <v>79.968551636000001</v>
      </c>
      <c r="E1052">
        <v>40</v>
      </c>
      <c r="F1052">
        <v>38.882392883000001</v>
      </c>
      <c r="G1052">
        <v>1341.0977783000001</v>
      </c>
      <c r="H1052">
        <v>1338.2470702999999</v>
      </c>
      <c r="I1052">
        <v>1324.6906738</v>
      </c>
      <c r="J1052">
        <v>1322.1802978999999</v>
      </c>
      <c r="K1052">
        <v>2750</v>
      </c>
      <c r="L1052">
        <v>0</v>
      </c>
      <c r="M1052">
        <v>0</v>
      </c>
      <c r="N1052">
        <v>2750</v>
      </c>
    </row>
    <row r="1053" spans="1:14" x14ac:dyDescent="0.25">
      <c r="A1053">
        <v>381.26612599999999</v>
      </c>
      <c r="B1053" s="1">
        <f>DATE(2011,5,17) + TIME(6,23,13)</f>
        <v>40680.266122685185</v>
      </c>
      <c r="C1053">
        <v>80</v>
      </c>
      <c r="D1053">
        <v>79.968505859000004</v>
      </c>
      <c r="E1053">
        <v>40</v>
      </c>
      <c r="F1053">
        <v>38.864448547000002</v>
      </c>
      <c r="G1053">
        <v>1341.0883789</v>
      </c>
      <c r="H1053">
        <v>1338.2431641000001</v>
      </c>
      <c r="I1053">
        <v>1324.6893310999999</v>
      </c>
      <c r="J1053">
        <v>1322.1784668</v>
      </c>
      <c r="K1053">
        <v>2750</v>
      </c>
      <c r="L1053">
        <v>0</v>
      </c>
      <c r="M1053">
        <v>0</v>
      </c>
      <c r="N1053">
        <v>2750</v>
      </c>
    </row>
    <row r="1054" spans="1:14" x14ac:dyDescent="0.25">
      <c r="A1054">
        <v>381.60659800000002</v>
      </c>
      <c r="B1054" s="1">
        <f>DATE(2011,5,17) + TIME(14,33,30)</f>
        <v>40680.60659722222</v>
      </c>
      <c r="C1054">
        <v>80</v>
      </c>
      <c r="D1054">
        <v>79.968452454000001</v>
      </c>
      <c r="E1054">
        <v>40</v>
      </c>
      <c r="F1054">
        <v>38.846111297999997</v>
      </c>
      <c r="G1054">
        <v>1341.0787353999999</v>
      </c>
      <c r="H1054">
        <v>1338.2391356999999</v>
      </c>
      <c r="I1054">
        <v>1324.6878661999999</v>
      </c>
      <c r="J1054">
        <v>1322.1765137</v>
      </c>
      <c r="K1054">
        <v>2750</v>
      </c>
      <c r="L1054">
        <v>0</v>
      </c>
      <c r="M1054">
        <v>0</v>
      </c>
      <c r="N1054">
        <v>2750</v>
      </c>
    </row>
    <row r="1055" spans="1:14" x14ac:dyDescent="0.25">
      <c r="A1055">
        <v>381.95105799999999</v>
      </c>
      <c r="B1055" s="1">
        <f>DATE(2011,5,17) + TIME(22,49,31)</f>
        <v>40680.951053240744</v>
      </c>
      <c r="C1055">
        <v>80</v>
      </c>
      <c r="D1055">
        <v>79.968399047999995</v>
      </c>
      <c r="E1055">
        <v>40</v>
      </c>
      <c r="F1055">
        <v>38.827594757</v>
      </c>
      <c r="G1055">
        <v>1341.0690918</v>
      </c>
      <c r="H1055">
        <v>1338.2349853999999</v>
      </c>
      <c r="I1055">
        <v>1324.6864014</v>
      </c>
      <c r="J1055">
        <v>1322.1745605000001</v>
      </c>
      <c r="K1055">
        <v>2750</v>
      </c>
      <c r="L1055">
        <v>0</v>
      </c>
      <c r="M1055">
        <v>0</v>
      </c>
      <c r="N1055">
        <v>2750</v>
      </c>
    </row>
    <row r="1056" spans="1:14" x14ac:dyDescent="0.25">
      <c r="A1056">
        <v>382.30027699999999</v>
      </c>
      <c r="B1056" s="1">
        <f>DATE(2011,5,18) + TIME(7,12,23)</f>
        <v>40681.300266203703</v>
      </c>
      <c r="C1056">
        <v>80</v>
      </c>
      <c r="D1056">
        <v>79.968353270999998</v>
      </c>
      <c r="E1056">
        <v>40</v>
      </c>
      <c r="F1056">
        <v>38.808895110999998</v>
      </c>
      <c r="G1056">
        <v>1341.0595702999999</v>
      </c>
      <c r="H1056">
        <v>1338.2310791</v>
      </c>
      <c r="I1056">
        <v>1324.6848144999999</v>
      </c>
      <c r="J1056">
        <v>1322.1724853999999</v>
      </c>
      <c r="K1056">
        <v>2750</v>
      </c>
      <c r="L1056">
        <v>0</v>
      </c>
      <c r="M1056">
        <v>0</v>
      </c>
      <c r="N1056">
        <v>2750</v>
      </c>
    </row>
    <row r="1057" spans="1:14" x14ac:dyDescent="0.25">
      <c r="A1057">
        <v>382.65508</v>
      </c>
      <c r="B1057" s="1">
        <f>DATE(2011,5,18) + TIME(15,43,18)</f>
        <v>40681.655069444445</v>
      </c>
      <c r="C1057">
        <v>80</v>
      </c>
      <c r="D1057">
        <v>79.968299865999995</v>
      </c>
      <c r="E1057">
        <v>40</v>
      </c>
      <c r="F1057">
        <v>38.789993285999998</v>
      </c>
      <c r="G1057">
        <v>1341.0500488</v>
      </c>
      <c r="H1057">
        <v>1338.2270507999999</v>
      </c>
      <c r="I1057">
        <v>1324.6832274999999</v>
      </c>
      <c r="J1057">
        <v>1322.1705322</v>
      </c>
      <c r="K1057">
        <v>2750</v>
      </c>
      <c r="L1057">
        <v>0</v>
      </c>
      <c r="M1057">
        <v>0</v>
      </c>
      <c r="N1057">
        <v>2750</v>
      </c>
    </row>
    <row r="1058" spans="1:14" x14ac:dyDescent="0.25">
      <c r="A1058">
        <v>383.01637099999999</v>
      </c>
      <c r="B1058" s="1">
        <f>DATE(2011,5,19) + TIME(0,23,34)</f>
        <v>40682.016365740739</v>
      </c>
      <c r="C1058">
        <v>80</v>
      </c>
      <c r="D1058">
        <v>79.968246460000003</v>
      </c>
      <c r="E1058">
        <v>40</v>
      </c>
      <c r="F1058">
        <v>38.770874022999998</v>
      </c>
      <c r="G1058">
        <v>1341.0406493999999</v>
      </c>
      <c r="H1058">
        <v>1338.2230225000001</v>
      </c>
      <c r="I1058">
        <v>1324.6816406</v>
      </c>
      <c r="J1058">
        <v>1322.1683350000001</v>
      </c>
      <c r="K1058">
        <v>2750</v>
      </c>
      <c r="L1058">
        <v>0</v>
      </c>
      <c r="M1058">
        <v>0</v>
      </c>
      <c r="N1058">
        <v>2750</v>
      </c>
    </row>
    <row r="1059" spans="1:14" x14ac:dyDescent="0.25">
      <c r="A1059">
        <v>383.381303</v>
      </c>
      <c r="B1059" s="1">
        <f>DATE(2011,5,19) + TIME(9,9,4)</f>
        <v>40682.381296296298</v>
      </c>
      <c r="C1059">
        <v>80</v>
      </c>
      <c r="D1059">
        <v>79.968200683999996</v>
      </c>
      <c r="E1059">
        <v>40</v>
      </c>
      <c r="F1059">
        <v>38.751636505</v>
      </c>
      <c r="G1059">
        <v>1341.0311279</v>
      </c>
      <c r="H1059">
        <v>1338.2191161999999</v>
      </c>
      <c r="I1059">
        <v>1324.6799315999999</v>
      </c>
      <c r="J1059">
        <v>1322.1662598</v>
      </c>
      <c r="K1059">
        <v>2750</v>
      </c>
      <c r="L1059">
        <v>0</v>
      </c>
      <c r="M1059">
        <v>0</v>
      </c>
      <c r="N1059">
        <v>2750</v>
      </c>
    </row>
    <row r="1060" spans="1:14" x14ac:dyDescent="0.25">
      <c r="A1060">
        <v>383.74796600000002</v>
      </c>
      <c r="B1060" s="1">
        <f>DATE(2011,5,19) + TIME(17,57,4)</f>
        <v>40682.74796296296</v>
      </c>
      <c r="C1060">
        <v>80</v>
      </c>
      <c r="D1060">
        <v>79.968147278000004</v>
      </c>
      <c r="E1060">
        <v>40</v>
      </c>
      <c r="F1060">
        <v>38.732368469000001</v>
      </c>
      <c r="G1060">
        <v>1341.0217285000001</v>
      </c>
      <c r="H1060">
        <v>1338.2150879000001</v>
      </c>
      <c r="I1060">
        <v>1324.6782227000001</v>
      </c>
      <c r="J1060">
        <v>1322.1640625</v>
      </c>
      <c r="K1060">
        <v>2750</v>
      </c>
      <c r="L1060">
        <v>0</v>
      </c>
      <c r="M1060">
        <v>0</v>
      </c>
      <c r="N1060">
        <v>2750</v>
      </c>
    </row>
    <row r="1061" spans="1:14" x14ac:dyDescent="0.25">
      <c r="A1061">
        <v>384.11716999999999</v>
      </c>
      <c r="B1061" s="1">
        <f>DATE(2011,5,20) + TIME(2,48,43)</f>
        <v>40683.117164351854</v>
      </c>
      <c r="C1061">
        <v>80</v>
      </c>
      <c r="D1061">
        <v>79.968093871999997</v>
      </c>
      <c r="E1061">
        <v>40</v>
      </c>
      <c r="F1061">
        <v>38.713058472</v>
      </c>
      <c r="G1061">
        <v>1341.0125731999999</v>
      </c>
      <c r="H1061">
        <v>1338.2113036999999</v>
      </c>
      <c r="I1061">
        <v>1324.6765137</v>
      </c>
      <c r="J1061">
        <v>1322.1617432</v>
      </c>
      <c r="K1061">
        <v>2750</v>
      </c>
      <c r="L1061">
        <v>0</v>
      </c>
      <c r="M1061">
        <v>0</v>
      </c>
      <c r="N1061">
        <v>2750</v>
      </c>
    </row>
    <row r="1062" spans="1:14" x14ac:dyDescent="0.25">
      <c r="A1062">
        <v>384.48877399999998</v>
      </c>
      <c r="B1062" s="1">
        <f>DATE(2011,5,20) + TIME(11,43,50)</f>
        <v>40683.48877314815</v>
      </c>
      <c r="C1062">
        <v>80</v>
      </c>
      <c r="D1062">
        <v>79.968048096000004</v>
      </c>
      <c r="E1062">
        <v>40</v>
      </c>
      <c r="F1062">
        <v>38.693729400999999</v>
      </c>
      <c r="G1062">
        <v>1341.003418</v>
      </c>
      <c r="H1062">
        <v>1338.2073975000001</v>
      </c>
      <c r="I1062">
        <v>1324.6748047000001</v>
      </c>
      <c r="J1062">
        <v>1322.1595459</v>
      </c>
      <c r="K1062">
        <v>2750</v>
      </c>
      <c r="L1062">
        <v>0</v>
      </c>
      <c r="M1062">
        <v>0</v>
      </c>
      <c r="N1062">
        <v>2750</v>
      </c>
    </row>
    <row r="1063" spans="1:14" x14ac:dyDescent="0.25">
      <c r="A1063">
        <v>384.86268200000001</v>
      </c>
      <c r="B1063" s="1">
        <f>DATE(2011,5,20) + TIME(20,42,15)</f>
        <v>40683.862673611111</v>
      </c>
      <c r="C1063">
        <v>80</v>
      </c>
      <c r="D1063">
        <v>79.968002318999993</v>
      </c>
      <c r="E1063">
        <v>40</v>
      </c>
      <c r="F1063">
        <v>38.674388884999999</v>
      </c>
      <c r="G1063">
        <v>1340.9943848</v>
      </c>
      <c r="H1063">
        <v>1338.2036132999999</v>
      </c>
      <c r="I1063">
        <v>1324.6730957</v>
      </c>
      <c r="J1063">
        <v>1322.1572266000001</v>
      </c>
      <c r="K1063">
        <v>2750</v>
      </c>
      <c r="L1063">
        <v>0</v>
      </c>
      <c r="M1063">
        <v>0</v>
      </c>
      <c r="N1063">
        <v>2750</v>
      </c>
    </row>
    <row r="1064" spans="1:14" x14ac:dyDescent="0.25">
      <c r="A1064">
        <v>385.23989899999998</v>
      </c>
      <c r="B1064" s="1">
        <f>DATE(2011,5,21) + TIME(5,45,27)</f>
        <v>40684.239895833336</v>
      </c>
      <c r="C1064">
        <v>80</v>
      </c>
      <c r="D1064">
        <v>79.967956543</v>
      </c>
      <c r="E1064">
        <v>40</v>
      </c>
      <c r="F1064">
        <v>38.655006409000002</v>
      </c>
      <c r="G1064">
        <v>1340.9854736</v>
      </c>
      <c r="H1064">
        <v>1338.1998291</v>
      </c>
      <c r="I1064">
        <v>1324.6712646000001</v>
      </c>
      <c r="J1064">
        <v>1322.1547852000001</v>
      </c>
      <c r="K1064">
        <v>2750</v>
      </c>
      <c r="L1064">
        <v>0</v>
      </c>
      <c r="M1064">
        <v>0</v>
      </c>
      <c r="N1064">
        <v>2750</v>
      </c>
    </row>
    <row r="1065" spans="1:14" x14ac:dyDescent="0.25">
      <c r="A1065">
        <v>385.62147299999998</v>
      </c>
      <c r="B1065" s="1">
        <f>DATE(2011,5,21) + TIME(14,54,55)</f>
        <v>40684.621469907404</v>
      </c>
      <c r="C1065">
        <v>80</v>
      </c>
      <c r="D1065">
        <v>79.967903136999993</v>
      </c>
      <c r="E1065">
        <v>40</v>
      </c>
      <c r="F1065">
        <v>38.635551452999998</v>
      </c>
      <c r="G1065">
        <v>1340.9765625</v>
      </c>
      <c r="H1065">
        <v>1338.1961670000001</v>
      </c>
      <c r="I1065">
        <v>1324.6694336</v>
      </c>
      <c r="J1065">
        <v>1322.1524658000001</v>
      </c>
      <c r="K1065">
        <v>2750</v>
      </c>
      <c r="L1065">
        <v>0</v>
      </c>
      <c r="M1065">
        <v>0</v>
      </c>
      <c r="N1065">
        <v>2750</v>
      </c>
    </row>
    <row r="1066" spans="1:14" x14ac:dyDescent="0.25">
      <c r="A1066">
        <v>386.008284</v>
      </c>
      <c r="B1066" s="1">
        <f>DATE(2011,5,22) + TIME(0,11,55)</f>
        <v>40685.008275462962</v>
      </c>
      <c r="C1066">
        <v>80</v>
      </c>
      <c r="D1066">
        <v>79.967857361</v>
      </c>
      <c r="E1066">
        <v>40</v>
      </c>
      <c r="F1066">
        <v>38.615989685000002</v>
      </c>
      <c r="G1066">
        <v>1340.9678954999999</v>
      </c>
      <c r="H1066">
        <v>1338.1925048999999</v>
      </c>
      <c r="I1066">
        <v>1324.6676024999999</v>
      </c>
      <c r="J1066">
        <v>1322.1500243999999</v>
      </c>
      <c r="K1066">
        <v>2750</v>
      </c>
      <c r="L1066">
        <v>0</v>
      </c>
      <c r="M1066">
        <v>0</v>
      </c>
      <c r="N1066">
        <v>2750</v>
      </c>
    </row>
    <row r="1067" spans="1:14" x14ac:dyDescent="0.25">
      <c r="A1067">
        <v>386.40139199999999</v>
      </c>
      <c r="B1067" s="1">
        <f>DATE(2011,5,22) + TIME(9,38,0)</f>
        <v>40685.401388888888</v>
      </c>
      <c r="C1067">
        <v>80</v>
      </c>
      <c r="D1067">
        <v>79.967811584000003</v>
      </c>
      <c r="E1067">
        <v>40</v>
      </c>
      <c r="F1067">
        <v>38.596271514999998</v>
      </c>
      <c r="G1067">
        <v>1340.9591064000001</v>
      </c>
      <c r="H1067">
        <v>1338.1888428</v>
      </c>
      <c r="I1067">
        <v>1324.6657714999999</v>
      </c>
      <c r="J1067">
        <v>1322.1474608999999</v>
      </c>
      <c r="K1067">
        <v>2750</v>
      </c>
      <c r="L1067">
        <v>0</v>
      </c>
      <c r="M1067">
        <v>0</v>
      </c>
      <c r="N1067">
        <v>2750</v>
      </c>
    </row>
    <row r="1068" spans="1:14" x14ac:dyDescent="0.25">
      <c r="A1068">
        <v>386.80400300000002</v>
      </c>
      <c r="B1068" s="1">
        <f>DATE(2011,5,22) + TIME(19,17,45)</f>
        <v>40685.803993055553</v>
      </c>
      <c r="C1068">
        <v>80</v>
      </c>
      <c r="D1068">
        <v>79.967765807999996</v>
      </c>
      <c r="E1068">
        <v>40</v>
      </c>
      <c r="F1068">
        <v>38.576293945000003</v>
      </c>
      <c r="G1068">
        <v>1340.9503173999999</v>
      </c>
      <c r="H1068">
        <v>1338.1851807</v>
      </c>
      <c r="I1068">
        <v>1324.6638184000001</v>
      </c>
      <c r="J1068">
        <v>1322.1448975000001</v>
      </c>
      <c r="K1068">
        <v>2750</v>
      </c>
      <c r="L1068">
        <v>0</v>
      </c>
      <c r="M1068">
        <v>0</v>
      </c>
      <c r="N1068">
        <v>2750</v>
      </c>
    </row>
    <row r="1069" spans="1:14" x14ac:dyDescent="0.25">
      <c r="A1069">
        <v>387.21881000000002</v>
      </c>
      <c r="B1069" s="1">
        <f>DATE(2011,5,23) + TIME(5,15,5)</f>
        <v>40686.218807870369</v>
      </c>
      <c r="C1069">
        <v>80</v>
      </c>
      <c r="D1069">
        <v>79.967720032000003</v>
      </c>
      <c r="E1069">
        <v>40</v>
      </c>
      <c r="F1069">
        <v>38.555946349999999</v>
      </c>
      <c r="G1069">
        <v>1340.9415283000001</v>
      </c>
      <c r="H1069">
        <v>1338.1813964999999</v>
      </c>
      <c r="I1069">
        <v>1324.6617432</v>
      </c>
      <c r="J1069">
        <v>1322.1422118999999</v>
      </c>
      <c r="K1069">
        <v>2750</v>
      </c>
      <c r="L1069">
        <v>0</v>
      </c>
      <c r="M1069">
        <v>0</v>
      </c>
      <c r="N1069">
        <v>2750</v>
      </c>
    </row>
    <row r="1070" spans="1:14" x14ac:dyDescent="0.25">
      <c r="A1070">
        <v>387.64494000000002</v>
      </c>
      <c r="B1070" s="1">
        <f>DATE(2011,5,23) + TIME(15,28,42)</f>
        <v>40686.644930555558</v>
      </c>
      <c r="C1070">
        <v>80</v>
      </c>
      <c r="D1070">
        <v>79.967674255000006</v>
      </c>
      <c r="E1070">
        <v>40</v>
      </c>
      <c r="F1070">
        <v>38.535228729000004</v>
      </c>
      <c r="G1070">
        <v>1340.9327393000001</v>
      </c>
      <c r="H1070">
        <v>1338.1776123</v>
      </c>
      <c r="I1070">
        <v>1324.659668</v>
      </c>
      <c r="J1070">
        <v>1322.1395264</v>
      </c>
      <c r="K1070">
        <v>2750</v>
      </c>
      <c r="L1070">
        <v>0</v>
      </c>
      <c r="M1070">
        <v>0</v>
      </c>
      <c r="N1070">
        <v>2750</v>
      </c>
    </row>
    <row r="1071" spans="1:14" x14ac:dyDescent="0.25">
      <c r="A1071">
        <v>388.08450499999998</v>
      </c>
      <c r="B1071" s="1">
        <f>DATE(2011,5,24) + TIME(2,1,41)</f>
        <v>40687.084502314814</v>
      </c>
      <c r="C1071">
        <v>80</v>
      </c>
      <c r="D1071">
        <v>79.967628478999998</v>
      </c>
      <c r="E1071">
        <v>40</v>
      </c>
      <c r="F1071">
        <v>38.514076232999997</v>
      </c>
      <c r="G1071">
        <v>1340.9237060999999</v>
      </c>
      <c r="H1071">
        <v>1338.1738281</v>
      </c>
      <c r="I1071">
        <v>1324.6575928</v>
      </c>
      <c r="J1071">
        <v>1322.1365966999999</v>
      </c>
      <c r="K1071">
        <v>2750</v>
      </c>
      <c r="L1071">
        <v>0</v>
      </c>
      <c r="M1071">
        <v>0</v>
      </c>
      <c r="N1071">
        <v>2750</v>
      </c>
    </row>
    <row r="1072" spans="1:14" x14ac:dyDescent="0.25">
      <c r="A1072">
        <v>388.53951899999998</v>
      </c>
      <c r="B1072" s="1">
        <f>DATE(2011,5,24) + TIME(12,56,54)</f>
        <v>40687.539513888885</v>
      </c>
      <c r="C1072">
        <v>80</v>
      </c>
      <c r="D1072">
        <v>79.967582703000005</v>
      </c>
      <c r="E1072">
        <v>40</v>
      </c>
      <c r="F1072">
        <v>38.492404938</v>
      </c>
      <c r="G1072">
        <v>1340.9146728999999</v>
      </c>
      <c r="H1072">
        <v>1338.1700439000001</v>
      </c>
      <c r="I1072">
        <v>1324.6552733999999</v>
      </c>
      <c r="J1072">
        <v>1322.1336670000001</v>
      </c>
      <c r="K1072">
        <v>2750</v>
      </c>
      <c r="L1072">
        <v>0</v>
      </c>
      <c r="M1072">
        <v>0</v>
      </c>
      <c r="N1072">
        <v>2750</v>
      </c>
    </row>
    <row r="1073" spans="1:14" x14ac:dyDescent="0.25">
      <c r="A1073">
        <v>389.01228099999997</v>
      </c>
      <c r="B1073" s="1">
        <f>DATE(2011,5,25) + TIME(0,17,41)</f>
        <v>40688.012280092589</v>
      </c>
      <c r="C1073">
        <v>80</v>
      </c>
      <c r="D1073">
        <v>79.967536925999994</v>
      </c>
      <c r="E1073">
        <v>40</v>
      </c>
      <c r="F1073">
        <v>38.470130920000003</v>
      </c>
      <c r="G1073">
        <v>1340.9053954999999</v>
      </c>
      <c r="H1073">
        <v>1338.1661377</v>
      </c>
      <c r="I1073">
        <v>1324.6529541</v>
      </c>
      <c r="J1073">
        <v>1322.1304932</v>
      </c>
      <c r="K1073">
        <v>2750</v>
      </c>
      <c r="L1073">
        <v>0</v>
      </c>
      <c r="M1073">
        <v>0</v>
      </c>
      <c r="N1073">
        <v>2750</v>
      </c>
    </row>
    <row r="1074" spans="1:14" x14ac:dyDescent="0.25">
      <c r="A1074">
        <v>389.489352</v>
      </c>
      <c r="B1074" s="1">
        <f>DATE(2011,5,25) + TIME(11,44,40)</f>
        <v>40688.489351851851</v>
      </c>
      <c r="C1074">
        <v>80</v>
      </c>
      <c r="D1074">
        <v>79.967483521000005</v>
      </c>
      <c r="E1074">
        <v>40</v>
      </c>
      <c r="F1074">
        <v>38.447631835999999</v>
      </c>
      <c r="G1074">
        <v>1340.8959961</v>
      </c>
      <c r="H1074">
        <v>1338.1621094</v>
      </c>
      <c r="I1074">
        <v>1324.6505127</v>
      </c>
      <c r="J1074">
        <v>1322.1271973</v>
      </c>
      <c r="K1074">
        <v>2750</v>
      </c>
      <c r="L1074">
        <v>0</v>
      </c>
      <c r="M1074">
        <v>0</v>
      </c>
      <c r="N1074">
        <v>2750</v>
      </c>
    </row>
    <row r="1075" spans="1:14" x14ac:dyDescent="0.25">
      <c r="A1075">
        <v>389.96995900000002</v>
      </c>
      <c r="B1075" s="1">
        <f>DATE(2011,5,25) + TIME(23,16,44)</f>
        <v>40688.969953703701</v>
      </c>
      <c r="C1075">
        <v>80</v>
      </c>
      <c r="D1075">
        <v>79.967437743999994</v>
      </c>
      <c r="E1075">
        <v>40</v>
      </c>
      <c r="F1075">
        <v>38.425003052000001</v>
      </c>
      <c r="G1075">
        <v>1340.8865966999999</v>
      </c>
      <c r="H1075">
        <v>1338.1580810999999</v>
      </c>
      <c r="I1075">
        <v>1324.6479492000001</v>
      </c>
      <c r="J1075">
        <v>1322.1237793</v>
      </c>
      <c r="K1075">
        <v>2750</v>
      </c>
      <c r="L1075">
        <v>0</v>
      </c>
      <c r="M1075">
        <v>0</v>
      </c>
      <c r="N1075">
        <v>2750</v>
      </c>
    </row>
    <row r="1076" spans="1:14" x14ac:dyDescent="0.25">
      <c r="A1076">
        <v>390.21184</v>
      </c>
      <c r="B1076" s="1">
        <f>DATE(2011,5,26) + TIME(5,5,2)</f>
        <v>40689.211828703701</v>
      </c>
      <c r="C1076">
        <v>80</v>
      </c>
      <c r="D1076">
        <v>79.967399596999996</v>
      </c>
      <c r="E1076">
        <v>40</v>
      </c>
      <c r="F1076">
        <v>38.410987853999998</v>
      </c>
      <c r="G1076">
        <v>1340.8774414</v>
      </c>
      <c r="H1076">
        <v>1338.1541748</v>
      </c>
      <c r="I1076">
        <v>1324.6453856999999</v>
      </c>
      <c r="J1076">
        <v>1322.1206055</v>
      </c>
      <c r="K1076">
        <v>2750</v>
      </c>
      <c r="L1076">
        <v>0</v>
      </c>
      <c r="M1076">
        <v>0</v>
      </c>
      <c r="N1076">
        <v>2750</v>
      </c>
    </row>
    <row r="1077" spans="1:14" x14ac:dyDescent="0.25">
      <c r="A1077">
        <v>390.45372099999997</v>
      </c>
      <c r="B1077" s="1">
        <f>DATE(2011,5,26) + TIME(10,53,21)</f>
        <v>40689.453715277778</v>
      </c>
      <c r="C1077">
        <v>80</v>
      </c>
      <c r="D1077">
        <v>79.967369079999997</v>
      </c>
      <c r="E1077">
        <v>40</v>
      </c>
      <c r="F1077">
        <v>38.397617339999996</v>
      </c>
      <c r="G1077">
        <v>1340.8728027</v>
      </c>
      <c r="H1077">
        <v>1338.1522216999999</v>
      </c>
      <c r="I1077">
        <v>1324.644043</v>
      </c>
      <c r="J1077">
        <v>1322.1187743999999</v>
      </c>
      <c r="K1077">
        <v>2750</v>
      </c>
      <c r="L1077">
        <v>0</v>
      </c>
      <c r="M1077">
        <v>0</v>
      </c>
      <c r="N1077">
        <v>2750</v>
      </c>
    </row>
    <row r="1078" spans="1:14" x14ac:dyDescent="0.25">
      <c r="A1078">
        <v>390.69560300000001</v>
      </c>
      <c r="B1078" s="1">
        <f>DATE(2011,5,26) + TIME(16,41,40)</f>
        <v>40689.695601851854</v>
      </c>
      <c r="C1078">
        <v>80</v>
      </c>
      <c r="D1078">
        <v>79.967346191000004</v>
      </c>
      <c r="E1078">
        <v>40</v>
      </c>
      <c r="F1078">
        <v>38.384746552000003</v>
      </c>
      <c r="G1078">
        <v>1340.8682861</v>
      </c>
      <c r="H1078">
        <v>1338.1502685999999</v>
      </c>
      <c r="I1078">
        <v>1324.6427002</v>
      </c>
      <c r="J1078">
        <v>1322.1169434000001</v>
      </c>
      <c r="K1078">
        <v>2750</v>
      </c>
      <c r="L1078">
        <v>0</v>
      </c>
      <c r="M1078">
        <v>0</v>
      </c>
      <c r="N1078">
        <v>2750</v>
      </c>
    </row>
    <row r="1079" spans="1:14" x14ac:dyDescent="0.25">
      <c r="A1079">
        <v>390.93748399999998</v>
      </c>
      <c r="B1079" s="1">
        <f>DATE(2011,5,26) + TIME(22,29,58)</f>
        <v>40689.937476851854</v>
      </c>
      <c r="C1079">
        <v>80</v>
      </c>
      <c r="D1079">
        <v>79.967323303000001</v>
      </c>
      <c r="E1079">
        <v>40</v>
      </c>
      <c r="F1079">
        <v>38.372272490999997</v>
      </c>
      <c r="G1079">
        <v>1340.8638916</v>
      </c>
      <c r="H1079">
        <v>1338.1483154</v>
      </c>
      <c r="I1079">
        <v>1324.6413574000001</v>
      </c>
      <c r="J1079">
        <v>1322.1149902</v>
      </c>
      <c r="K1079">
        <v>2750</v>
      </c>
      <c r="L1079">
        <v>0</v>
      </c>
      <c r="M1079">
        <v>0</v>
      </c>
      <c r="N1079">
        <v>2750</v>
      </c>
    </row>
    <row r="1080" spans="1:14" x14ac:dyDescent="0.25">
      <c r="A1080">
        <v>391.17936500000002</v>
      </c>
      <c r="B1080" s="1">
        <f>DATE(2011,5,27) + TIME(4,18,17)</f>
        <v>40690.179363425923</v>
      </c>
      <c r="C1080">
        <v>80</v>
      </c>
      <c r="D1080">
        <v>79.967292786000002</v>
      </c>
      <c r="E1080">
        <v>40</v>
      </c>
      <c r="F1080">
        <v>38.360111236999998</v>
      </c>
      <c r="G1080">
        <v>1340.859375</v>
      </c>
      <c r="H1080">
        <v>1338.1463623</v>
      </c>
      <c r="I1080">
        <v>1324.6400146000001</v>
      </c>
      <c r="J1080">
        <v>1322.1131591999999</v>
      </c>
      <c r="K1080">
        <v>2750</v>
      </c>
      <c r="L1080">
        <v>0</v>
      </c>
      <c r="M1080">
        <v>0</v>
      </c>
      <c r="N1080">
        <v>2750</v>
      </c>
    </row>
    <row r="1081" spans="1:14" x14ac:dyDescent="0.25">
      <c r="A1081">
        <v>391.42124699999999</v>
      </c>
      <c r="B1081" s="1">
        <f>DATE(2011,5,27) + TIME(10,6,35)</f>
        <v>40690.421238425923</v>
      </c>
      <c r="C1081">
        <v>80</v>
      </c>
      <c r="D1081">
        <v>79.967269896999994</v>
      </c>
      <c r="E1081">
        <v>40</v>
      </c>
      <c r="F1081">
        <v>38.348197937000002</v>
      </c>
      <c r="G1081">
        <v>1340.8549805</v>
      </c>
      <c r="H1081">
        <v>1338.1445312000001</v>
      </c>
      <c r="I1081">
        <v>1324.6386719</v>
      </c>
      <c r="J1081">
        <v>1322.1113281</v>
      </c>
      <c r="K1081">
        <v>2750</v>
      </c>
      <c r="L1081">
        <v>0</v>
      </c>
      <c r="M1081">
        <v>0</v>
      </c>
      <c r="N1081">
        <v>2750</v>
      </c>
    </row>
    <row r="1082" spans="1:14" x14ac:dyDescent="0.25">
      <c r="A1082">
        <v>391.90500900000001</v>
      </c>
      <c r="B1082" s="1">
        <f>DATE(2011,5,27) + TIME(21,43,12)</f>
        <v>40690.904999999999</v>
      </c>
      <c r="C1082">
        <v>80</v>
      </c>
      <c r="D1082">
        <v>79.967247009000005</v>
      </c>
      <c r="E1082">
        <v>40</v>
      </c>
      <c r="F1082">
        <v>38.329223632999998</v>
      </c>
      <c r="G1082">
        <v>1340.8507079999999</v>
      </c>
      <c r="H1082">
        <v>1338.1427002</v>
      </c>
      <c r="I1082">
        <v>1324.6373291</v>
      </c>
      <c r="J1082">
        <v>1322.1092529</v>
      </c>
      <c r="K1082">
        <v>2750</v>
      </c>
      <c r="L1082">
        <v>0</v>
      </c>
      <c r="M1082">
        <v>0</v>
      </c>
      <c r="N1082">
        <v>2750</v>
      </c>
    </row>
    <row r="1083" spans="1:14" x14ac:dyDescent="0.25">
      <c r="A1083">
        <v>392.38915500000002</v>
      </c>
      <c r="B1083" s="1">
        <f>DATE(2011,5,28) + TIME(9,20,22)</f>
        <v>40691.389143518521</v>
      </c>
      <c r="C1083">
        <v>80</v>
      </c>
      <c r="D1083">
        <v>79.967208862000007</v>
      </c>
      <c r="E1083">
        <v>40</v>
      </c>
      <c r="F1083">
        <v>38.309074402</v>
      </c>
      <c r="G1083">
        <v>1340.8420410000001</v>
      </c>
      <c r="H1083">
        <v>1338.1389160000001</v>
      </c>
      <c r="I1083">
        <v>1324.6347656</v>
      </c>
      <c r="J1083">
        <v>1322.1057129000001</v>
      </c>
      <c r="K1083">
        <v>2750</v>
      </c>
      <c r="L1083">
        <v>0</v>
      </c>
      <c r="M1083">
        <v>0</v>
      </c>
      <c r="N1083">
        <v>2750</v>
      </c>
    </row>
    <row r="1084" spans="1:14" x14ac:dyDescent="0.25">
      <c r="A1084">
        <v>392.87745699999999</v>
      </c>
      <c r="B1084" s="1">
        <f>DATE(2011,5,28) + TIME(21,3,32)</f>
        <v>40691.877453703702</v>
      </c>
      <c r="C1084">
        <v>80</v>
      </c>
      <c r="D1084">
        <v>79.967170714999995</v>
      </c>
      <c r="E1084">
        <v>40</v>
      </c>
      <c r="F1084">
        <v>38.288162231000001</v>
      </c>
      <c r="G1084">
        <v>1340.8334961</v>
      </c>
      <c r="H1084">
        <v>1338.1352539</v>
      </c>
      <c r="I1084">
        <v>1324.6319579999999</v>
      </c>
      <c r="J1084">
        <v>1322.1021728999999</v>
      </c>
      <c r="K1084">
        <v>2750</v>
      </c>
      <c r="L1084">
        <v>0</v>
      </c>
      <c r="M1084">
        <v>0</v>
      </c>
      <c r="N1084">
        <v>2750</v>
      </c>
    </row>
    <row r="1085" spans="1:14" x14ac:dyDescent="0.25">
      <c r="A1085">
        <v>393.37158099999999</v>
      </c>
      <c r="B1085" s="1">
        <f>DATE(2011,5,29) + TIME(8,55,4)</f>
        <v>40692.371574074074</v>
      </c>
      <c r="C1085">
        <v>80</v>
      </c>
      <c r="D1085">
        <v>79.967132567999997</v>
      </c>
      <c r="E1085">
        <v>40</v>
      </c>
      <c r="F1085">
        <v>38.266716002999999</v>
      </c>
      <c r="G1085">
        <v>1340.8250731999999</v>
      </c>
      <c r="H1085">
        <v>1338.1315918</v>
      </c>
      <c r="I1085">
        <v>1324.6292725000001</v>
      </c>
      <c r="J1085">
        <v>1322.0983887</v>
      </c>
      <c r="K1085">
        <v>2750</v>
      </c>
      <c r="L1085">
        <v>0</v>
      </c>
      <c r="M1085">
        <v>0</v>
      </c>
      <c r="N1085">
        <v>2750</v>
      </c>
    </row>
    <row r="1086" spans="1:14" x14ac:dyDescent="0.25">
      <c r="A1086">
        <v>393.87300800000003</v>
      </c>
      <c r="B1086" s="1">
        <f>DATE(2011,5,29) + TIME(20,57,7)</f>
        <v>40692.872997685183</v>
      </c>
      <c r="C1086">
        <v>80</v>
      </c>
      <c r="D1086">
        <v>79.967094420999999</v>
      </c>
      <c r="E1086">
        <v>40</v>
      </c>
      <c r="F1086">
        <v>38.244865417</v>
      </c>
      <c r="G1086">
        <v>1340.8167725000001</v>
      </c>
      <c r="H1086">
        <v>1338.1280518000001</v>
      </c>
      <c r="I1086">
        <v>1324.6263428</v>
      </c>
      <c r="J1086">
        <v>1322.0944824000001</v>
      </c>
      <c r="K1086">
        <v>2750</v>
      </c>
      <c r="L1086">
        <v>0</v>
      </c>
      <c r="M1086">
        <v>0</v>
      </c>
      <c r="N1086">
        <v>2750</v>
      </c>
    </row>
    <row r="1087" spans="1:14" x14ac:dyDescent="0.25">
      <c r="A1087">
        <v>394.38338499999998</v>
      </c>
      <c r="B1087" s="1">
        <f>DATE(2011,5,30) + TIME(9,12,4)</f>
        <v>40693.383379629631</v>
      </c>
      <c r="C1087">
        <v>80</v>
      </c>
      <c r="D1087">
        <v>79.967048645000006</v>
      </c>
      <c r="E1087">
        <v>40</v>
      </c>
      <c r="F1087">
        <v>38.222663879000002</v>
      </c>
      <c r="G1087">
        <v>1340.8083495999999</v>
      </c>
      <c r="H1087">
        <v>1338.1243896000001</v>
      </c>
      <c r="I1087">
        <v>1324.6235352000001</v>
      </c>
      <c r="J1087">
        <v>1322.0905762</v>
      </c>
      <c r="K1087">
        <v>2750</v>
      </c>
      <c r="L1087">
        <v>0</v>
      </c>
      <c r="M1087">
        <v>0</v>
      </c>
      <c r="N1087">
        <v>2750</v>
      </c>
    </row>
    <row r="1088" spans="1:14" x14ac:dyDescent="0.25">
      <c r="A1088">
        <v>394.90461699999997</v>
      </c>
      <c r="B1088" s="1">
        <f>DATE(2011,5,30) + TIME(21,42,38)</f>
        <v>40693.904606481483</v>
      </c>
      <c r="C1088">
        <v>80</v>
      </c>
      <c r="D1088">
        <v>79.967010497999993</v>
      </c>
      <c r="E1088">
        <v>40</v>
      </c>
      <c r="F1088">
        <v>38.200115203999999</v>
      </c>
      <c r="G1088">
        <v>1340.7999268000001</v>
      </c>
      <c r="H1088">
        <v>1338.1207274999999</v>
      </c>
      <c r="I1088">
        <v>1324.6204834</v>
      </c>
      <c r="J1088">
        <v>1322.0864257999999</v>
      </c>
      <c r="K1088">
        <v>2750</v>
      </c>
      <c r="L1088">
        <v>0</v>
      </c>
      <c r="M1088">
        <v>0</v>
      </c>
      <c r="N1088">
        <v>2750</v>
      </c>
    </row>
    <row r="1089" spans="1:14" x14ac:dyDescent="0.25">
      <c r="A1089">
        <v>395.44374399999998</v>
      </c>
      <c r="B1089" s="1">
        <f>DATE(2011,5,31) + TIME(10,38,59)</f>
        <v>40694.443738425929</v>
      </c>
      <c r="C1089">
        <v>80</v>
      </c>
      <c r="D1089">
        <v>79.966972350999995</v>
      </c>
      <c r="E1089">
        <v>40</v>
      </c>
      <c r="F1089">
        <v>38.177059174</v>
      </c>
      <c r="G1089">
        <v>1340.7915039</v>
      </c>
      <c r="H1089">
        <v>1338.1169434000001</v>
      </c>
      <c r="I1089">
        <v>1324.6173096</v>
      </c>
      <c r="J1089">
        <v>1322.0821533000001</v>
      </c>
      <c r="K1089">
        <v>2750</v>
      </c>
      <c r="L1089">
        <v>0</v>
      </c>
      <c r="M1089">
        <v>0</v>
      </c>
      <c r="N1089">
        <v>2750</v>
      </c>
    </row>
    <row r="1090" spans="1:14" x14ac:dyDescent="0.25">
      <c r="A1090">
        <v>396</v>
      </c>
      <c r="B1090" s="1">
        <f>DATE(2011,6,1) + TIME(0,0,0)</f>
        <v>40695</v>
      </c>
      <c r="C1090">
        <v>80</v>
      </c>
      <c r="D1090">
        <v>79.966934203999998</v>
      </c>
      <c r="E1090">
        <v>40</v>
      </c>
      <c r="F1090">
        <v>38.153491973999998</v>
      </c>
      <c r="G1090">
        <v>1340.7829589999999</v>
      </c>
      <c r="H1090">
        <v>1338.1132812000001</v>
      </c>
      <c r="I1090">
        <v>1324.6141356999999</v>
      </c>
      <c r="J1090">
        <v>1322.0776367000001</v>
      </c>
      <c r="K1090">
        <v>2750</v>
      </c>
      <c r="L1090">
        <v>0</v>
      </c>
      <c r="M1090">
        <v>0</v>
      </c>
      <c r="N1090">
        <v>2750</v>
      </c>
    </row>
    <row r="1091" spans="1:14" x14ac:dyDescent="0.25">
      <c r="A1091">
        <v>396.55919699999998</v>
      </c>
      <c r="B1091" s="1">
        <f>DATE(2011,6,1) + TIME(13,25,14)</f>
        <v>40695.559189814812</v>
      </c>
      <c r="C1091">
        <v>80</v>
      </c>
      <c r="D1091">
        <v>79.966888428000004</v>
      </c>
      <c r="E1091">
        <v>40</v>
      </c>
      <c r="F1091">
        <v>38.129753113</v>
      </c>
      <c r="G1091">
        <v>1340.7742920000001</v>
      </c>
      <c r="H1091">
        <v>1338.109375</v>
      </c>
      <c r="I1091">
        <v>1324.6107178</v>
      </c>
      <c r="J1091">
        <v>1322.0729980000001</v>
      </c>
      <c r="K1091">
        <v>2750</v>
      </c>
      <c r="L1091">
        <v>0</v>
      </c>
      <c r="M1091">
        <v>0</v>
      </c>
      <c r="N1091">
        <v>2750</v>
      </c>
    </row>
    <row r="1092" spans="1:14" x14ac:dyDescent="0.25">
      <c r="A1092">
        <v>397.15086700000001</v>
      </c>
      <c r="B1092" s="1">
        <f>DATE(2011,6,2) + TIME(3,37,14)</f>
        <v>40696.150856481479</v>
      </c>
      <c r="C1092">
        <v>80</v>
      </c>
      <c r="D1092">
        <v>79.966850281000006</v>
      </c>
      <c r="E1092">
        <v>40</v>
      </c>
      <c r="F1092">
        <v>38.105232239000003</v>
      </c>
      <c r="G1092">
        <v>1340.765625</v>
      </c>
      <c r="H1092">
        <v>1338.1055908000001</v>
      </c>
      <c r="I1092">
        <v>1324.6072998</v>
      </c>
      <c r="J1092">
        <v>1322.0682373</v>
      </c>
      <c r="K1092">
        <v>2750</v>
      </c>
      <c r="L1092">
        <v>0</v>
      </c>
      <c r="M1092">
        <v>0</v>
      </c>
      <c r="N1092">
        <v>2750</v>
      </c>
    </row>
    <row r="1093" spans="1:14" x14ac:dyDescent="0.25">
      <c r="A1093">
        <v>397.45592799999997</v>
      </c>
      <c r="B1093" s="1">
        <f>DATE(2011,6,2) + TIME(10,56,32)</f>
        <v>40696.455925925926</v>
      </c>
      <c r="C1093">
        <v>80</v>
      </c>
      <c r="D1093">
        <v>79.966819763000004</v>
      </c>
      <c r="E1093">
        <v>40</v>
      </c>
      <c r="F1093">
        <v>38.089168549</v>
      </c>
      <c r="G1093">
        <v>1340.7567139</v>
      </c>
      <c r="H1093">
        <v>1338.1015625</v>
      </c>
      <c r="I1093">
        <v>1324.6036377</v>
      </c>
      <c r="J1093">
        <v>1322.0634766000001</v>
      </c>
      <c r="K1093">
        <v>2750</v>
      </c>
      <c r="L1093">
        <v>0</v>
      </c>
      <c r="M1093">
        <v>0</v>
      </c>
      <c r="N1093">
        <v>2750</v>
      </c>
    </row>
    <row r="1094" spans="1:14" x14ac:dyDescent="0.25">
      <c r="A1094">
        <v>397.760988</v>
      </c>
      <c r="B1094" s="1">
        <f>DATE(2011,6,2) + TIME(18,15,49)</f>
        <v>40696.760983796295</v>
      </c>
      <c r="C1094">
        <v>80</v>
      </c>
      <c r="D1094">
        <v>79.966789246000005</v>
      </c>
      <c r="E1094">
        <v>40</v>
      </c>
      <c r="F1094">
        <v>38.074035645000002</v>
      </c>
      <c r="G1094">
        <v>1340.7521973</v>
      </c>
      <c r="H1094">
        <v>1338.0994873</v>
      </c>
      <c r="I1094">
        <v>1324.6015625</v>
      </c>
      <c r="J1094">
        <v>1322.0605469</v>
      </c>
      <c r="K1094">
        <v>2750</v>
      </c>
      <c r="L1094">
        <v>0</v>
      </c>
      <c r="M1094">
        <v>0</v>
      </c>
      <c r="N1094">
        <v>2750</v>
      </c>
    </row>
    <row r="1095" spans="1:14" x14ac:dyDescent="0.25">
      <c r="A1095">
        <v>398.06604900000002</v>
      </c>
      <c r="B1095" s="1">
        <f>DATE(2011,6,3) + TIME(1,35,6)</f>
        <v>40697.066041666665</v>
      </c>
      <c r="C1095">
        <v>80</v>
      </c>
      <c r="D1095">
        <v>79.966766356999997</v>
      </c>
      <c r="E1095">
        <v>40</v>
      </c>
      <c r="F1095">
        <v>38.059581756999997</v>
      </c>
      <c r="G1095">
        <v>1340.7476807</v>
      </c>
      <c r="H1095">
        <v>1338.0974120999999</v>
      </c>
      <c r="I1095">
        <v>1324.5996094</v>
      </c>
      <c r="J1095">
        <v>1322.0577393000001</v>
      </c>
      <c r="K1095">
        <v>2750</v>
      </c>
      <c r="L1095">
        <v>0</v>
      </c>
      <c r="M1095">
        <v>0</v>
      </c>
      <c r="N1095">
        <v>2750</v>
      </c>
    </row>
    <row r="1096" spans="1:14" x14ac:dyDescent="0.25">
      <c r="A1096">
        <v>398.37110899999999</v>
      </c>
      <c r="B1096" s="1">
        <f>DATE(2011,6,3) + TIME(8,54,23)</f>
        <v>40697.371099537035</v>
      </c>
      <c r="C1096">
        <v>80</v>
      </c>
      <c r="D1096">
        <v>79.966743468999994</v>
      </c>
      <c r="E1096">
        <v>40</v>
      </c>
      <c r="F1096">
        <v>38.045639037999997</v>
      </c>
      <c r="G1096">
        <v>1340.7432861</v>
      </c>
      <c r="H1096">
        <v>1338.0954589999999</v>
      </c>
      <c r="I1096">
        <v>1324.5975341999999</v>
      </c>
      <c r="J1096">
        <v>1322.0548096</v>
      </c>
      <c r="K1096">
        <v>2750</v>
      </c>
      <c r="L1096">
        <v>0</v>
      </c>
      <c r="M1096">
        <v>0</v>
      </c>
      <c r="N1096">
        <v>2750</v>
      </c>
    </row>
    <row r="1097" spans="1:14" x14ac:dyDescent="0.25">
      <c r="A1097">
        <v>398.67617000000001</v>
      </c>
      <c r="B1097" s="1">
        <f>DATE(2011,6,3) + TIME(16,13,41)</f>
        <v>40697.676168981481</v>
      </c>
      <c r="C1097">
        <v>80</v>
      </c>
      <c r="D1097">
        <v>79.966720581000004</v>
      </c>
      <c r="E1097">
        <v>40</v>
      </c>
      <c r="F1097">
        <v>38.032077788999999</v>
      </c>
      <c r="G1097">
        <v>1340.7387695</v>
      </c>
      <c r="H1097">
        <v>1338.0935059000001</v>
      </c>
      <c r="I1097">
        <v>1324.5955810999999</v>
      </c>
      <c r="J1097">
        <v>1322.0520019999999</v>
      </c>
      <c r="K1097">
        <v>2750</v>
      </c>
      <c r="L1097">
        <v>0</v>
      </c>
      <c r="M1097">
        <v>0</v>
      </c>
      <c r="N1097">
        <v>2750</v>
      </c>
    </row>
    <row r="1098" spans="1:14" x14ac:dyDescent="0.25">
      <c r="A1098">
        <v>398.98123099999998</v>
      </c>
      <c r="B1098" s="1">
        <f>DATE(2011,6,3) + TIME(23,32,58)</f>
        <v>40697.981226851851</v>
      </c>
      <c r="C1098">
        <v>80</v>
      </c>
      <c r="D1098">
        <v>79.966705321999996</v>
      </c>
      <c r="E1098">
        <v>40</v>
      </c>
      <c r="F1098">
        <v>38.018806458</v>
      </c>
      <c r="G1098">
        <v>1340.7344971</v>
      </c>
      <c r="H1098">
        <v>1338.0914307</v>
      </c>
      <c r="I1098">
        <v>1324.5935059000001</v>
      </c>
      <c r="J1098">
        <v>1322.0491943</v>
      </c>
      <c r="K1098">
        <v>2750</v>
      </c>
      <c r="L1098">
        <v>0</v>
      </c>
      <c r="M1098">
        <v>0</v>
      </c>
      <c r="N1098">
        <v>2750</v>
      </c>
    </row>
    <row r="1099" spans="1:14" x14ac:dyDescent="0.25">
      <c r="A1099">
        <v>399.28629100000001</v>
      </c>
      <c r="B1099" s="1">
        <f>DATE(2011,6,4) + TIME(6,52,15)</f>
        <v>40698.28628472222</v>
      </c>
      <c r="C1099">
        <v>80</v>
      </c>
      <c r="D1099">
        <v>79.966682434000006</v>
      </c>
      <c r="E1099">
        <v>40</v>
      </c>
      <c r="F1099">
        <v>38.005756378000001</v>
      </c>
      <c r="G1099">
        <v>1340.7301024999999</v>
      </c>
      <c r="H1099">
        <v>1338.0894774999999</v>
      </c>
      <c r="I1099">
        <v>1324.5915527</v>
      </c>
      <c r="J1099">
        <v>1322.0463867000001</v>
      </c>
      <c r="K1099">
        <v>2750</v>
      </c>
      <c r="L1099">
        <v>0</v>
      </c>
      <c r="M1099">
        <v>0</v>
      </c>
      <c r="N1099">
        <v>2750</v>
      </c>
    </row>
    <row r="1100" spans="1:14" x14ac:dyDescent="0.25">
      <c r="A1100">
        <v>399.59135199999997</v>
      </c>
      <c r="B1100" s="1">
        <f>DATE(2011,6,4) + TIME(14,11,32)</f>
        <v>40698.59134259259</v>
      </c>
      <c r="C1100">
        <v>80</v>
      </c>
      <c r="D1100">
        <v>79.966667174999998</v>
      </c>
      <c r="E1100">
        <v>40</v>
      </c>
      <c r="F1100">
        <v>37.99288559</v>
      </c>
      <c r="G1100">
        <v>1340.7258300999999</v>
      </c>
      <c r="H1100">
        <v>1338.0875243999999</v>
      </c>
      <c r="I1100">
        <v>1324.5894774999999</v>
      </c>
      <c r="J1100">
        <v>1322.043457</v>
      </c>
      <c r="K1100">
        <v>2750</v>
      </c>
      <c r="L1100">
        <v>0</v>
      </c>
      <c r="M1100">
        <v>0</v>
      </c>
      <c r="N1100">
        <v>2750</v>
      </c>
    </row>
    <row r="1101" spans="1:14" x14ac:dyDescent="0.25">
      <c r="A1101">
        <v>399.896412</v>
      </c>
      <c r="B1101" s="1">
        <f>DATE(2011,6,4) + TIME(21,30,50)</f>
        <v>40698.896412037036</v>
      </c>
      <c r="C1101">
        <v>80</v>
      </c>
      <c r="D1101">
        <v>79.966644286999994</v>
      </c>
      <c r="E1101">
        <v>40</v>
      </c>
      <c r="F1101">
        <v>37.980155945</v>
      </c>
      <c r="G1101">
        <v>1340.7215576000001</v>
      </c>
      <c r="H1101">
        <v>1338.0855713000001</v>
      </c>
      <c r="I1101">
        <v>1324.5874022999999</v>
      </c>
      <c r="J1101">
        <v>1322.0406493999999</v>
      </c>
      <c r="K1101">
        <v>2750</v>
      </c>
      <c r="L1101">
        <v>0</v>
      </c>
      <c r="M1101">
        <v>0</v>
      </c>
      <c r="N1101">
        <v>2750</v>
      </c>
    </row>
    <row r="1102" spans="1:14" x14ac:dyDescent="0.25">
      <c r="A1102">
        <v>400.20147300000002</v>
      </c>
      <c r="B1102" s="1">
        <f>DATE(2011,6,5) + TIME(4,50,7)</f>
        <v>40699.201469907406</v>
      </c>
      <c r="C1102">
        <v>80</v>
      </c>
      <c r="D1102">
        <v>79.966629028</v>
      </c>
      <c r="E1102">
        <v>40</v>
      </c>
      <c r="F1102">
        <v>37.967540741000001</v>
      </c>
      <c r="G1102">
        <v>1340.7172852000001</v>
      </c>
      <c r="H1102">
        <v>1338.0836182</v>
      </c>
      <c r="I1102">
        <v>1324.5854492000001</v>
      </c>
      <c r="J1102">
        <v>1322.0377197</v>
      </c>
      <c r="K1102">
        <v>2750</v>
      </c>
      <c r="L1102">
        <v>0</v>
      </c>
      <c r="M1102">
        <v>0</v>
      </c>
      <c r="N1102">
        <v>2750</v>
      </c>
    </row>
    <row r="1103" spans="1:14" x14ac:dyDescent="0.25">
      <c r="A1103">
        <v>400.50653299999999</v>
      </c>
      <c r="B1103" s="1">
        <f>DATE(2011,6,5) + TIME(12,9,24)</f>
        <v>40699.506527777776</v>
      </c>
      <c r="C1103">
        <v>80</v>
      </c>
      <c r="D1103">
        <v>79.966606139999996</v>
      </c>
      <c r="E1103">
        <v>40</v>
      </c>
      <c r="F1103">
        <v>37.955028534</v>
      </c>
      <c r="G1103">
        <v>1340.7131348</v>
      </c>
      <c r="H1103">
        <v>1338.0817870999999</v>
      </c>
      <c r="I1103">
        <v>1324.583374</v>
      </c>
      <c r="J1103">
        <v>1322.0347899999999</v>
      </c>
      <c r="K1103">
        <v>2750</v>
      </c>
      <c r="L1103">
        <v>0</v>
      </c>
      <c r="M1103">
        <v>0</v>
      </c>
      <c r="N1103">
        <v>2750</v>
      </c>
    </row>
    <row r="1104" spans="1:14" x14ac:dyDescent="0.25">
      <c r="A1104">
        <v>401.11665399999998</v>
      </c>
      <c r="B1104" s="1">
        <f>DATE(2011,6,6) + TIME(2,47,58)</f>
        <v>40700.116643518515</v>
      </c>
      <c r="C1104">
        <v>80</v>
      </c>
      <c r="D1104">
        <v>79.966590881000002</v>
      </c>
      <c r="E1104">
        <v>40</v>
      </c>
      <c r="F1104">
        <v>37.935588836999997</v>
      </c>
      <c r="G1104">
        <v>1340.7089844</v>
      </c>
      <c r="H1104">
        <v>1338.0798339999999</v>
      </c>
      <c r="I1104">
        <v>1324.5811768000001</v>
      </c>
      <c r="J1104">
        <v>1322.0314940999999</v>
      </c>
      <c r="K1104">
        <v>2750</v>
      </c>
      <c r="L1104">
        <v>0</v>
      </c>
      <c r="M1104">
        <v>0</v>
      </c>
      <c r="N1104">
        <v>2750</v>
      </c>
    </row>
    <row r="1105" spans="1:14" x14ac:dyDescent="0.25">
      <c r="A1105">
        <v>401.72789299999999</v>
      </c>
      <c r="B1105" s="1">
        <f>DATE(2011,6,6) + TIME(17,28,9)</f>
        <v>40700.727881944447</v>
      </c>
      <c r="C1105">
        <v>80</v>
      </c>
      <c r="D1105">
        <v>79.966567992999998</v>
      </c>
      <c r="E1105">
        <v>40</v>
      </c>
      <c r="F1105">
        <v>37.914012909</v>
      </c>
      <c r="G1105">
        <v>1340.7006836</v>
      </c>
      <c r="H1105">
        <v>1338.0760498</v>
      </c>
      <c r="I1105">
        <v>1324.5771483999999</v>
      </c>
      <c r="J1105">
        <v>1322.026001</v>
      </c>
      <c r="K1105">
        <v>2750</v>
      </c>
      <c r="L1105">
        <v>0</v>
      </c>
      <c r="M1105">
        <v>0</v>
      </c>
      <c r="N1105">
        <v>2750</v>
      </c>
    </row>
    <row r="1106" spans="1:14" x14ac:dyDescent="0.25">
      <c r="A1106">
        <v>402.34886299999999</v>
      </c>
      <c r="B1106" s="1">
        <f>DATE(2011,6,7) + TIME(8,22,21)</f>
        <v>40701.348854166667</v>
      </c>
      <c r="C1106">
        <v>80</v>
      </c>
      <c r="D1106">
        <v>79.966529846</v>
      </c>
      <c r="E1106">
        <v>40</v>
      </c>
      <c r="F1106">
        <v>37.891120911000002</v>
      </c>
      <c r="G1106">
        <v>1340.6925048999999</v>
      </c>
      <c r="H1106">
        <v>1338.0722656</v>
      </c>
      <c r="I1106">
        <v>1324.5729980000001</v>
      </c>
      <c r="J1106">
        <v>1322.0202637</v>
      </c>
      <c r="K1106">
        <v>2750</v>
      </c>
      <c r="L1106">
        <v>0</v>
      </c>
      <c r="M1106">
        <v>0</v>
      </c>
      <c r="N1106">
        <v>2750</v>
      </c>
    </row>
    <row r="1107" spans="1:14" x14ac:dyDescent="0.25">
      <c r="A1107">
        <v>402.98149699999999</v>
      </c>
      <c r="B1107" s="1">
        <f>DATE(2011,6,7) + TIME(23,33,21)</f>
        <v>40701.981493055559</v>
      </c>
      <c r="C1107">
        <v>80</v>
      </c>
      <c r="D1107">
        <v>79.966499329000001</v>
      </c>
      <c r="E1107">
        <v>40</v>
      </c>
      <c r="F1107">
        <v>37.867362976000003</v>
      </c>
      <c r="G1107">
        <v>1340.6843262</v>
      </c>
      <c r="H1107">
        <v>1338.0684814000001</v>
      </c>
      <c r="I1107">
        <v>1324.5687256000001</v>
      </c>
      <c r="J1107">
        <v>1322.0142822</v>
      </c>
      <c r="K1107">
        <v>2750</v>
      </c>
      <c r="L1107">
        <v>0</v>
      </c>
      <c r="M1107">
        <v>0</v>
      </c>
      <c r="N1107">
        <v>2750</v>
      </c>
    </row>
    <row r="1108" spans="1:14" x14ac:dyDescent="0.25">
      <c r="A1108">
        <v>403.62814300000002</v>
      </c>
      <c r="B1108" s="1">
        <f>DATE(2011,6,8) + TIME(15,4,31)</f>
        <v>40702.628136574072</v>
      </c>
      <c r="C1108">
        <v>80</v>
      </c>
      <c r="D1108">
        <v>79.966468810999999</v>
      </c>
      <c r="E1108">
        <v>40</v>
      </c>
      <c r="F1108">
        <v>37.842956543</v>
      </c>
      <c r="G1108">
        <v>1340.6761475000001</v>
      </c>
      <c r="H1108">
        <v>1338.0646973</v>
      </c>
      <c r="I1108">
        <v>1324.5643310999999</v>
      </c>
      <c r="J1108">
        <v>1322.0079346</v>
      </c>
      <c r="K1108">
        <v>2750</v>
      </c>
      <c r="L1108">
        <v>0</v>
      </c>
      <c r="M1108">
        <v>0</v>
      </c>
      <c r="N1108">
        <v>2750</v>
      </c>
    </row>
    <row r="1109" spans="1:14" x14ac:dyDescent="0.25">
      <c r="A1109">
        <v>404.29395</v>
      </c>
      <c r="B1109" s="1">
        <f>DATE(2011,6,9) + TIME(7,3,17)</f>
        <v>40703.293946759259</v>
      </c>
      <c r="C1109">
        <v>80</v>
      </c>
      <c r="D1109">
        <v>79.966438292999996</v>
      </c>
      <c r="E1109">
        <v>40</v>
      </c>
      <c r="F1109">
        <v>37.817939758000001</v>
      </c>
      <c r="G1109">
        <v>1340.6679687999999</v>
      </c>
      <c r="H1109">
        <v>1338.0609131000001</v>
      </c>
      <c r="I1109">
        <v>1324.5596923999999</v>
      </c>
      <c r="J1109">
        <v>1322.0014647999999</v>
      </c>
      <c r="K1109">
        <v>2750</v>
      </c>
      <c r="L1109">
        <v>0</v>
      </c>
      <c r="M1109">
        <v>0</v>
      </c>
      <c r="N1109">
        <v>2750</v>
      </c>
    </row>
    <row r="1110" spans="1:14" x14ac:dyDescent="0.25">
      <c r="A1110">
        <v>404.98134499999998</v>
      </c>
      <c r="B1110" s="1">
        <f>DATE(2011,6,9) + TIME(23,33,8)</f>
        <v>40703.981342592589</v>
      </c>
      <c r="C1110">
        <v>80</v>
      </c>
      <c r="D1110">
        <v>79.966400145999998</v>
      </c>
      <c r="E1110">
        <v>40</v>
      </c>
      <c r="F1110">
        <v>37.792308806999998</v>
      </c>
      <c r="G1110">
        <v>1340.6595459</v>
      </c>
      <c r="H1110">
        <v>1338.0570068</v>
      </c>
      <c r="I1110">
        <v>1324.5548096</v>
      </c>
      <c r="J1110">
        <v>1321.9945068</v>
      </c>
      <c r="K1110">
        <v>2750</v>
      </c>
      <c r="L1110">
        <v>0</v>
      </c>
      <c r="M1110">
        <v>0</v>
      </c>
      <c r="N1110">
        <v>2750</v>
      </c>
    </row>
    <row r="1111" spans="1:14" x14ac:dyDescent="0.25">
      <c r="A1111">
        <v>405.684752</v>
      </c>
      <c r="B1111" s="1">
        <f>DATE(2011,6,10) + TIME(16,26,2)</f>
        <v>40704.684745370374</v>
      </c>
      <c r="C1111">
        <v>80</v>
      </c>
      <c r="D1111">
        <v>79.966369628999999</v>
      </c>
      <c r="E1111">
        <v>40</v>
      </c>
      <c r="F1111">
        <v>37.766185759999999</v>
      </c>
      <c r="G1111">
        <v>1340.6511230000001</v>
      </c>
      <c r="H1111">
        <v>1338.0529785000001</v>
      </c>
      <c r="I1111">
        <v>1324.5498047000001</v>
      </c>
      <c r="J1111">
        <v>1321.9874268000001</v>
      </c>
      <c r="K1111">
        <v>2750</v>
      </c>
      <c r="L1111">
        <v>0</v>
      </c>
      <c r="M1111">
        <v>0</v>
      </c>
      <c r="N1111">
        <v>2750</v>
      </c>
    </row>
    <row r="1112" spans="1:14" x14ac:dyDescent="0.25">
      <c r="A1112">
        <v>406.40325200000001</v>
      </c>
      <c r="B1112" s="1">
        <f>DATE(2011,6,11) + TIME(9,40,40)</f>
        <v>40705.403240740743</v>
      </c>
      <c r="C1112">
        <v>80</v>
      </c>
      <c r="D1112">
        <v>79.966339110999996</v>
      </c>
      <c r="E1112">
        <v>40</v>
      </c>
      <c r="F1112">
        <v>37.739650726000001</v>
      </c>
      <c r="G1112">
        <v>1340.6425781</v>
      </c>
      <c r="H1112">
        <v>1338.0489502</v>
      </c>
      <c r="I1112">
        <v>1324.5445557</v>
      </c>
      <c r="J1112">
        <v>1321.9798584</v>
      </c>
      <c r="K1112">
        <v>2750</v>
      </c>
      <c r="L1112">
        <v>0</v>
      </c>
      <c r="M1112">
        <v>0</v>
      </c>
      <c r="N1112">
        <v>2750</v>
      </c>
    </row>
    <row r="1113" spans="1:14" x14ac:dyDescent="0.25">
      <c r="A1113">
        <v>407.13591400000001</v>
      </c>
      <c r="B1113" s="1">
        <f>DATE(2011,6,12) + TIME(3,15,42)</f>
        <v>40706.13590277778</v>
      </c>
      <c r="C1113">
        <v>80</v>
      </c>
      <c r="D1113">
        <v>79.966308593999997</v>
      </c>
      <c r="E1113">
        <v>40</v>
      </c>
      <c r="F1113">
        <v>37.712768554999997</v>
      </c>
      <c r="G1113">
        <v>1340.6340332</v>
      </c>
      <c r="H1113">
        <v>1338.0447998</v>
      </c>
      <c r="I1113">
        <v>1324.5391846</v>
      </c>
      <c r="J1113">
        <v>1321.972168</v>
      </c>
      <c r="K1113">
        <v>2750</v>
      </c>
      <c r="L1113">
        <v>0</v>
      </c>
      <c r="M1113">
        <v>0</v>
      </c>
      <c r="N1113">
        <v>2750</v>
      </c>
    </row>
    <row r="1114" spans="1:14" x14ac:dyDescent="0.25">
      <c r="A1114">
        <v>407.88580100000001</v>
      </c>
      <c r="B1114" s="1">
        <f>DATE(2011,6,12) + TIME(21,15,33)</f>
        <v>40706.885798611111</v>
      </c>
      <c r="C1114">
        <v>80</v>
      </c>
      <c r="D1114">
        <v>79.966278075999995</v>
      </c>
      <c r="E1114">
        <v>40</v>
      </c>
      <c r="F1114">
        <v>37.685516356999997</v>
      </c>
      <c r="G1114">
        <v>1340.6253661999999</v>
      </c>
      <c r="H1114">
        <v>1338.0406493999999</v>
      </c>
      <c r="I1114">
        <v>1324.5335693</v>
      </c>
      <c r="J1114">
        <v>1321.9641113</v>
      </c>
      <c r="K1114">
        <v>2750</v>
      </c>
      <c r="L1114">
        <v>0</v>
      </c>
      <c r="M1114">
        <v>0</v>
      </c>
      <c r="N1114">
        <v>2750</v>
      </c>
    </row>
    <row r="1115" spans="1:14" x14ac:dyDescent="0.25">
      <c r="A1115">
        <v>408.26161000000002</v>
      </c>
      <c r="B1115" s="1">
        <f>DATE(2011,6,13) + TIME(6,16,43)</f>
        <v>40707.261608796296</v>
      </c>
      <c r="C1115">
        <v>80</v>
      </c>
      <c r="D1115">
        <v>79.966247558999996</v>
      </c>
      <c r="E1115">
        <v>40</v>
      </c>
      <c r="F1115">
        <v>37.667423247999999</v>
      </c>
      <c r="G1115">
        <v>1340.6166992000001</v>
      </c>
      <c r="H1115">
        <v>1338.036499</v>
      </c>
      <c r="I1115">
        <v>1324.5280762</v>
      </c>
      <c r="J1115">
        <v>1321.956543</v>
      </c>
      <c r="K1115">
        <v>2750</v>
      </c>
      <c r="L1115">
        <v>0</v>
      </c>
      <c r="M1115">
        <v>0</v>
      </c>
      <c r="N1115">
        <v>2750</v>
      </c>
    </row>
    <row r="1116" spans="1:14" x14ac:dyDescent="0.25">
      <c r="A1116">
        <v>408.63741900000002</v>
      </c>
      <c r="B1116" s="1">
        <f>DATE(2011,6,13) + TIME(15,17,52)</f>
        <v>40707.637407407405</v>
      </c>
      <c r="C1116">
        <v>80</v>
      </c>
      <c r="D1116">
        <v>79.966224670000003</v>
      </c>
      <c r="E1116">
        <v>40</v>
      </c>
      <c r="F1116">
        <v>37.650783539000003</v>
      </c>
      <c r="G1116">
        <v>1340.6125488</v>
      </c>
      <c r="H1116">
        <v>1338.0344238</v>
      </c>
      <c r="I1116">
        <v>1324.5249022999999</v>
      </c>
      <c r="J1116">
        <v>1321.9517822</v>
      </c>
      <c r="K1116">
        <v>2750</v>
      </c>
      <c r="L1116">
        <v>0</v>
      </c>
      <c r="M1116">
        <v>0</v>
      </c>
      <c r="N1116">
        <v>2750</v>
      </c>
    </row>
    <row r="1117" spans="1:14" x14ac:dyDescent="0.25">
      <c r="A1117">
        <v>409.38903599999998</v>
      </c>
      <c r="B1117" s="1">
        <f>DATE(2011,6,14) + TIME(9,20,12)</f>
        <v>40708.389027777775</v>
      </c>
      <c r="C1117">
        <v>80</v>
      </c>
      <c r="D1117">
        <v>79.966209411999998</v>
      </c>
      <c r="E1117">
        <v>40</v>
      </c>
      <c r="F1117">
        <v>37.627151488999999</v>
      </c>
      <c r="G1117">
        <v>1340.6082764</v>
      </c>
      <c r="H1117">
        <v>1338.0324707</v>
      </c>
      <c r="I1117">
        <v>1324.5216064000001</v>
      </c>
      <c r="J1117">
        <v>1321.9465332</v>
      </c>
      <c r="K1117">
        <v>2750</v>
      </c>
      <c r="L1117">
        <v>0</v>
      </c>
      <c r="M1117">
        <v>0</v>
      </c>
      <c r="N1117">
        <v>2750</v>
      </c>
    </row>
    <row r="1118" spans="1:14" x14ac:dyDescent="0.25">
      <c r="A1118">
        <v>410.141187</v>
      </c>
      <c r="B1118" s="1">
        <f>DATE(2011,6,15) + TIME(3,23,18)</f>
        <v>40709.141180555554</v>
      </c>
      <c r="C1118">
        <v>80</v>
      </c>
      <c r="D1118">
        <v>79.966186523000005</v>
      </c>
      <c r="E1118">
        <v>40</v>
      </c>
      <c r="F1118">
        <v>37.601890564000001</v>
      </c>
      <c r="G1118">
        <v>1340.5998535000001</v>
      </c>
      <c r="H1118">
        <v>1338.0283202999999</v>
      </c>
      <c r="I1118">
        <v>1324.5157471</v>
      </c>
      <c r="J1118">
        <v>1321.9382324000001</v>
      </c>
      <c r="K1118">
        <v>2750</v>
      </c>
      <c r="L1118">
        <v>0</v>
      </c>
      <c r="M1118">
        <v>0</v>
      </c>
      <c r="N1118">
        <v>2750</v>
      </c>
    </row>
    <row r="1119" spans="1:14" x14ac:dyDescent="0.25">
      <c r="A1119">
        <v>410.89959299999998</v>
      </c>
      <c r="B1119" s="1">
        <f>DATE(2011,6,15) + TIME(21,35,24)</f>
        <v>40709.899583333332</v>
      </c>
      <c r="C1119">
        <v>80</v>
      </c>
      <c r="D1119">
        <v>79.966156006000006</v>
      </c>
      <c r="E1119">
        <v>40</v>
      </c>
      <c r="F1119">
        <v>37.575805664000001</v>
      </c>
      <c r="G1119">
        <v>1340.5916748</v>
      </c>
      <c r="H1119">
        <v>1338.0242920000001</v>
      </c>
      <c r="I1119">
        <v>1324.5097656</v>
      </c>
      <c r="J1119">
        <v>1321.9296875</v>
      </c>
      <c r="K1119">
        <v>2750</v>
      </c>
      <c r="L1119">
        <v>0</v>
      </c>
      <c r="M1119">
        <v>0</v>
      </c>
      <c r="N1119">
        <v>2750</v>
      </c>
    </row>
    <row r="1120" spans="1:14" x14ac:dyDescent="0.25">
      <c r="A1120">
        <v>411.66751699999998</v>
      </c>
      <c r="B1120" s="1">
        <f>DATE(2011,6,16) + TIME(16,1,13)</f>
        <v>40710.667511574073</v>
      </c>
      <c r="C1120">
        <v>80</v>
      </c>
      <c r="D1120">
        <v>79.966133118000002</v>
      </c>
      <c r="E1120">
        <v>40</v>
      </c>
      <c r="F1120">
        <v>37.549251556000002</v>
      </c>
      <c r="G1120">
        <v>1340.5834961</v>
      </c>
      <c r="H1120">
        <v>1338.0202637</v>
      </c>
      <c r="I1120">
        <v>1324.5036620999999</v>
      </c>
      <c r="J1120">
        <v>1321.9207764</v>
      </c>
      <c r="K1120">
        <v>2750</v>
      </c>
      <c r="L1120">
        <v>0</v>
      </c>
      <c r="M1120">
        <v>0</v>
      </c>
      <c r="N1120">
        <v>2750</v>
      </c>
    </row>
    <row r="1121" spans="1:14" x14ac:dyDescent="0.25">
      <c r="A1121">
        <v>412.448106</v>
      </c>
      <c r="B1121" s="1">
        <f>DATE(2011,6,17) + TIME(10,45,16)</f>
        <v>40711.448101851849</v>
      </c>
      <c r="C1121">
        <v>80</v>
      </c>
      <c r="D1121">
        <v>79.966102599999999</v>
      </c>
      <c r="E1121">
        <v>40</v>
      </c>
      <c r="F1121">
        <v>37.522354126000003</v>
      </c>
      <c r="G1121">
        <v>1340.5753173999999</v>
      </c>
      <c r="H1121">
        <v>1338.0162353999999</v>
      </c>
      <c r="I1121">
        <v>1324.4974365</v>
      </c>
      <c r="J1121">
        <v>1321.9116211</v>
      </c>
      <c r="K1121">
        <v>2750</v>
      </c>
      <c r="L1121">
        <v>0</v>
      </c>
      <c r="M1121">
        <v>0</v>
      </c>
      <c r="N1121">
        <v>2750</v>
      </c>
    </row>
    <row r="1122" spans="1:14" x14ac:dyDescent="0.25">
      <c r="A1122">
        <v>413.24040500000001</v>
      </c>
      <c r="B1122" s="1">
        <f>DATE(2011,6,18) + TIME(5,46,10)</f>
        <v>40712.240393518521</v>
      </c>
      <c r="C1122">
        <v>80</v>
      </c>
      <c r="D1122">
        <v>79.966079711999996</v>
      </c>
      <c r="E1122">
        <v>40</v>
      </c>
      <c r="F1122">
        <v>37.495197296000001</v>
      </c>
      <c r="G1122">
        <v>1340.5671387</v>
      </c>
      <c r="H1122">
        <v>1338.012207</v>
      </c>
      <c r="I1122">
        <v>1324.4908447</v>
      </c>
      <c r="J1122">
        <v>1321.9020995999999</v>
      </c>
      <c r="K1122">
        <v>2750</v>
      </c>
      <c r="L1122">
        <v>0</v>
      </c>
      <c r="M1122">
        <v>0</v>
      </c>
      <c r="N1122">
        <v>2750</v>
      </c>
    </row>
    <row r="1123" spans="1:14" x14ac:dyDescent="0.25">
      <c r="A1123">
        <v>414.04803800000002</v>
      </c>
      <c r="B1123" s="1">
        <f>DATE(2011,6,19) + TIME(1,9,10)</f>
        <v>40713.048032407409</v>
      </c>
      <c r="C1123">
        <v>80</v>
      </c>
      <c r="D1123">
        <v>79.966056824000006</v>
      </c>
      <c r="E1123">
        <v>40</v>
      </c>
      <c r="F1123">
        <v>37.467777251999998</v>
      </c>
      <c r="G1123">
        <v>1340.5589600000001</v>
      </c>
      <c r="H1123">
        <v>1338.0080565999999</v>
      </c>
      <c r="I1123">
        <v>1324.4842529</v>
      </c>
      <c r="J1123">
        <v>1321.8923339999999</v>
      </c>
      <c r="K1123">
        <v>2750</v>
      </c>
      <c r="L1123">
        <v>0</v>
      </c>
      <c r="M1123">
        <v>0</v>
      </c>
      <c r="N1123">
        <v>2750</v>
      </c>
    </row>
    <row r="1124" spans="1:14" x14ac:dyDescent="0.25">
      <c r="A1124">
        <v>414.874368</v>
      </c>
      <c r="B1124" s="1">
        <f>DATE(2011,6,19) + TIME(20,59,5)</f>
        <v>40713.874363425923</v>
      </c>
      <c r="C1124">
        <v>80</v>
      </c>
      <c r="D1124">
        <v>79.966033936000002</v>
      </c>
      <c r="E1124">
        <v>40</v>
      </c>
      <c r="F1124">
        <v>37.440025329999997</v>
      </c>
      <c r="G1124">
        <v>1340.5507812000001</v>
      </c>
      <c r="H1124">
        <v>1338.0040283000001</v>
      </c>
      <c r="I1124">
        <v>1324.4772949000001</v>
      </c>
      <c r="J1124">
        <v>1321.8822021000001</v>
      </c>
      <c r="K1124">
        <v>2750</v>
      </c>
      <c r="L1124">
        <v>0</v>
      </c>
      <c r="M1124">
        <v>0</v>
      </c>
      <c r="N1124">
        <v>2750</v>
      </c>
    </row>
    <row r="1125" spans="1:14" x14ac:dyDescent="0.25">
      <c r="A1125">
        <v>415.72336200000001</v>
      </c>
      <c r="B1125" s="1">
        <f>DATE(2011,6,20) + TIME(17,21,38)</f>
        <v>40714.723356481481</v>
      </c>
      <c r="C1125">
        <v>80</v>
      </c>
      <c r="D1125">
        <v>79.966011046999995</v>
      </c>
      <c r="E1125">
        <v>40</v>
      </c>
      <c r="F1125">
        <v>37.411861420000001</v>
      </c>
      <c r="G1125">
        <v>1340.5426024999999</v>
      </c>
      <c r="H1125">
        <v>1337.9998779</v>
      </c>
      <c r="I1125">
        <v>1324.4702147999999</v>
      </c>
      <c r="J1125">
        <v>1321.8717041</v>
      </c>
      <c r="K1125">
        <v>2750</v>
      </c>
      <c r="L1125">
        <v>0</v>
      </c>
      <c r="M1125">
        <v>0</v>
      </c>
      <c r="N1125">
        <v>2750</v>
      </c>
    </row>
    <row r="1126" spans="1:14" x14ac:dyDescent="0.25">
      <c r="A1126">
        <v>416.60401000000002</v>
      </c>
      <c r="B1126" s="1">
        <f>DATE(2011,6,21) + TIME(14,29,46)</f>
        <v>40715.604004629633</v>
      </c>
      <c r="C1126">
        <v>80</v>
      </c>
      <c r="D1126">
        <v>79.965988159000005</v>
      </c>
      <c r="E1126">
        <v>40</v>
      </c>
      <c r="F1126">
        <v>37.383102417000003</v>
      </c>
      <c r="G1126">
        <v>1340.5341797000001</v>
      </c>
      <c r="H1126">
        <v>1337.9956055</v>
      </c>
      <c r="I1126">
        <v>1324.4628906</v>
      </c>
      <c r="J1126">
        <v>1321.8608397999999</v>
      </c>
      <c r="K1126">
        <v>2750</v>
      </c>
      <c r="L1126">
        <v>0</v>
      </c>
      <c r="M1126">
        <v>0</v>
      </c>
      <c r="N1126">
        <v>2750</v>
      </c>
    </row>
    <row r="1127" spans="1:14" x14ac:dyDescent="0.25">
      <c r="A1127">
        <v>417.50218799999999</v>
      </c>
      <c r="B1127" s="1">
        <f>DATE(2011,6,22) + TIME(12,3,9)</f>
        <v>40716.502187500002</v>
      </c>
      <c r="C1127">
        <v>80</v>
      </c>
      <c r="D1127">
        <v>79.965965271000002</v>
      </c>
      <c r="E1127">
        <v>40</v>
      </c>
      <c r="F1127">
        <v>37.353870391999997</v>
      </c>
      <c r="G1127">
        <v>1340.5257568</v>
      </c>
      <c r="H1127">
        <v>1337.9913329999999</v>
      </c>
      <c r="I1127">
        <v>1324.4550781</v>
      </c>
      <c r="J1127">
        <v>1321.8493652</v>
      </c>
      <c r="K1127">
        <v>2750</v>
      </c>
      <c r="L1127">
        <v>0</v>
      </c>
      <c r="M1127">
        <v>0</v>
      </c>
      <c r="N1127">
        <v>2750</v>
      </c>
    </row>
    <row r="1128" spans="1:14" x14ac:dyDescent="0.25">
      <c r="A1128">
        <v>418.412486</v>
      </c>
      <c r="B1128" s="1">
        <f>DATE(2011,6,23) + TIME(9,53,58)</f>
        <v>40717.412476851852</v>
      </c>
      <c r="C1128">
        <v>80</v>
      </c>
      <c r="D1128">
        <v>79.965942382999998</v>
      </c>
      <c r="E1128">
        <v>40</v>
      </c>
      <c r="F1128">
        <v>37.324337006</v>
      </c>
      <c r="G1128">
        <v>1340.5172118999999</v>
      </c>
      <c r="H1128">
        <v>1337.9869385</v>
      </c>
      <c r="I1128">
        <v>1324.4471435999999</v>
      </c>
      <c r="J1128">
        <v>1321.8375243999999</v>
      </c>
      <c r="K1128">
        <v>2750</v>
      </c>
      <c r="L1128">
        <v>0</v>
      </c>
      <c r="M1128">
        <v>0</v>
      </c>
      <c r="N1128">
        <v>2750</v>
      </c>
    </row>
    <row r="1129" spans="1:14" x14ac:dyDescent="0.25">
      <c r="A1129">
        <v>418.87528400000002</v>
      </c>
      <c r="B1129" s="1">
        <f>DATE(2011,6,23) + TIME(21,0,24)</f>
        <v>40717.875277777777</v>
      </c>
      <c r="C1129">
        <v>80</v>
      </c>
      <c r="D1129">
        <v>79.965911864999995</v>
      </c>
      <c r="E1129">
        <v>40</v>
      </c>
      <c r="F1129">
        <v>37.303901672000002</v>
      </c>
      <c r="G1129">
        <v>1340.5086670000001</v>
      </c>
      <c r="H1129">
        <v>1337.9825439000001</v>
      </c>
      <c r="I1129">
        <v>1324.4393310999999</v>
      </c>
      <c r="J1129">
        <v>1321.8262939000001</v>
      </c>
      <c r="K1129">
        <v>2750</v>
      </c>
      <c r="L1129">
        <v>0</v>
      </c>
      <c r="M1129">
        <v>0</v>
      </c>
      <c r="N1129">
        <v>2750</v>
      </c>
    </row>
    <row r="1130" spans="1:14" x14ac:dyDescent="0.25">
      <c r="A1130">
        <v>419.33808199999999</v>
      </c>
      <c r="B1130" s="1">
        <f>DATE(2011,6,24) + TIME(8,6,50)</f>
        <v>40718.338078703702</v>
      </c>
      <c r="C1130">
        <v>80</v>
      </c>
      <c r="D1130">
        <v>79.965896606000001</v>
      </c>
      <c r="E1130">
        <v>40</v>
      </c>
      <c r="F1130">
        <v>37.285522460999999</v>
      </c>
      <c r="G1130">
        <v>1340.5043945</v>
      </c>
      <c r="H1130">
        <v>1337.9803466999999</v>
      </c>
      <c r="I1130">
        <v>1324.4346923999999</v>
      </c>
      <c r="J1130">
        <v>1321.8190918</v>
      </c>
      <c r="K1130">
        <v>2750</v>
      </c>
      <c r="L1130">
        <v>0</v>
      </c>
      <c r="M1130">
        <v>0</v>
      </c>
      <c r="N1130">
        <v>2750</v>
      </c>
    </row>
    <row r="1131" spans="1:14" x14ac:dyDescent="0.25">
      <c r="A1131">
        <v>419.80087900000001</v>
      </c>
      <c r="B1131" s="1">
        <f>DATE(2011,6,24) + TIME(19,13,15)</f>
        <v>40718.800868055558</v>
      </c>
      <c r="C1131">
        <v>80</v>
      </c>
      <c r="D1131">
        <v>79.965881347999996</v>
      </c>
      <c r="E1131">
        <v>40</v>
      </c>
      <c r="F1131">
        <v>37.268455504999999</v>
      </c>
      <c r="G1131">
        <v>1340.5002440999999</v>
      </c>
      <c r="H1131">
        <v>1337.9781493999999</v>
      </c>
      <c r="I1131">
        <v>1324.4301757999999</v>
      </c>
      <c r="J1131">
        <v>1321.8122559000001</v>
      </c>
      <c r="K1131">
        <v>2750</v>
      </c>
      <c r="L1131">
        <v>0</v>
      </c>
      <c r="M1131">
        <v>0</v>
      </c>
      <c r="N1131">
        <v>2750</v>
      </c>
    </row>
    <row r="1132" spans="1:14" x14ac:dyDescent="0.25">
      <c r="A1132">
        <v>420.26367699999997</v>
      </c>
      <c r="B1132" s="1">
        <f>DATE(2011,6,25) + TIME(6,19,41)</f>
        <v>40719.263668981483</v>
      </c>
      <c r="C1132">
        <v>80</v>
      </c>
      <c r="D1132">
        <v>79.965873717999997</v>
      </c>
      <c r="E1132">
        <v>40</v>
      </c>
      <c r="F1132">
        <v>37.252243042000003</v>
      </c>
      <c r="G1132">
        <v>1340.4960937999999</v>
      </c>
      <c r="H1132">
        <v>1337.9759521000001</v>
      </c>
      <c r="I1132">
        <v>1324.4257812000001</v>
      </c>
      <c r="J1132">
        <v>1321.8055420000001</v>
      </c>
      <c r="K1132">
        <v>2750</v>
      </c>
      <c r="L1132">
        <v>0</v>
      </c>
      <c r="M1132">
        <v>0</v>
      </c>
      <c r="N1132">
        <v>2750</v>
      </c>
    </row>
    <row r="1133" spans="1:14" x14ac:dyDescent="0.25">
      <c r="A1133">
        <v>420.72647499999999</v>
      </c>
      <c r="B1133" s="1">
        <f>DATE(2011,6,25) + TIME(17,26,7)</f>
        <v>40719.726469907408</v>
      </c>
      <c r="C1133">
        <v>80</v>
      </c>
      <c r="D1133">
        <v>79.965858459000003</v>
      </c>
      <c r="E1133">
        <v>40</v>
      </c>
      <c r="F1133">
        <v>37.236587524000001</v>
      </c>
      <c r="G1133">
        <v>1340.4919434000001</v>
      </c>
      <c r="H1133">
        <v>1337.9737548999999</v>
      </c>
      <c r="I1133">
        <v>1324.4213867000001</v>
      </c>
      <c r="J1133">
        <v>1321.7988281</v>
      </c>
      <c r="K1133">
        <v>2750</v>
      </c>
      <c r="L1133">
        <v>0</v>
      </c>
      <c r="M1133">
        <v>0</v>
      </c>
      <c r="N1133">
        <v>2750</v>
      </c>
    </row>
    <row r="1134" spans="1:14" x14ac:dyDescent="0.25">
      <c r="A1134">
        <v>421.18927300000001</v>
      </c>
      <c r="B1134" s="1">
        <f>DATE(2011,6,26) + TIME(4,32,33)</f>
        <v>40720.189270833333</v>
      </c>
      <c r="C1134">
        <v>80</v>
      </c>
      <c r="D1134">
        <v>79.965850829999994</v>
      </c>
      <c r="E1134">
        <v>40</v>
      </c>
      <c r="F1134">
        <v>37.221305846999996</v>
      </c>
      <c r="G1134">
        <v>1340.487793</v>
      </c>
      <c r="H1134">
        <v>1337.9716797000001</v>
      </c>
      <c r="I1134">
        <v>1324.4169922000001</v>
      </c>
      <c r="J1134">
        <v>1321.7922363</v>
      </c>
      <c r="K1134">
        <v>2750</v>
      </c>
      <c r="L1134">
        <v>0</v>
      </c>
      <c r="M1134">
        <v>0</v>
      </c>
      <c r="N1134">
        <v>2750</v>
      </c>
    </row>
    <row r="1135" spans="1:14" x14ac:dyDescent="0.25">
      <c r="A1135">
        <v>422.114868</v>
      </c>
      <c r="B1135" s="1">
        <f>DATE(2011,6,27) + TIME(2,45,24)</f>
        <v>40721.114861111113</v>
      </c>
      <c r="C1135">
        <v>80</v>
      </c>
      <c r="D1135">
        <v>79.965850829999994</v>
      </c>
      <c r="E1135">
        <v>40</v>
      </c>
      <c r="F1135">
        <v>37.199428558000001</v>
      </c>
      <c r="G1135">
        <v>1340.4837646000001</v>
      </c>
      <c r="H1135">
        <v>1337.9694824000001</v>
      </c>
      <c r="I1135">
        <v>1324.4122314000001</v>
      </c>
      <c r="J1135">
        <v>1321.7847899999999</v>
      </c>
      <c r="K1135">
        <v>2750</v>
      </c>
      <c r="L1135">
        <v>0</v>
      </c>
      <c r="M1135">
        <v>0</v>
      </c>
      <c r="N1135">
        <v>2750</v>
      </c>
    </row>
    <row r="1136" spans="1:14" x14ac:dyDescent="0.25">
      <c r="A1136">
        <v>423.044826</v>
      </c>
      <c r="B1136" s="1">
        <f>DATE(2011,6,28) + TIME(1,4,33)</f>
        <v>40722.04482638889</v>
      </c>
      <c r="C1136">
        <v>80</v>
      </c>
      <c r="D1136">
        <v>79.965843200999998</v>
      </c>
      <c r="E1136">
        <v>40</v>
      </c>
      <c r="F1136">
        <v>37.173641205000003</v>
      </c>
      <c r="G1136">
        <v>1340.4757079999999</v>
      </c>
      <c r="H1136">
        <v>1337.9652100000001</v>
      </c>
      <c r="I1136">
        <v>1324.4041748</v>
      </c>
      <c r="J1136">
        <v>1321.7728271000001</v>
      </c>
      <c r="K1136">
        <v>2750</v>
      </c>
      <c r="L1136">
        <v>0</v>
      </c>
      <c r="M1136">
        <v>0</v>
      </c>
      <c r="N1136">
        <v>2750</v>
      </c>
    </row>
    <row r="1137" spans="1:14" x14ac:dyDescent="0.25">
      <c r="A1137">
        <v>423.98900200000003</v>
      </c>
      <c r="B1137" s="1">
        <f>DATE(2011,6,28) + TIME(23,44,9)</f>
        <v>40722.988993055558</v>
      </c>
      <c r="C1137">
        <v>80</v>
      </c>
      <c r="D1137">
        <v>79.965827942000004</v>
      </c>
      <c r="E1137">
        <v>40</v>
      </c>
      <c r="F1137">
        <v>37.146003723</v>
      </c>
      <c r="G1137">
        <v>1340.4676514</v>
      </c>
      <c r="H1137">
        <v>1337.9610596</v>
      </c>
      <c r="I1137">
        <v>1324.3956298999999</v>
      </c>
      <c r="J1137">
        <v>1321.7600098</v>
      </c>
      <c r="K1137">
        <v>2750</v>
      </c>
      <c r="L1137">
        <v>0</v>
      </c>
      <c r="M1137">
        <v>0</v>
      </c>
      <c r="N1137">
        <v>2750</v>
      </c>
    </row>
    <row r="1138" spans="1:14" x14ac:dyDescent="0.25">
      <c r="A1138">
        <v>424.95212400000003</v>
      </c>
      <c r="B1138" s="1">
        <f>DATE(2011,6,29) + TIME(22,51,3)</f>
        <v>40723.952118055553</v>
      </c>
      <c r="C1138">
        <v>80</v>
      </c>
      <c r="D1138">
        <v>79.965812682999996</v>
      </c>
      <c r="E1138">
        <v>40</v>
      </c>
      <c r="F1138">
        <v>37.117370604999998</v>
      </c>
      <c r="G1138">
        <v>1340.4595947</v>
      </c>
      <c r="H1138">
        <v>1337.9567870999999</v>
      </c>
      <c r="I1138">
        <v>1324.3867187999999</v>
      </c>
      <c r="J1138">
        <v>1321.7464600000001</v>
      </c>
      <c r="K1138">
        <v>2750</v>
      </c>
      <c r="L1138">
        <v>0</v>
      </c>
      <c r="M1138">
        <v>0</v>
      </c>
      <c r="N1138">
        <v>2750</v>
      </c>
    </row>
    <row r="1139" spans="1:14" x14ac:dyDescent="0.25">
      <c r="A1139">
        <v>425.93917199999999</v>
      </c>
      <c r="B1139" s="1">
        <f>DATE(2011,6,30) + TIME(22,32,24)</f>
        <v>40724.939166666663</v>
      </c>
      <c r="C1139">
        <v>80</v>
      </c>
      <c r="D1139">
        <v>79.965797424000002</v>
      </c>
      <c r="E1139">
        <v>40</v>
      </c>
      <c r="F1139">
        <v>37.088062286000003</v>
      </c>
      <c r="G1139">
        <v>1340.4516602000001</v>
      </c>
      <c r="H1139">
        <v>1337.9523925999999</v>
      </c>
      <c r="I1139">
        <v>1324.3775635</v>
      </c>
      <c r="J1139">
        <v>1321.7324219</v>
      </c>
      <c r="K1139">
        <v>2750</v>
      </c>
      <c r="L1139">
        <v>0</v>
      </c>
      <c r="M1139">
        <v>0</v>
      </c>
      <c r="N1139">
        <v>2750</v>
      </c>
    </row>
    <row r="1140" spans="1:14" x14ac:dyDescent="0.25">
      <c r="A1140">
        <v>426</v>
      </c>
      <c r="B1140" s="1">
        <f>DATE(2011,7,1) + TIME(0,0,0)</f>
        <v>40725</v>
      </c>
      <c r="C1140">
        <v>80</v>
      </c>
      <c r="D1140">
        <v>79.965789795000006</v>
      </c>
      <c r="E1140">
        <v>40</v>
      </c>
      <c r="F1140">
        <v>37.084220885999997</v>
      </c>
      <c r="G1140">
        <v>1340.4437256000001</v>
      </c>
      <c r="H1140">
        <v>1337.9482422000001</v>
      </c>
      <c r="I1140">
        <v>1324.3696289</v>
      </c>
      <c r="J1140">
        <v>1321.7215576000001</v>
      </c>
      <c r="K1140">
        <v>2750</v>
      </c>
      <c r="L1140">
        <v>0</v>
      </c>
      <c r="M1140">
        <v>0</v>
      </c>
      <c r="N1140">
        <v>2750</v>
      </c>
    </row>
    <row r="1141" spans="1:14" x14ac:dyDescent="0.25">
      <c r="A1141">
        <v>427.01610299999999</v>
      </c>
      <c r="B1141" s="1">
        <f>DATE(2011,7,2) + TIME(0,23,11)</f>
        <v>40726.016099537039</v>
      </c>
      <c r="C1141">
        <v>80</v>
      </c>
      <c r="D1141">
        <v>79.965774535999998</v>
      </c>
      <c r="E1141">
        <v>40</v>
      </c>
      <c r="F1141">
        <v>37.055469512999998</v>
      </c>
      <c r="G1141">
        <v>1340.4429932</v>
      </c>
      <c r="H1141">
        <v>1337.947876</v>
      </c>
      <c r="I1141">
        <v>1324.3671875</v>
      </c>
      <c r="J1141">
        <v>1321.7165527</v>
      </c>
      <c r="K1141">
        <v>2750</v>
      </c>
      <c r="L1141">
        <v>0</v>
      </c>
      <c r="M1141">
        <v>0</v>
      </c>
      <c r="N1141">
        <v>2750</v>
      </c>
    </row>
    <row r="1142" spans="1:14" x14ac:dyDescent="0.25">
      <c r="A1142">
        <v>427.52919500000002</v>
      </c>
      <c r="B1142" s="1">
        <f>DATE(2011,7,2) + TIME(12,42,2)</f>
        <v>40726.529189814813</v>
      </c>
      <c r="C1142">
        <v>80</v>
      </c>
      <c r="D1142">
        <v>79.965759277000004</v>
      </c>
      <c r="E1142">
        <v>40</v>
      </c>
      <c r="F1142">
        <v>37.034679412999999</v>
      </c>
      <c r="G1142">
        <v>1340.4348144999999</v>
      </c>
      <c r="H1142">
        <v>1337.9433594</v>
      </c>
      <c r="I1142">
        <v>1324.3580322</v>
      </c>
      <c r="J1142">
        <v>1321.7028809000001</v>
      </c>
      <c r="K1142">
        <v>2750</v>
      </c>
      <c r="L1142">
        <v>0</v>
      </c>
      <c r="M1142">
        <v>0</v>
      </c>
      <c r="N1142">
        <v>2750</v>
      </c>
    </row>
    <row r="1143" spans="1:14" x14ac:dyDescent="0.25">
      <c r="A1143">
        <v>428.04228699999999</v>
      </c>
      <c r="B1143" s="1">
        <f>DATE(2011,7,3) + TIME(1,0,53)</f>
        <v>40727.042280092595</v>
      </c>
      <c r="C1143">
        <v>80</v>
      </c>
      <c r="D1143">
        <v>79.965744018999999</v>
      </c>
      <c r="E1143">
        <v>40</v>
      </c>
      <c r="F1143">
        <v>37.016155243</v>
      </c>
      <c r="G1143">
        <v>1340.4307861</v>
      </c>
      <c r="H1143">
        <v>1337.9411620999999</v>
      </c>
      <c r="I1143">
        <v>1324.3522949000001</v>
      </c>
      <c r="J1143">
        <v>1321.6939697</v>
      </c>
      <c r="K1143">
        <v>2750</v>
      </c>
      <c r="L1143">
        <v>0</v>
      </c>
      <c r="M1143">
        <v>0</v>
      </c>
      <c r="N1143">
        <v>2750</v>
      </c>
    </row>
    <row r="1144" spans="1:14" x14ac:dyDescent="0.25">
      <c r="A1144">
        <v>428.55537900000002</v>
      </c>
      <c r="B1144" s="1">
        <f>DATE(2011,7,3) + TIME(13,19,44)</f>
        <v>40727.55537037037</v>
      </c>
      <c r="C1144">
        <v>80</v>
      </c>
      <c r="D1144">
        <v>79.965736389</v>
      </c>
      <c r="E1144">
        <v>40</v>
      </c>
      <c r="F1144">
        <v>36.999031066999997</v>
      </c>
      <c r="G1144">
        <v>1340.4267577999999</v>
      </c>
      <c r="H1144">
        <v>1337.9389647999999</v>
      </c>
      <c r="I1144">
        <v>1324.3469238</v>
      </c>
      <c r="J1144">
        <v>1321.6854248</v>
      </c>
      <c r="K1144">
        <v>2750</v>
      </c>
      <c r="L1144">
        <v>0</v>
      </c>
      <c r="M1144">
        <v>0</v>
      </c>
      <c r="N1144">
        <v>2750</v>
      </c>
    </row>
    <row r="1145" spans="1:14" x14ac:dyDescent="0.25">
      <c r="A1145">
        <v>429.06847099999999</v>
      </c>
      <c r="B1145" s="1">
        <f>DATE(2011,7,4) + TIME(1,38,35)</f>
        <v>40728.068460648145</v>
      </c>
      <c r="C1145">
        <v>80</v>
      </c>
      <c r="D1145">
        <v>79.965728760000005</v>
      </c>
      <c r="E1145">
        <v>40</v>
      </c>
      <c r="F1145">
        <v>36.982780456999997</v>
      </c>
      <c r="G1145">
        <v>1340.4227295000001</v>
      </c>
      <c r="H1145">
        <v>1337.9367675999999</v>
      </c>
      <c r="I1145">
        <v>1324.3415527</v>
      </c>
      <c r="J1145">
        <v>1321.677124</v>
      </c>
      <c r="K1145">
        <v>2750</v>
      </c>
      <c r="L1145">
        <v>0</v>
      </c>
      <c r="M1145">
        <v>0</v>
      </c>
      <c r="N1145">
        <v>2750</v>
      </c>
    </row>
    <row r="1146" spans="1:14" x14ac:dyDescent="0.25">
      <c r="A1146">
        <v>429.58156200000002</v>
      </c>
      <c r="B1146" s="1">
        <f>DATE(2011,7,4) + TIME(13,57,26)</f>
        <v>40728.581550925926</v>
      </c>
      <c r="C1146">
        <v>80</v>
      </c>
      <c r="D1146">
        <v>79.965721130000006</v>
      </c>
      <c r="E1146">
        <v>40</v>
      </c>
      <c r="F1146">
        <v>36.967094420999999</v>
      </c>
      <c r="G1146">
        <v>1340.4187012</v>
      </c>
      <c r="H1146">
        <v>1337.9345702999999</v>
      </c>
      <c r="I1146">
        <v>1324.3363036999999</v>
      </c>
      <c r="J1146">
        <v>1321.6689452999999</v>
      </c>
      <c r="K1146">
        <v>2750</v>
      </c>
      <c r="L1146">
        <v>0</v>
      </c>
      <c r="M1146">
        <v>0</v>
      </c>
      <c r="N1146">
        <v>2750</v>
      </c>
    </row>
    <row r="1147" spans="1:14" x14ac:dyDescent="0.25">
      <c r="A1147">
        <v>430.09465399999999</v>
      </c>
      <c r="B1147" s="1">
        <f>DATE(2011,7,5) + TIME(2,16,18)</f>
        <v>40729.094652777778</v>
      </c>
      <c r="C1147">
        <v>80</v>
      </c>
      <c r="D1147">
        <v>79.965713500999996</v>
      </c>
      <c r="E1147">
        <v>40</v>
      </c>
      <c r="F1147">
        <v>36.951786040999998</v>
      </c>
      <c r="G1147">
        <v>1340.4147949000001</v>
      </c>
      <c r="H1147">
        <v>1337.9323730000001</v>
      </c>
      <c r="I1147">
        <v>1324.3311768000001</v>
      </c>
      <c r="J1147">
        <v>1321.6607666</v>
      </c>
      <c r="K1147">
        <v>2750</v>
      </c>
      <c r="L1147">
        <v>0</v>
      </c>
      <c r="M1147">
        <v>0</v>
      </c>
      <c r="N1147">
        <v>2750</v>
      </c>
    </row>
    <row r="1148" spans="1:14" x14ac:dyDescent="0.25">
      <c r="A1148">
        <v>430.60774600000002</v>
      </c>
      <c r="B1148" s="1">
        <f>DATE(2011,7,5) + TIME(14,35,9)</f>
        <v>40729.607743055552</v>
      </c>
      <c r="C1148">
        <v>80</v>
      </c>
      <c r="D1148">
        <v>79.965705872000001</v>
      </c>
      <c r="E1148">
        <v>40</v>
      </c>
      <c r="F1148">
        <v>36.936744689999998</v>
      </c>
      <c r="G1148">
        <v>1340.4108887</v>
      </c>
      <c r="H1148">
        <v>1337.9302978999999</v>
      </c>
      <c r="I1148">
        <v>1324.3259277</v>
      </c>
      <c r="J1148">
        <v>1321.6527100000001</v>
      </c>
      <c r="K1148">
        <v>2750</v>
      </c>
      <c r="L1148">
        <v>0</v>
      </c>
      <c r="M1148">
        <v>0</v>
      </c>
      <c r="N1148">
        <v>2750</v>
      </c>
    </row>
    <row r="1149" spans="1:14" x14ac:dyDescent="0.25">
      <c r="A1149">
        <v>431.63393000000002</v>
      </c>
      <c r="B1149" s="1">
        <f>DATE(2011,7,6) + TIME(15,12,51)</f>
        <v>40730.633923611109</v>
      </c>
      <c r="C1149">
        <v>80</v>
      </c>
      <c r="D1149">
        <v>79.965713500999996</v>
      </c>
      <c r="E1149">
        <v>40</v>
      </c>
      <c r="F1149">
        <v>36.915554047000001</v>
      </c>
      <c r="G1149">
        <v>1340.4069824000001</v>
      </c>
      <c r="H1149">
        <v>1337.9281006000001</v>
      </c>
      <c r="I1149">
        <v>1324.3203125</v>
      </c>
      <c r="J1149">
        <v>1321.6435547000001</v>
      </c>
      <c r="K1149">
        <v>2750</v>
      </c>
      <c r="L1149">
        <v>0</v>
      </c>
      <c r="M1149">
        <v>0</v>
      </c>
      <c r="N1149">
        <v>2750</v>
      </c>
    </row>
    <row r="1150" spans="1:14" x14ac:dyDescent="0.25">
      <c r="A1150">
        <v>432.66521499999999</v>
      </c>
      <c r="B1150" s="1">
        <f>DATE(2011,7,7) + TIME(15,57,54)</f>
        <v>40731.665208333332</v>
      </c>
      <c r="C1150">
        <v>80</v>
      </c>
      <c r="D1150">
        <v>79.965713500999996</v>
      </c>
      <c r="E1150">
        <v>40</v>
      </c>
      <c r="F1150">
        <v>36.889957428000002</v>
      </c>
      <c r="G1150">
        <v>1340.3992920000001</v>
      </c>
      <c r="H1150">
        <v>1337.9238281</v>
      </c>
      <c r="I1150">
        <v>1324.3109131000001</v>
      </c>
      <c r="J1150">
        <v>1321.6290283000001</v>
      </c>
      <c r="K1150">
        <v>2750</v>
      </c>
      <c r="L1150">
        <v>0</v>
      </c>
      <c r="M1150">
        <v>0</v>
      </c>
      <c r="N1150">
        <v>2750</v>
      </c>
    </row>
    <row r="1151" spans="1:14" x14ac:dyDescent="0.25">
      <c r="A1151">
        <v>433.72985599999998</v>
      </c>
      <c r="B1151" s="1">
        <f>DATE(2011,7,8) + TIME(17,30,59)</f>
        <v>40732.729849537034</v>
      </c>
      <c r="C1151">
        <v>80</v>
      </c>
      <c r="D1151">
        <v>79.965705872000001</v>
      </c>
      <c r="E1151">
        <v>40</v>
      </c>
      <c r="F1151">
        <v>36.862331390000001</v>
      </c>
      <c r="G1151">
        <v>1340.3916016000001</v>
      </c>
      <c r="H1151">
        <v>1337.9196777</v>
      </c>
      <c r="I1151">
        <v>1324.3007812000001</v>
      </c>
      <c r="J1151">
        <v>1321.6132812000001</v>
      </c>
      <c r="K1151">
        <v>2750</v>
      </c>
      <c r="L1151">
        <v>0</v>
      </c>
      <c r="M1151">
        <v>0</v>
      </c>
      <c r="N1151">
        <v>2750</v>
      </c>
    </row>
    <row r="1152" spans="1:14" x14ac:dyDescent="0.25">
      <c r="A1152">
        <v>434.27277600000002</v>
      </c>
      <c r="B1152" s="1">
        <f>DATE(2011,7,9) + TIME(6,32,47)</f>
        <v>40733.272766203707</v>
      </c>
      <c r="C1152">
        <v>80</v>
      </c>
      <c r="D1152">
        <v>79.965682982999994</v>
      </c>
      <c r="E1152">
        <v>40</v>
      </c>
      <c r="F1152">
        <v>36.842082976999997</v>
      </c>
      <c r="G1152">
        <v>1340.3837891000001</v>
      </c>
      <c r="H1152">
        <v>1337.9152832</v>
      </c>
      <c r="I1152">
        <v>1324.2908935999999</v>
      </c>
      <c r="J1152">
        <v>1321.5980225000001</v>
      </c>
      <c r="K1152">
        <v>2750</v>
      </c>
      <c r="L1152">
        <v>0</v>
      </c>
      <c r="M1152">
        <v>0</v>
      </c>
      <c r="N1152">
        <v>2750</v>
      </c>
    </row>
    <row r="1153" spans="1:14" x14ac:dyDescent="0.25">
      <c r="A1153">
        <v>434.81458099999998</v>
      </c>
      <c r="B1153" s="1">
        <f>DATE(2011,7,9) + TIME(19,32,59)</f>
        <v>40733.814571759256</v>
      </c>
      <c r="C1153">
        <v>80</v>
      </c>
      <c r="D1153">
        <v>79.965675353999998</v>
      </c>
      <c r="E1153">
        <v>40</v>
      </c>
      <c r="F1153">
        <v>36.824256896999998</v>
      </c>
      <c r="G1153">
        <v>1340.3798827999999</v>
      </c>
      <c r="H1153">
        <v>1337.9130858999999</v>
      </c>
      <c r="I1153">
        <v>1324.284668</v>
      </c>
      <c r="J1153">
        <v>1321.5878906</v>
      </c>
      <c r="K1153">
        <v>2750</v>
      </c>
      <c r="L1153">
        <v>0</v>
      </c>
      <c r="M1153">
        <v>0</v>
      </c>
      <c r="N1153">
        <v>2750</v>
      </c>
    </row>
    <row r="1154" spans="1:14" x14ac:dyDescent="0.25">
      <c r="A1154">
        <v>435.35614700000002</v>
      </c>
      <c r="B1154" s="1">
        <f>DATE(2011,7,10) + TIME(8,32,51)</f>
        <v>40734.356145833335</v>
      </c>
      <c r="C1154">
        <v>80</v>
      </c>
      <c r="D1154">
        <v>79.965667725000003</v>
      </c>
      <c r="E1154">
        <v>40</v>
      </c>
      <c r="F1154">
        <v>36.807899474999999</v>
      </c>
      <c r="G1154">
        <v>1340.3760986</v>
      </c>
      <c r="H1154">
        <v>1337.9108887</v>
      </c>
      <c r="I1154">
        <v>1324.2786865</v>
      </c>
      <c r="J1154">
        <v>1321.5782471</v>
      </c>
      <c r="K1154">
        <v>2750</v>
      </c>
      <c r="L1154">
        <v>0</v>
      </c>
      <c r="M1154">
        <v>0</v>
      </c>
      <c r="N1154">
        <v>2750</v>
      </c>
    </row>
    <row r="1155" spans="1:14" x14ac:dyDescent="0.25">
      <c r="A1155">
        <v>435.89771300000001</v>
      </c>
      <c r="B1155" s="1">
        <f>DATE(2011,7,10) + TIME(21,32,42)</f>
        <v>40734.89770833333</v>
      </c>
      <c r="C1155">
        <v>80</v>
      </c>
      <c r="D1155">
        <v>79.965667725000003</v>
      </c>
      <c r="E1155">
        <v>40</v>
      </c>
      <c r="F1155">
        <v>36.792472838999998</v>
      </c>
      <c r="G1155">
        <v>1340.3721923999999</v>
      </c>
      <c r="H1155">
        <v>1337.9086914</v>
      </c>
      <c r="I1155">
        <v>1324.2729492000001</v>
      </c>
      <c r="J1155">
        <v>1321.5689697</v>
      </c>
      <c r="K1155">
        <v>2750</v>
      </c>
      <c r="L1155">
        <v>0</v>
      </c>
      <c r="M1155">
        <v>0</v>
      </c>
      <c r="N1155">
        <v>2750</v>
      </c>
    </row>
    <row r="1156" spans="1:14" x14ac:dyDescent="0.25">
      <c r="A1156">
        <v>436.439279</v>
      </c>
      <c r="B1156" s="1">
        <f>DATE(2011,7,11) + TIME(10,32,33)</f>
        <v>40735.439270833333</v>
      </c>
      <c r="C1156">
        <v>80</v>
      </c>
      <c r="D1156">
        <v>79.965660095000004</v>
      </c>
      <c r="E1156">
        <v>40</v>
      </c>
      <c r="F1156">
        <v>36.777667999000002</v>
      </c>
      <c r="G1156">
        <v>1340.3684082</v>
      </c>
      <c r="H1156">
        <v>1337.9066161999999</v>
      </c>
      <c r="I1156">
        <v>1324.2672118999999</v>
      </c>
      <c r="J1156">
        <v>1321.5598144999999</v>
      </c>
      <c r="K1156">
        <v>2750</v>
      </c>
      <c r="L1156">
        <v>0</v>
      </c>
      <c r="M1156">
        <v>0</v>
      </c>
      <c r="N1156">
        <v>2750</v>
      </c>
    </row>
    <row r="1157" spans="1:14" x14ac:dyDescent="0.25">
      <c r="A1157">
        <v>436.98084399999999</v>
      </c>
      <c r="B1157" s="1">
        <f>DATE(2011,7,11) + TIME(23,32,24)</f>
        <v>40735.980833333335</v>
      </c>
      <c r="C1157">
        <v>80</v>
      </c>
      <c r="D1157">
        <v>79.965660095000004</v>
      </c>
      <c r="E1157">
        <v>40</v>
      </c>
      <c r="F1157">
        <v>36.763301849000001</v>
      </c>
      <c r="G1157">
        <v>1340.364624</v>
      </c>
      <c r="H1157">
        <v>1337.9044189000001</v>
      </c>
      <c r="I1157">
        <v>1324.2615966999999</v>
      </c>
      <c r="J1157">
        <v>1321.5507812000001</v>
      </c>
      <c r="K1157">
        <v>2750</v>
      </c>
      <c r="L1157">
        <v>0</v>
      </c>
      <c r="M1157">
        <v>0</v>
      </c>
      <c r="N1157">
        <v>2750</v>
      </c>
    </row>
    <row r="1158" spans="1:14" x14ac:dyDescent="0.25">
      <c r="A1158">
        <v>437.52240999999998</v>
      </c>
      <c r="B1158" s="1">
        <f>DATE(2011,7,12) + TIME(12,32,16)</f>
        <v>40736.522407407407</v>
      </c>
      <c r="C1158">
        <v>80</v>
      </c>
      <c r="D1158">
        <v>79.965660095000004</v>
      </c>
      <c r="E1158">
        <v>40</v>
      </c>
      <c r="F1158">
        <v>36.749279022000003</v>
      </c>
      <c r="G1158">
        <v>1340.3609618999999</v>
      </c>
      <c r="H1158">
        <v>1337.9023437999999</v>
      </c>
      <c r="I1158">
        <v>1324.2561035000001</v>
      </c>
      <c r="J1158">
        <v>1321.5417480000001</v>
      </c>
      <c r="K1158">
        <v>2750</v>
      </c>
      <c r="L1158">
        <v>0</v>
      </c>
      <c r="M1158">
        <v>0</v>
      </c>
      <c r="N1158">
        <v>2750</v>
      </c>
    </row>
    <row r="1159" spans="1:14" x14ac:dyDescent="0.25">
      <c r="A1159">
        <v>438.06397600000003</v>
      </c>
      <c r="B1159" s="1">
        <f>DATE(2011,7,13) + TIME(1,32,7)</f>
        <v>40737.063969907409</v>
      </c>
      <c r="C1159">
        <v>80</v>
      </c>
      <c r="D1159">
        <v>79.965652465999995</v>
      </c>
      <c r="E1159">
        <v>40</v>
      </c>
      <c r="F1159">
        <v>36.735538482999999</v>
      </c>
      <c r="G1159">
        <v>1340.3571777</v>
      </c>
      <c r="H1159">
        <v>1337.9002685999999</v>
      </c>
      <c r="I1159">
        <v>1324.2504882999999</v>
      </c>
      <c r="J1159">
        <v>1321.5328368999999</v>
      </c>
      <c r="K1159">
        <v>2750</v>
      </c>
      <c r="L1159">
        <v>0</v>
      </c>
      <c r="M1159">
        <v>0</v>
      </c>
      <c r="N1159">
        <v>2750</v>
      </c>
    </row>
    <row r="1160" spans="1:14" x14ac:dyDescent="0.25">
      <c r="A1160">
        <v>438.60554200000001</v>
      </c>
      <c r="B1160" s="1">
        <f>DATE(2011,7,13) + TIME(14,31,58)</f>
        <v>40737.605532407404</v>
      </c>
      <c r="C1160">
        <v>80</v>
      </c>
      <c r="D1160">
        <v>79.965652465999995</v>
      </c>
      <c r="E1160">
        <v>40</v>
      </c>
      <c r="F1160">
        <v>36.722061156999999</v>
      </c>
      <c r="G1160">
        <v>1340.3535156</v>
      </c>
      <c r="H1160">
        <v>1337.8980713000001</v>
      </c>
      <c r="I1160">
        <v>1324.2448730000001</v>
      </c>
      <c r="J1160">
        <v>1321.5238036999999</v>
      </c>
      <c r="K1160">
        <v>2750</v>
      </c>
      <c r="L1160">
        <v>0</v>
      </c>
      <c r="M1160">
        <v>0</v>
      </c>
      <c r="N1160">
        <v>2750</v>
      </c>
    </row>
    <row r="1161" spans="1:14" x14ac:dyDescent="0.25">
      <c r="A1161">
        <v>439.14710700000001</v>
      </c>
      <c r="B1161" s="1">
        <f>DATE(2011,7,14) + TIME(3,31,50)</f>
        <v>40738.147106481483</v>
      </c>
      <c r="C1161">
        <v>80</v>
      </c>
      <c r="D1161">
        <v>79.965652465999995</v>
      </c>
      <c r="E1161">
        <v>40</v>
      </c>
      <c r="F1161">
        <v>36.708835602000001</v>
      </c>
      <c r="G1161">
        <v>1340.3498535000001</v>
      </c>
      <c r="H1161">
        <v>1337.8959961</v>
      </c>
      <c r="I1161">
        <v>1324.2393798999999</v>
      </c>
      <c r="J1161">
        <v>1321.5147704999999</v>
      </c>
      <c r="K1161">
        <v>2750</v>
      </c>
      <c r="L1161">
        <v>0</v>
      </c>
      <c r="M1161">
        <v>0</v>
      </c>
      <c r="N1161">
        <v>2750</v>
      </c>
    </row>
    <row r="1162" spans="1:14" x14ac:dyDescent="0.25">
      <c r="A1162">
        <v>440.23023899999998</v>
      </c>
      <c r="B1162" s="1">
        <f>DATE(2011,7,15) + TIME(5,31,32)</f>
        <v>40739.230231481481</v>
      </c>
      <c r="C1162">
        <v>80</v>
      </c>
      <c r="D1162">
        <v>79.965660095000004</v>
      </c>
      <c r="E1162">
        <v>40</v>
      </c>
      <c r="F1162">
        <v>36.690521240000002</v>
      </c>
      <c r="G1162">
        <v>1340.3461914</v>
      </c>
      <c r="H1162">
        <v>1337.8939209</v>
      </c>
      <c r="I1162">
        <v>1324.2332764</v>
      </c>
      <c r="J1162">
        <v>1321.5045166</v>
      </c>
      <c r="K1162">
        <v>2750</v>
      </c>
      <c r="L1162">
        <v>0</v>
      </c>
      <c r="M1162">
        <v>0</v>
      </c>
      <c r="N1162">
        <v>2750</v>
      </c>
    </row>
    <row r="1163" spans="1:14" x14ac:dyDescent="0.25">
      <c r="A1163">
        <v>441.32106800000003</v>
      </c>
      <c r="B1163" s="1">
        <f>DATE(2011,7,16) + TIME(7,42,20)</f>
        <v>40740.321064814816</v>
      </c>
      <c r="C1163">
        <v>80</v>
      </c>
      <c r="D1163">
        <v>79.965660095000004</v>
      </c>
      <c r="E1163">
        <v>40</v>
      </c>
      <c r="F1163">
        <v>36.668407440000003</v>
      </c>
      <c r="G1163">
        <v>1340.3389893000001</v>
      </c>
      <c r="H1163">
        <v>1337.8897704999999</v>
      </c>
      <c r="I1163">
        <v>1324.2233887</v>
      </c>
      <c r="J1163">
        <v>1321.4885254000001</v>
      </c>
      <c r="K1163">
        <v>2750</v>
      </c>
      <c r="L1163">
        <v>0</v>
      </c>
      <c r="M1163">
        <v>0</v>
      </c>
      <c r="N1163">
        <v>2750</v>
      </c>
    </row>
    <row r="1164" spans="1:14" x14ac:dyDescent="0.25">
      <c r="A1164">
        <v>442.42509799999999</v>
      </c>
      <c r="B1164" s="1">
        <f>DATE(2011,7,17) + TIME(10,12,8)</f>
        <v>40741.425092592595</v>
      </c>
      <c r="C1164">
        <v>80</v>
      </c>
      <c r="D1164">
        <v>79.965660095000004</v>
      </c>
      <c r="E1164">
        <v>40</v>
      </c>
      <c r="F1164">
        <v>36.645278931</v>
      </c>
      <c r="G1164">
        <v>1340.3317870999999</v>
      </c>
      <c r="H1164">
        <v>1337.8856201000001</v>
      </c>
      <c r="I1164">
        <v>1324.2127685999999</v>
      </c>
      <c r="J1164">
        <v>1321.4709473</v>
      </c>
      <c r="K1164">
        <v>2750</v>
      </c>
      <c r="L1164">
        <v>0</v>
      </c>
      <c r="M1164">
        <v>0</v>
      </c>
      <c r="N1164">
        <v>2750</v>
      </c>
    </row>
    <row r="1165" spans="1:14" x14ac:dyDescent="0.25">
      <c r="A1165">
        <v>443.53723100000002</v>
      </c>
      <c r="B1165" s="1">
        <f>DATE(2011,7,18) + TIME(12,53,36)</f>
        <v>40742.537222222221</v>
      </c>
      <c r="C1165">
        <v>80</v>
      </c>
      <c r="D1165">
        <v>79.965660095000004</v>
      </c>
      <c r="E1165">
        <v>40</v>
      </c>
      <c r="F1165">
        <v>36.622432709000002</v>
      </c>
      <c r="G1165">
        <v>1340.3245850000001</v>
      </c>
      <c r="H1165">
        <v>1337.8814697</v>
      </c>
      <c r="I1165">
        <v>1324.2017822</v>
      </c>
      <c r="J1165">
        <v>1321.4527588000001</v>
      </c>
      <c r="K1165">
        <v>2750</v>
      </c>
      <c r="L1165">
        <v>0</v>
      </c>
      <c r="M1165">
        <v>0</v>
      </c>
      <c r="N1165">
        <v>2750</v>
      </c>
    </row>
    <row r="1166" spans="1:14" x14ac:dyDescent="0.25">
      <c r="A1166">
        <v>444.66522600000002</v>
      </c>
      <c r="B1166" s="1">
        <f>DATE(2011,7,19) + TIME(15,57,55)</f>
        <v>40743.665219907409</v>
      </c>
      <c r="C1166">
        <v>80</v>
      </c>
      <c r="D1166">
        <v>79.965660095000004</v>
      </c>
      <c r="E1166">
        <v>40</v>
      </c>
      <c r="F1166">
        <v>36.600502014</v>
      </c>
      <c r="G1166">
        <v>1340.3173827999999</v>
      </c>
      <c r="H1166">
        <v>1337.8773193</v>
      </c>
      <c r="I1166">
        <v>1324.1906738</v>
      </c>
      <c r="J1166">
        <v>1321.434082</v>
      </c>
      <c r="K1166">
        <v>2750</v>
      </c>
      <c r="L1166">
        <v>0</v>
      </c>
      <c r="M1166">
        <v>0</v>
      </c>
      <c r="N1166">
        <v>2750</v>
      </c>
    </row>
    <row r="1167" spans="1:14" x14ac:dyDescent="0.25">
      <c r="A1167">
        <v>445.23365899999999</v>
      </c>
      <c r="B1167" s="1">
        <f>DATE(2011,7,20) + TIME(5,36,28)</f>
        <v>40744.233657407407</v>
      </c>
      <c r="C1167">
        <v>80</v>
      </c>
      <c r="D1167">
        <v>79.965644835999996</v>
      </c>
      <c r="E1167">
        <v>40</v>
      </c>
      <c r="F1167">
        <v>36.585777282999999</v>
      </c>
      <c r="G1167">
        <v>1340.3103027</v>
      </c>
      <c r="H1167">
        <v>1337.8731689000001</v>
      </c>
      <c r="I1167">
        <v>1324.1802978999999</v>
      </c>
      <c r="J1167">
        <v>1321.4167480000001</v>
      </c>
      <c r="K1167">
        <v>2750</v>
      </c>
      <c r="L1167">
        <v>0</v>
      </c>
      <c r="M1167">
        <v>0</v>
      </c>
      <c r="N1167">
        <v>2750</v>
      </c>
    </row>
    <row r="1168" spans="1:14" x14ac:dyDescent="0.25">
      <c r="A1168">
        <v>445.80209100000002</v>
      </c>
      <c r="B1168" s="1">
        <f>DATE(2011,7,20) + TIME(19,15,0)</f>
        <v>40744.802083333336</v>
      </c>
      <c r="C1168">
        <v>80</v>
      </c>
      <c r="D1168">
        <v>79.965637207</v>
      </c>
      <c r="E1168">
        <v>40</v>
      </c>
      <c r="F1168">
        <v>36.573616028000004</v>
      </c>
      <c r="G1168">
        <v>1340.3067627</v>
      </c>
      <c r="H1168">
        <v>1337.8710937999999</v>
      </c>
      <c r="I1168">
        <v>1324.1737060999999</v>
      </c>
      <c r="J1168">
        <v>1321.4053954999999</v>
      </c>
      <c r="K1168">
        <v>2750</v>
      </c>
      <c r="L1168">
        <v>0</v>
      </c>
      <c r="M1168">
        <v>0</v>
      </c>
      <c r="N1168">
        <v>2750</v>
      </c>
    </row>
    <row r="1169" spans="1:14" x14ac:dyDescent="0.25">
      <c r="A1169">
        <v>446.37052399999999</v>
      </c>
      <c r="B1169" s="1">
        <f>DATE(2011,7,21) + TIME(8,53,33)</f>
        <v>40745.370520833334</v>
      </c>
      <c r="C1169">
        <v>80</v>
      </c>
      <c r="D1169">
        <v>79.965637207</v>
      </c>
      <c r="E1169">
        <v>40</v>
      </c>
      <c r="F1169">
        <v>36.563190460000001</v>
      </c>
      <c r="G1169">
        <v>1340.3032227000001</v>
      </c>
      <c r="H1169">
        <v>1337.8690185999999</v>
      </c>
      <c r="I1169">
        <v>1324.1674805</v>
      </c>
      <c r="J1169">
        <v>1321.3947754000001</v>
      </c>
      <c r="K1169">
        <v>2750</v>
      </c>
      <c r="L1169">
        <v>0</v>
      </c>
      <c r="M1169">
        <v>0</v>
      </c>
      <c r="N1169">
        <v>2750</v>
      </c>
    </row>
    <row r="1170" spans="1:14" x14ac:dyDescent="0.25">
      <c r="A1170">
        <v>446.93895600000002</v>
      </c>
      <c r="B1170" s="1">
        <f>DATE(2011,7,21) + TIME(22,32,5)</f>
        <v>40745.938946759263</v>
      </c>
      <c r="C1170">
        <v>80</v>
      </c>
      <c r="D1170">
        <v>79.965637207</v>
      </c>
      <c r="E1170">
        <v>40</v>
      </c>
      <c r="F1170">
        <v>36.554042815999999</v>
      </c>
      <c r="G1170">
        <v>1340.2996826000001</v>
      </c>
      <c r="H1170">
        <v>1337.8669434000001</v>
      </c>
      <c r="I1170">
        <v>1324.1616211</v>
      </c>
      <c r="J1170">
        <v>1321.3845214999999</v>
      </c>
      <c r="K1170">
        <v>2750</v>
      </c>
      <c r="L1170">
        <v>0</v>
      </c>
      <c r="M1170">
        <v>0</v>
      </c>
      <c r="N1170">
        <v>2750</v>
      </c>
    </row>
    <row r="1171" spans="1:14" x14ac:dyDescent="0.25">
      <c r="A1171">
        <v>447.50738899999999</v>
      </c>
      <c r="B1171" s="1">
        <f>DATE(2011,7,22) + TIME(12,10,38)</f>
        <v>40746.507384259261</v>
      </c>
      <c r="C1171">
        <v>80</v>
      </c>
      <c r="D1171">
        <v>79.965637207</v>
      </c>
      <c r="E1171">
        <v>40</v>
      </c>
      <c r="F1171">
        <v>36.545948029000002</v>
      </c>
      <c r="G1171">
        <v>1340.2962646000001</v>
      </c>
      <c r="H1171">
        <v>1337.8648682</v>
      </c>
      <c r="I1171">
        <v>1324.1558838000001</v>
      </c>
      <c r="J1171">
        <v>1321.3745117000001</v>
      </c>
      <c r="K1171">
        <v>2750</v>
      </c>
      <c r="L1171">
        <v>0</v>
      </c>
      <c r="M1171">
        <v>0</v>
      </c>
      <c r="N1171">
        <v>2750</v>
      </c>
    </row>
    <row r="1172" spans="1:14" x14ac:dyDescent="0.25">
      <c r="A1172">
        <v>448.07582100000002</v>
      </c>
      <c r="B1172" s="1">
        <f>DATE(2011,7,23) + TIME(1,49,10)</f>
        <v>40747.075810185182</v>
      </c>
      <c r="C1172">
        <v>80</v>
      </c>
      <c r="D1172">
        <v>79.965637207</v>
      </c>
      <c r="E1172">
        <v>40</v>
      </c>
      <c r="F1172">
        <v>36.538810730000002</v>
      </c>
      <c r="G1172">
        <v>1340.2928466999999</v>
      </c>
      <c r="H1172">
        <v>1337.862793</v>
      </c>
      <c r="I1172">
        <v>1324.1502685999999</v>
      </c>
      <c r="J1172">
        <v>1321.3647461</v>
      </c>
      <c r="K1172">
        <v>2750</v>
      </c>
      <c r="L1172">
        <v>0</v>
      </c>
      <c r="M1172">
        <v>0</v>
      </c>
      <c r="N1172">
        <v>2750</v>
      </c>
    </row>
    <row r="1173" spans="1:14" x14ac:dyDescent="0.25">
      <c r="A1173">
        <v>448.64425399999999</v>
      </c>
      <c r="B1173" s="1">
        <f>DATE(2011,7,23) + TIME(15,27,43)</f>
        <v>40747.644247685188</v>
      </c>
      <c r="C1173">
        <v>80</v>
      </c>
      <c r="D1173">
        <v>79.965637207</v>
      </c>
      <c r="E1173">
        <v>40</v>
      </c>
      <c r="F1173">
        <v>36.532592772999998</v>
      </c>
      <c r="G1173">
        <v>1340.2894286999999</v>
      </c>
      <c r="H1173">
        <v>1337.8608397999999</v>
      </c>
      <c r="I1173">
        <v>1324.1446533000001</v>
      </c>
      <c r="J1173">
        <v>1321.3549805</v>
      </c>
      <c r="K1173">
        <v>2750</v>
      </c>
      <c r="L1173">
        <v>0</v>
      </c>
      <c r="M1173">
        <v>0</v>
      </c>
      <c r="N1173">
        <v>2750</v>
      </c>
    </row>
    <row r="1174" spans="1:14" x14ac:dyDescent="0.25">
      <c r="A1174">
        <v>449.21268600000002</v>
      </c>
      <c r="B1174" s="1">
        <f>DATE(2011,7,24) + TIME(5,6,16)</f>
        <v>40748.212685185186</v>
      </c>
      <c r="C1174">
        <v>80</v>
      </c>
      <c r="D1174">
        <v>79.965637207</v>
      </c>
      <c r="E1174">
        <v>40</v>
      </c>
      <c r="F1174">
        <v>36.527305603000002</v>
      </c>
      <c r="G1174">
        <v>1340.2860106999999</v>
      </c>
      <c r="H1174">
        <v>1337.8587646000001</v>
      </c>
      <c r="I1174">
        <v>1324.1391602000001</v>
      </c>
      <c r="J1174">
        <v>1321.3453368999999</v>
      </c>
      <c r="K1174">
        <v>2750</v>
      </c>
      <c r="L1174">
        <v>0</v>
      </c>
      <c r="M1174">
        <v>0</v>
      </c>
      <c r="N1174">
        <v>2750</v>
      </c>
    </row>
    <row r="1175" spans="1:14" x14ac:dyDescent="0.25">
      <c r="A1175">
        <v>449.78111899999999</v>
      </c>
      <c r="B1175" s="1">
        <f>DATE(2011,7,24) + TIME(18,44,48)</f>
        <v>40748.781111111108</v>
      </c>
      <c r="C1175">
        <v>80</v>
      </c>
      <c r="D1175">
        <v>79.965637207</v>
      </c>
      <c r="E1175">
        <v>40</v>
      </c>
      <c r="F1175">
        <v>36.522987366000002</v>
      </c>
      <c r="G1175">
        <v>1340.2825928</v>
      </c>
      <c r="H1175">
        <v>1337.8566894999999</v>
      </c>
      <c r="I1175">
        <v>1324.1337891000001</v>
      </c>
      <c r="J1175">
        <v>1321.3356934000001</v>
      </c>
      <c r="K1175">
        <v>2750</v>
      </c>
      <c r="L1175">
        <v>0</v>
      </c>
      <c r="M1175">
        <v>0</v>
      </c>
      <c r="N1175">
        <v>2750</v>
      </c>
    </row>
    <row r="1176" spans="1:14" x14ac:dyDescent="0.25">
      <c r="A1176">
        <v>450.34955100000002</v>
      </c>
      <c r="B1176" s="1">
        <f>DATE(2011,7,25) + TIME(8,23,21)</f>
        <v>40749.349548611113</v>
      </c>
      <c r="C1176">
        <v>80</v>
      </c>
      <c r="D1176">
        <v>79.965637207</v>
      </c>
      <c r="E1176">
        <v>40</v>
      </c>
      <c r="F1176">
        <v>36.519691467000001</v>
      </c>
      <c r="G1176">
        <v>1340.2791748</v>
      </c>
      <c r="H1176">
        <v>1337.8547363</v>
      </c>
      <c r="I1176">
        <v>1324.128418</v>
      </c>
      <c r="J1176">
        <v>1321.3260498</v>
      </c>
      <c r="K1176">
        <v>2750</v>
      </c>
      <c r="L1176">
        <v>0</v>
      </c>
      <c r="M1176">
        <v>0</v>
      </c>
      <c r="N1176">
        <v>2750</v>
      </c>
    </row>
    <row r="1177" spans="1:14" x14ac:dyDescent="0.25">
      <c r="A1177">
        <v>450.91798399999999</v>
      </c>
      <c r="B1177" s="1">
        <f>DATE(2011,7,25) + TIME(22,1,53)</f>
        <v>40749.917974537035</v>
      </c>
      <c r="C1177">
        <v>80</v>
      </c>
      <c r="D1177">
        <v>79.965644835999996</v>
      </c>
      <c r="E1177">
        <v>40</v>
      </c>
      <c r="F1177">
        <v>36.517490387000002</v>
      </c>
      <c r="G1177">
        <v>1340.2758789</v>
      </c>
      <c r="H1177">
        <v>1337.8526611</v>
      </c>
      <c r="I1177">
        <v>1324.1230469</v>
      </c>
      <c r="J1177">
        <v>1321.3165283000001</v>
      </c>
      <c r="K1177">
        <v>2750</v>
      </c>
      <c r="L1177">
        <v>0</v>
      </c>
      <c r="M1177">
        <v>0</v>
      </c>
      <c r="N1177">
        <v>2750</v>
      </c>
    </row>
    <row r="1178" spans="1:14" x14ac:dyDescent="0.25">
      <c r="A1178">
        <v>452.05484899999999</v>
      </c>
      <c r="B1178" s="1">
        <f>DATE(2011,7,27) + TIME(1,18,58)</f>
        <v>40751.054837962962</v>
      </c>
      <c r="C1178">
        <v>80</v>
      </c>
      <c r="D1178">
        <v>79.965660095000004</v>
      </c>
      <c r="E1178">
        <v>40</v>
      </c>
      <c r="F1178">
        <v>36.516044616999999</v>
      </c>
      <c r="G1178">
        <v>1340.2725829999999</v>
      </c>
      <c r="H1178">
        <v>1337.8507079999999</v>
      </c>
      <c r="I1178">
        <v>1324.1170654</v>
      </c>
      <c r="J1178">
        <v>1321.3057861</v>
      </c>
      <c r="K1178">
        <v>2750</v>
      </c>
      <c r="L1178">
        <v>0</v>
      </c>
      <c r="M1178">
        <v>0</v>
      </c>
      <c r="N1178">
        <v>2750</v>
      </c>
    </row>
    <row r="1179" spans="1:14" x14ac:dyDescent="0.25">
      <c r="A1179">
        <v>453.19675000000001</v>
      </c>
      <c r="B1179" s="1">
        <f>DATE(2011,7,28) + TIME(4,43,19)</f>
        <v>40752.196747685186</v>
      </c>
      <c r="C1179">
        <v>80</v>
      </c>
      <c r="D1179">
        <v>79.965667725000003</v>
      </c>
      <c r="E1179">
        <v>40</v>
      </c>
      <c r="F1179">
        <v>36.517734527999998</v>
      </c>
      <c r="G1179">
        <v>1340.2658690999999</v>
      </c>
      <c r="H1179">
        <v>1337.8468018000001</v>
      </c>
      <c r="I1179">
        <v>1324.1080322</v>
      </c>
      <c r="J1179">
        <v>1321.2890625</v>
      </c>
      <c r="K1179">
        <v>2750</v>
      </c>
      <c r="L1179">
        <v>0</v>
      </c>
      <c r="M1179">
        <v>0</v>
      </c>
      <c r="N1179">
        <v>2750</v>
      </c>
    </row>
    <row r="1180" spans="1:14" x14ac:dyDescent="0.25">
      <c r="A1180">
        <v>453.78564</v>
      </c>
      <c r="B1180" s="1">
        <f>DATE(2011,7,28) + TIME(18,51,19)</f>
        <v>40752.785636574074</v>
      </c>
      <c r="C1180">
        <v>80</v>
      </c>
      <c r="D1180">
        <v>79.965660095000004</v>
      </c>
      <c r="E1180">
        <v>40</v>
      </c>
      <c r="F1180">
        <v>36.522510529000002</v>
      </c>
      <c r="G1180">
        <v>1340.2593993999999</v>
      </c>
      <c r="H1180">
        <v>1337.8427733999999</v>
      </c>
      <c r="I1180">
        <v>1324.0992432</v>
      </c>
      <c r="J1180">
        <v>1321.2725829999999</v>
      </c>
      <c r="K1180">
        <v>2750</v>
      </c>
      <c r="L1180">
        <v>0</v>
      </c>
      <c r="M1180">
        <v>0</v>
      </c>
      <c r="N1180">
        <v>2750</v>
      </c>
    </row>
    <row r="1181" spans="1:14" x14ac:dyDescent="0.25">
      <c r="A1181">
        <v>454.37452999999999</v>
      </c>
      <c r="B1181" s="1">
        <f>DATE(2011,7,29) + TIME(8,59,19)</f>
        <v>40753.374525462961</v>
      </c>
      <c r="C1181">
        <v>80</v>
      </c>
      <c r="D1181">
        <v>79.965652465999995</v>
      </c>
      <c r="E1181">
        <v>40</v>
      </c>
      <c r="F1181">
        <v>36.528942108000003</v>
      </c>
      <c r="G1181">
        <v>1340.2559814000001</v>
      </c>
      <c r="H1181">
        <v>1337.8406981999999</v>
      </c>
      <c r="I1181">
        <v>1324.0931396000001</v>
      </c>
      <c r="J1181">
        <v>1321.2613524999999</v>
      </c>
      <c r="K1181">
        <v>2750</v>
      </c>
      <c r="L1181">
        <v>0</v>
      </c>
      <c r="M1181">
        <v>0</v>
      </c>
      <c r="N1181">
        <v>2750</v>
      </c>
    </row>
    <row r="1182" spans="1:14" x14ac:dyDescent="0.25">
      <c r="A1182">
        <v>454.96341999999999</v>
      </c>
      <c r="B1182" s="1">
        <f>DATE(2011,7,29) + TIME(23,7,19)</f>
        <v>40753.963414351849</v>
      </c>
      <c r="C1182">
        <v>80</v>
      </c>
      <c r="D1182">
        <v>79.965660095000004</v>
      </c>
      <c r="E1182">
        <v>40</v>
      </c>
      <c r="F1182">
        <v>36.537227631</v>
      </c>
      <c r="G1182">
        <v>1340.2526855000001</v>
      </c>
      <c r="H1182">
        <v>1337.8387451000001</v>
      </c>
      <c r="I1182">
        <v>1324.0875243999999</v>
      </c>
      <c r="J1182">
        <v>1321.2508545000001</v>
      </c>
      <c r="K1182">
        <v>2750</v>
      </c>
      <c r="L1182">
        <v>0</v>
      </c>
      <c r="M1182">
        <v>0</v>
      </c>
      <c r="N1182">
        <v>2750</v>
      </c>
    </row>
    <row r="1183" spans="1:14" x14ac:dyDescent="0.25">
      <c r="A1183">
        <v>455.55230999999998</v>
      </c>
      <c r="B1183" s="1">
        <f>DATE(2011,7,30) + TIME(13,15,19)</f>
        <v>40754.552303240744</v>
      </c>
      <c r="C1183">
        <v>80</v>
      </c>
      <c r="D1183">
        <v>79.965660095000004</v>
      </c>
      <c r="E1183">
        <v>40</v>
      </c>
      <c r="F1183">
        <v>36.547546386999997</v>
      </c>
      <c r="G1183">
        <v>1340.2493896000001</v>
      </c>
      <c r="H1183">
        <v>1337.8366699000001</v>
      </c>
      <c r="I1183">
        <v>1324.0822754000001</v>
      </c>
      <c r="J1183">
        <v>1321.2408447</v>
      </c>
      <c r="K1183">
        <v>2750</v>
      </c>
      <c r="L1183">
        <v>0</v>
      </c>
      <c r="M1183">
        <v>0</v>
      </c>
      <c r="N1183">
        <v>2750</v>
      </c>
    </row>
    <row r="1184" spans="1:14" x14ac:dyDescent="0.25">
      <c r="A1184">
        <v>456.14120000000003</v>
      </c>
      <c r="B1184" s="1">
        <f>DATE(2011,7,31) + TIME(3,23,19)</f>
        <v>40755.141192129631</v>
      </c>
      <c r="C1184">
        <v>80</v>
      </c>
      <c r="D1184">
        <v>79.965660095000004</v>
      </c>
      <c r="E1184">
        <v>40</v>
      </c>
      <c r="F1184">
        <v>36.560081482000001</v>
      </c>
      <c r="G1184">
        <v>1340.2460937999999</v>
      </c>
      <c r="H1184">
        <v>1337.8347168</v>
      </c>
      <c r="I1184">
        <v>1324.0771483999999</v>
      </c>
      <c r="J1184">
        <v>1321.2310791</v>
      </c>
      <c r="K1184">
        <v>2750</v>
      </c>
      <c r="L1184">
        <v>0</v>
      </c>
      <c r="M1184">
        <v>0</v>
      </c>
      <c r="N1184">
        <v>2750</v>
      </c>
    </row>
    <row r="1185" spans="1:14" x14ac:dyDescent="0.25">
      <c r="A1185">
        <v>457</v>
      </c>
      <c r="B1185" s="1">
        <f>DATE(2011,8,1) + TIME(0,0,0)</f>
        <v>40756</v>
      </c>
      <c r="C1185">
        <v>80</v>
      </c>
      <c r="D1185">
        <v>79.965667725000003</v>
      </c>
      <c r="E1185">
        <v>40</v>
      </c>
      <c r="F1185">
        <v>36.578128814999999</v>
      </c>
      <c r="G1185">
        <v>1340.2427978999999</v>
      </c>
      <c r="H1185">
        <v>1337.8326416</v>
      </c>
      <c r="I1185">
        <v>1324.0716553</v>
      </c>
      <c r="J1185">
        <v>1321.2208252</v>
      </c>
      <c r="K1185">
        <v>2750</v>
      </c>
      <c r="L1185">
        <v>0</v>
      </c>
      <c r="M1185">
        <v>0</v>
      </c>
      <c r="N1185">
        <v>2750</v>
      </c>
    </row>
    <row r="1186" spans="1:14" x14ac:dyDescent="0.25">
      <c r="A1186">
        <v>458.17777999999998</v>
      </c>
      <c r="B1186" s="1">
        <f>DATE(2011,8,2) + TIME(4,16,0)</f>
        <v>40757.177777777775</v>
      </c>
      <c r="C1186">
        <v>80</v>
      </c>
      <c r="D1186">
        <v>79.965682982999994</v>
      </c>
      <c r="E1186">
        <v>40</v>
      </c>
      <c r="F1186">
        <v>36.606197356999999</v>
      </c>
      <c r="G1186">
        <v>1340.2380370999999</v>
      </c>
      <c r="H1186">
        <v>1337.8298339999999</v>
      </c>
      <c r="I1186">
        <v>1324.0648193</v>
      </c>
      <c r="J1186">
        <v>1321.2075195</v>
      </c>
      <c r="K1186">
        <v>2750</v>
      </c>
      <c r="L1186">
        <v>0</v>
      </c>
      <c r="M1186">
        <v>0</v>
      </c>
      <c r="N1186">
        <v>2750</v>
      </c>
    </row>
    <row r="1187" spans="1:14" x14ac:dyDescent="0.25">
      <c r="A1187">
        <v>459.35632600000002</v>
      </c>
      <c r="B1187" s="1">
        <f>DATE(2011,8,3) + TIME(8,33,6)</f>
        <v>40758.356319444443</v>
      </c>
      <c r="C1187">
        <v>80</v>
      </c>
      <c r="D1187">
        <v>79.965690613000007</v>
      </c>
      <c r="E1187">
        <v>40</v>
      </c>
      <c r="F1187">
        <v>36.647853851000001</v>
      </c>
      <c r="G1187">
        <v>1340.2315673999999</v>
      </c>
      <c r="H1187">
        <v>1337.8258057</v>
      </c>
      <c r="I1187">
        <v>1324.0566406</v>
      </c>
      <c r="J1187">
        <v>1321.1907959</v>
      </c>
      <c r="K1187">
        <v>2750</v>
      </c>
      <c r="L1187">
        <v>0</v>
      </c>
      <c r="M1187">
        <v>0</v>
      </c>
      <c r="N1187">
        <v>2750</v>
      </c>
    </row>
    <row r="1188" spans="1:14" x14ac:dyDescent="0.25">
      <c r="A1188">
        <v>460.54732999999999</v>
      </c>
      <c r="B1188" s="1">
        <f>DATE(2011,8,4) + TIME(13,8,9)</f>
        <v>40759.547326388885</v>
      </c>
      <c r="C1188">
        <v>80</v>
      </c>
      <c r="D1188">
        <v>79.965698242000002</v>
      </c>
      <c r="E1188">
        <v>40</v>
      </c>
      <c r="F1188">
        <v>36.703033447000003</v>
      </c>
      <c r="G1188">
        <v>1340.2252197</v>
      </c>
      <c r="H1188">
        <v>1337.8218993999999</v>
      </c>
      <c r="I1188">
        <v>1324.0479736</v>
      </c>
      <c r="J1188">
        <v>1321.1733397999999</v>
      </c>
      <c r="K1188">
        <v>2750</v>
      </c>
      <c r="L1188">
        <v>0</v>
      </c>
      <c r="M1188">
        <v>0</v>
      </c>
      <c r="N1188">
        <v>2750</v>
      </c>
    </row>
    <row r="1189" spans="1:14" x14ac:dyDescent="0.25">
      <c r="A1189">
        <v>461.74404099999998</v>
      </c>
      <c r="B1189" s="1">
        <f>DATE(2011,8,5) + TIME(17,51,25)</f>
        <v>40760.744039351855</v>
      </c>
      <c r="C1189">
        <v>80</v>
      </c>
      <c r="D1189">
        <v>79.965705872000001</v>
      </c>
      <c r="E1189">
        <v>40</v>
      </c>
      <c r="F1189">
        <v>36.772998809999997</v>
      </c>
      <c r="G1189">
        <v>1340.21875</v>
      </c>
      <c r="H1189">
        <v>1337.8178711</v>
      </c>
      <c r="I1189">
        <v>1324.0395507999999</v>
      </c>
      <c r="J1189">
        <v>1321.1558838000001</v>
      </c>
      <c r="K1189">
        <v>2750</v>
      </c>
      <c r="L1189">
        <v>0</v>
      </c>
      <c r="M1189">
        <v>0</v>
      </c>
      <c r="N1189">
        <v>2750</v>
      </c>
    </row>
    <row r="1190" spans="1:14" x14ac:dyDescent="0.25">
      <c r="A1190">
        <v>462.34922399999999</v>
      </c>
      <c r="B1190" s="1">
        <f>DATE(2011,8,6) + TIME(8,22,52)</f>
        <v>40761.349212962959</v>
      </c>
      <c r="C1190">
        <v>80</v>
      </c>
      <c r="D1190">
        <v>79.965705872000001</v>
      </c>
      <c r="E1190">
        <v>40</v>
      </c>
      <c r="F1190">
        <v>36.836280823000003</v>
      </c>
      <c r="G1190">
        <v>1340.2124022999999</v>
      </c>
      <c r="H1190">
        <v>1337.8138428</v>
      </c>
      <c r="I1190">
        <v>1324.0329589999999</v>
      </c>
      <c r="J1190">
        <v>1321.1402588000001</v>
      </c>
      <c r="K1190">
        <v>2750</v>
      </c>
      <c r="L1190">
        <v>0</v>
      </c>
      <c r="M1190">
        <v>0</v>
      </c>
      <c r="N1190">
        <v>2750</v>
      </c>
    </row>
    <row r="1191" spans="1:14" x14ac:dyDescent="0.25">
      <c r="A1191">
        <v>462.94374699999997</v>
      </c>
      <c r="B1191" s="1">
        <f>DATE(2011,8,6) + TIME(22,38,59)</f>
        <v>40761.943738425929</v>
      </c>
      <c r="C1191">
        <v>80</v>
      </c>
      <c r="D1191">
        <v>79.965705872000001</v>
      </c>
      <c r="E1191">
        <v>40</v>
      </c>
      <c r="F1191">
        <v>36.896602631</v>
      </c>
      <c r="G1191">
        <v>1340.2092285000001</v>
      </c>
      <c r="H1191">
        <v>1337.8118896000001</v>
      </c>
      <c r="I1191">
        <v>1324.0277100000001</v>
      </c>
      <c r="J1191">
        <v>1321.1300048999999</v>
      </c>
      <c r="K1191">
        <v>2750</v>
      </c>
      <c r="L1191">
        <v>0</v>
      </c>
      <c r="M1191">
        <v>0</v>
      </c>
      <c r="N1191">
        <v>2750</v>
      </c>
    </row>
    <row r="1192" spans="1:14" x14ac:dyDescent="0.25">
      <c r="A1192">
        <v>463.53827000000001</v>
      </c>
      <c r="B1192" s="1">
        <f>DATE(2011,8,7) + TIME(12,55,6)</f>
        <v>40762.538263888891</v>
      </c>
      <c r="C1192">
        <v>80</v>
      </c>
      <c r="D1192">
        <v>79.965705872000001</v>
      </c>
      <c r="E1192">
        <v>40</v>
      </c>
      <c r="F1192">
        <v>36.957828522</v>
      </c>
      <c r="G1192">
        <v>1340.2060547000001</v>
      </c>
      <c r="H1192">
        <v>1337.8099365</v>
      </c>
      <c r="I1192">
        <v>1324.0231934000001</v>
      </c>
      <c r="J1192">
        <v>1321.1209716999999</v>
      </c>
      <c r="K1192">
        <v>2750</v>
      </c>
      <c r="L1192">
        <v>0</v>
      </c>
      <c r="M1192">
        <v>0</v>
      </c>
      <c r="N1192">
        <v>2750</v>
      </c>
    </row>
    <row r="1193" spans="1:14" x14ac:dyDescent="0.25">
      <c r="A1193">
        <v>464.13279299999999</v>
      </c>
      <c r="B1193" s="1">
        <f>DATE(2011,8,8) + TIME(3,11,13)</f>
        <v>40763.132789351854</v>
      </c>
      <c r="C1193">
        <v>80</v>
      </c>
      <c r="D1193">
        <v>79.965705872000001</v>
      </c>
      <c r="E1193">
        <v>40</v>
      </c>
      <c r="F1193">
        <v>37.021999358999999</v>
      </c>
      <c r="G1193">
        <v>1340.2030029</v>
      </c>
      <c r="H1193">
        <v>1337.8079834</v>
      </c>
      <c r="I1193">
        <v>1324.019043</v>
      </c>
      <c r="J1193">
        <v>1321.1124268000001</v>
      </c>
      <c r="K1193">
        <v>2750</v>
      </c>
      <c r="L1193">
        <v>0</v>
      </c>
      <c r="M1193">
        <v>0</v>
      </c>
      <c r="N1193">
        <v>2750</v>
      </c>
    </row>
    <row r="1194" spans="1:14" x14ac:dyDescent="0.25">
      <c r="A1194">
        <v>464.72731599999997</v>
      </c>
      <c r="B1194" s="1">
        <f>DATE(2011,8,8) + TIME(17,27,20)</f>
        <v>40763.727314814816</v>
      </c>
      <c r="C1194">
        <v>80</v>
      </c>
      <c r="D1194">
        <v>79.965713500999996</v>
      </c>
      <c r="E1194">
        <v>40</v>
      </c>
      <c r="F1194">
        <v>37.090358733999999</v>
      </c>
      <c r="G1194">
        <v>1340.1998291</v>
      </c>
      <c r="H1194">
        <v>1337.8060303</v>
      </c>
      <c r="I1194">
        <v>1324.0152588000001</v>
      </c>
      <c r="J1194">
        <v>1321.1042480000001</v>
      </c>
      <c r="K1194">
        <v>2750</v>
      </c>
      <c r="L1194">
        <v>0</v>
      </c>
      <c r="M1194">
        <v>0</v>
      </c>
      <c r="N1194">
        <v>2750</v>
      </c>
    </row>
    <row r="1195" spans="1:14" x14ac:dyDescent="0.25">
      <c r="A1195">
        <v>465.32183900000001</v>
      </c>
      <c r="B1195" s="1">
        <f>DATE(2011,8,9) + TIME(7,43,26)</f>
        <v>40764.321828703702</v>
      </c>
      <c r="C1195">
        <v>80</v>
      </c>
      <c r="D1195">
        <v>79.965721130000006</v>
      </c>
      <c r="E1195">
        <v>40</v>
      </c>
      <c r="F1195">
        <v>37.163726807000003</v>
      </c>
      <c r="G1195">
        <v>1340.1967772999999</v>
      </c>
      <c r="H1195">
        <v>1337.8040771000001</v>
      </c>
      <c r="I1195">
        <v>1324.0117187999999</v>
      </c>
      <c r="J1195">
        <v>1321.0965576000001</v>
      </c>
      <c r="K1195">
        <v>2750</v>
      </c>
      <c r="L1195">
        <v>0</v>
      </c>
      <c r="M1195">
        <v>0</v>
      </c>
      <c r="N1195">
        <v>2750</v>
      </c>
    </row>
    <row r="1196" spans="1:14" x14ac:dyDescent="0.25">
      <c r="A1196">
        <v>465.91636199999999</v>
      </c>
      <c r="B1196" s="1">
        <f>DATE(2011,8,9) + TIME(21,59,33)</f>
        <v>40764.916354166664</v>
      </c>
      <c r="C1196">
        <v>80</v>
      </c>
      <c r="D1196">
        <v>79.965721130000006</v>
      </c>
      <c r="E1196">
        <v>40</v>
      </c>
      <c r="F1196">
        <v>37.242668152</v>
      </c>
      <c r="G1196">
        <v>1340.1937256000001</v>
      </c>
      <c r="H1196">
        <v>1337.802124</v>
      </c>
      <c r="I1196">
        <v>1324.0083007999999</v>
      </c>
      <c r="J1196">
        <v>1321.0889893000001</v>
      </c>
      <c r="K1196">
        <v>2750</v>
      </c>
      <c r="L1196">
        <v>0</v>
      </c>
      <c r="M1196">
        <v>0</v>
      </c>
      <c r="N1196">
        <v>2750</v>
      </c>
    </row>
    <row r="1197" spans="1:14" x14ac:dyDescent="0.25">
      <c r="A1197">
        <v>466.51088499999997</v>
      </c>
      <c r="B1197" s="1">
        <f>DATE(2011,8,10) + TIME(12,15,40)</f>
        <v>40765.510879629626</v>
      </c>
      <c r="C1197">
        <v>80</v>
      </c>
      <c r="D1197">
        <v>79.965728760000005</v>
      </c>
      <c r="E1197">
        <v>40</v>
      </c>
      <c r="F1197">
        <v>37.327602386000002</v>
      </c>
      <c r="G1197">
        <v>1340.1906738</v>
      </c>
      <c r="H1197">
        <v>1337.8001709</v>
      </c>
      <c r="I1197">
        <v>1324.0050048999999</v>
      </c>
      <c r="J1197">
        <v>1321.0817870999999</v>
      </c>
      <c r="K1197">
        <v>2750</v>
      </c>
      <c r="L1197">
        <v>0</v>
      </c>
      <c r="M1197">
        <v>0</v>
      </c>
      <c r="N1197">
        <v>2750</v>
      </c>
    </row>
    <row r="1198" spans="1:14" x14ac:dyDescent="0.25">
      <c r="A1198">
        <v>467.10540800000001</v>
      </c>
      <c r="B1198" s="1">
        <f>DATE(2011,8,11) + TIME(2,31,47)</f>
        <v>40766.105405092596</v>
      </c>
      <c r="C1198">
        <v>80</v>
      </c>
      <c r="D1198">
        <v>79.965728760000005</v>
      </c>
      <c r="E1198">
        <v>40</v>
      </c>
      <c r="F1198">
        <v>37.418842316000003</v>
      </c>
      <c r="G1198">
        <v>1340.1876221</v>
      </c>
      <c r="H1198">
        <v>1337.7983397999999</v>
      </c>
      <c r="I1198">
        <v>1324.0018310999999</v>
      </c>
      <c r="J1198">
        <v>1321.074707</v>
      </c>
      <c r="K1198">
        <v>2750</v>
      </c>
      <c r="L1198">
        <v>0</v>
      </c>
      <c r="M1198">
        <v>0</v>
      </c>
      <c r="N1198">
        <v>2750</v>
      </c>
    </row>
    <row r="1199" spans="1:14" x14ac:dyDescent="0.25">
      <c r="A1199">
        <v>467.69993099999999</v>
      </c>
      <c r="B1199" s="1">
        <f>DATE(2011,8,11) + TIME(16,47,53)</f>
        <v>40766.699918981481</v>
      </c>
      <c r="C1199">
        <v>80</v>
      </c>
      <c r="D1199">
        <v>79.965736389</v>
      </c>
      <c r="E1199">
        <v>40</v>
      </c>
      <c r="F1199">
        <v>37.516609191999997</v>
      </c>
      <c r="G1199">
        <v>1340.1846923999999</v>
      </c>
      <c r="H1199">
        <v>1337.7963867000001</v>
      </c>
      <c r="I1199">
        <v>1323.9987793</v>
      </c>
      <c r="J1199">
        <v>1321.0678711</v>
      </c>
      <c r="K1199">
        <v>2750</v>
      </c>
      <c r="L1199">
        <v>0</v>
      </c>
      <c r="M1199">
        <v>0</v>
      </c>
      <c r="N1199">
        <v>2750</v>
      </c>
    </row>
    <row r="1200" spans="1:14" x14ac:dyDescent="0.25">
      <c r="A1200">
        <v>468.29445299999998</v>
      </c>
      <c r="B1200" s="1">
        <f>DATE(2011,8,12) + TIME(7,4,0)</f>
        <v>40767.294444444444</v>
      </c>
      <c r="C1200">
        <v>80</v>
      </c>
      <c r="D1200">
        <v>79.965744018999999</v>
      </c>
      <c r="E1200">
        <v>40</v>
      </c>
      <c r="F1200">
        <v>37.621078490999999</v>
      </c>
      <c r="G1200">
        <v>1340.1816406</v>
      </c>
      <c r="H1200">
        <v>1337.7944336</v>
      </c>
      <c r="I1200">
        <v>1323.9958495999999</v>
      </c>
      <c r="J1200">
        <v>1321.0614014</v>
      </c>
      <c r="K1200">
        <v>2750</v>
      </c>
      <c r="L1200">
        <v>0</v>
      </c>
      <c r="M1200">
        <v>0</v>
      </c>
      <c r="N1200">
        <v>2750</v>
      </c>
    </row>
    <row r="1201" spans="1:14" x14ac:dyDescent="0.25">
      <c r="A1201">
        <v>468.88897600000001</v>
      </c>
      <c r="B1201" s="1">
        <f>DATE(2011,8,12) + TIME(21,20,7)</f>
        <v>40767.888969907406</v>
      </c>
      <c r="C1201">
        <v>80</v>
      </c>
      <c r="D1201">
        <v>79.965744018999999</v>
      </c>
      <c r="E1201">
        <v>40</v>
      </c>
      <c r="F1201">
        <v>37.732376099</v>
      </c>
      <c r="G1201">
        <v>1340.1785889</v>
      </c>
      <c r="H1201">
        <v>1337.7924805</v>
      </c>
      <c r="I1201">
        <v>1323.9930420000001</v>
      </c>
      <c r="J1201">
        <v>1321.0550536999999</v>
      </c>
      <c r="K1201">
        <v>2750</v>
      </c>
      <c r="L1201">
        <v>0</v>
      </c>
      <c r="M1201">
        <v>0</v>
      </c>
      <c r="N1201">
        <v>2750</v>
      </c>
    </row>
    <row r="1202" spans="1:14" x14ac:dyDescent="0.25">
      <c r="A1202">
        <v>469.48349899999999</v>
      </c>
      <c r="B1202" s="1">
        <f>DATE(2011,8,13) + TIME(11,36,14)</f>
        <v>40768.483495370368</v>
      </c>
      <c r="C1202">
        <v>80</v>
      </c>
      <c r="D1202">
        <v>79.965751647999994</v>
      </c>
      <c r="E1202">
        <v>40</v>
      </c>
      <c r="F1202">
        <v>37.850574493000003</v>
      </c>
      <c r="G1202">
        <v>1340.1756591999999</v>
      </c>
      <c r="H1202">
        <v>1337.7906493999999</v>
      </c>
      <c r="I1202">
        <v>1323.9903564000001</v>
      </c>
      <c r="J1202">
        <v>1321.0489502</v>
      </c>
      <c r="K1202">
        <v>2750</v>
      </c>
      <c r="L1202">
        <v>0</v>
      </c>
      <c r="M1202">
        <v>0</v>
      </c>
      <c r="N1202">
        <v>2750</v>
      </c>
    </row>
    <row r="1203" spans="1:14" x14ac:dyDescent="0.25">
      <c r="A1203">
        <v>470.67254500000001</v>
      </c>
      <c r="B1203" s="1">
        <f>DATE(2011,8,14) + TIME(16,8,27)</f>
        <v>40769.672534722224</v>
      </c>
      <c r="C1203">
        <v>80</v>
      </c>
      <c r="D1203">
        <v>79.965774535999998</v>
      </c>
      <c r="E1203">
        <v>40</v>
      </c>
      <c r="F1203">
        <v>38.021247864000003</v>
      </c>
      <c r="G1203">
        <v>1340.1727295000001</v>
      </c>
      <c r="H1203">
        <v>1337.7886963000001</v>
      </c>
      <c r="I1203">
        <v>1323.9858397999999</v>
      </c>
      <c r="J1203">
        <v>1321.0421143000001</v>
      </c>
      <c r="K1203">
        <v>2750</v>
      </c>
      <c r="L1203">
        <v>0</v>
      </c>
      <c r="M1203">
        <v>0</v>
      </c>
      <c r="N1203">
        <v>2750</v>
      </c>
    </row>
    <row r="1204" spans="1:14" x14ac:dyDescent="0.25">
      <c r="A1204">
        <v>471.86710299999999</v>
      </c>
      <c r="B1204" s="1">
        <f>DATE(2011,8,15) + TIME(20,48,37)</f>
        <v>40770.867094907408</v>
      </c>
      <c r="C1204">
        <v>80</v>
      </c>
      <c r="D1204">
        <v>79.965789795000006</v>
      </c>
      <c r="E1204">
        <v>40</v>
      </c>
      <c r="F1204">
        <v>38.262050629000001</v>
      </c>
      <c r="G1204">
        <v>1340.1668701000001</v>
      </c>
      <c r="H1204">
        <v>1337.7849120999999</v>
      </c>
      <c r="I1204">
        <v>1323.9822998</v>
      </c>
      <c r="J1204">
        <v>1321.0322266000001</v>
      </c>
      <c r="K1204">
        <v>2750</v>
      </c>
      <c r="L1204">
        <v>0</v>
      </c>
      <c r="M1204">
        <v>0</v>
      </c>
      <c r="N1204">
        <v>2750</v>
      </c>
    </row>
    <row r="1205" spans="1:14" x14ac:dyDescent="0.25">
      <c r="A1205">
        <v>473.12378699999999</v>
      </c>
      <c r="B1205" s="1">
        <f>DATE(2011,8,17) + TIME(2,58,15)</f>
        <v>40772.123784722222</v>
      </c>
      <c r="C1205">
        <v>80</v>
      </c>
      <c r="D1205">
        <v>79.965805054</v>
      </c>
      <c r="E1205">
        <v>40</v>
      </c>
      <c r="F1205">
        <v>38.552005768000001</v>
      </c>
      <c r="G1205">
        <v>1340.1608887</v>
      </c>
      <c r="H1205">
        <v>1337.7811279</v>
      </c>
      <c r="I1205">
        <v>1323.9780272999999</v>
      </c>
      <c r="J1205">
        <v>1321.0222168</v>
      </c>
      <c r="K1205">
        <v>2750</v>
      </c>
      <c r="L1205">
        <v>0</v>
      </c>
      <c r="M1205">
        <v>0</v>
      </c>
      <c r="N1205">
        <v>2750</v>
      </c>
    </row>
    <row r="1206" spans="1:14" x14ac:dyDescent="0.25">
      <c r="A1206">
        <v>474.385738</v>
      </c>
      <c r="B1206" s="1">
        <f>DATE(2011,8,18) + TIME(9,15,27)</f>
        <v>40773.385729166665</v>
      </c>
      <c r="C1206">
        <v>80</v>
      </c>
      <c r="D1206">
        <v>79.965812682999996</v>
      </c>
      <c r="E1206">
        <v>40</v>
      </c>
      <c r="F1206">
        <v>38.884674072000003</v>
      </c>
      <c r="G1206">
        <v>1340.1547852000001</v>
      </c>
      <c r="H1206">
        <v>1337.7772216999999</v>
      </c>
      <c r="I1206">
        <v>1323.9737548999999</v>
      </c>
      <c r="J1206">
        <v>1321.0125731999999</v>
      </c>
      <c r="K1206">
        <v>2750</v>
      </c>
      <c r="L1206">
        <v>0</v>
      </c>
      <c r="M1206">
        <v>0</v>
      </c>
      <c r="N1206">
        <v>2750</v>
      </c>
    </row>
    <row r="1207" spans="1:14" x14ac:dyDescent="0.25">
      <c r="A1207">
        <v>475.01984700000003</v>
      </c>
      <c r="B1207" s="1">
        <f>DATE(2011,8,19) + TIME(0,28,34)</f>
        <v>40774.019837962966</v>
      </c>
      <c r="C1207">
        <v>80</v>
      </c>
      <c r="D1207">
        <v>79.965812682999996</v>
      </c>
      <c r="E1207">
        <v>40</v>
      </c>
      <c r="F1207">
        <v>39.158073424999998</v>
      </c>
      <c r="G1207">
        <v>1340.1488036999999</v>
      </c>
      <c r="H1207">
        <v>1337.7731934000001</v>
      </c>
      <c r="I1207">
        <v>1323.9730225000001</v>
      </c>
      <c r="J1207">
        <v>1321.0047606999999</v>
      </c>
      <c r="K1207">
        <v>2750</v>
      </c>
      <c r="L1207">
        <v>0</v>
      </c>
      <c r="M1207">
        <v>0</v>
      </c>
      <c r="N1207">
        <v>2750</v>
      </c>
    </row>
    <row r="1208" spans="1:14" x14ac:dyDescent="0.25">
      <c r="A1208">
        <v>476.13886300000001</v>
      </c>
      <c r="B1208" s="1">
        <f>DATE(2011,8,20) + TIME(3,19,57)</f>
        <v>40775.138854166667</v>
      </c>
      <c r="C1208">
        <v>80</v>
      </c>
      <c r="D1208">
        <v>79.965827942000004</v>
      </c>
      <c r="E1208">
        <v>40</v>
      </c>
      <c r="F1208">
        <v>39.466091155999997</v>
      </c>
      <c r="G1208">
        <v>1340.1457519999999</v>
      </c>
      <c r="H1208">
        <v>1337.7712402</v>
      </c>
      <c r="I1208">
        <v>1323.9670410000001</v>
      </c>
      <c r="J1208">
        <v>1320.9993896000001</v>
      </c>
      <c r="K1208">
        <v>2750</v>
      </c>
      <c r="L1208">
        <v>0</v>
      </c>
      <c r="M1208">
        <v>0</v>
      </c>
      <c r="N1208">
        <v>2750</v>
      </c>
    </row>
    <row r="1209" spans="1:14" x14ac:dyDescent="0.25">
      <c r="A1209">
        <v>477.361222</v>
      </c>
      <c r="B1209" s="1">
        <f>DATE(2011,8,21) + TIME(8,40,9)</f>
        <v>40776.361215277779</v>
      </c>
      <c r="C1209">
        <v>80</v>
      </c>
      <c r="D1209">
        <v>79.965843200999998</v>
      </c>
      <c r="E1209">
        <v>40</v>
      </c>
      <c r="F1209">
        <v>39.836662292</v>
      </c>
      <c r="G1209">
        <v>1340.1403809000001</v>
      </c>
      <c r="H1209">
        <v>1337.7678223</v>
      </c>
      <c r="I1209">
        <v>1323.9637451000001</v>
      </c>
      <c r="J1209">
        <v>1320.9929199000001</v>
      </c>
      <c r="K1209">
        <v>2750</v>
      </c>
      <c r="L1209">
        <v>0</v>
      </c>
      <c r="M1209">
        <v>0</v>
      </c>
      <c r="N1209">
        <v>2750</v>
      </c>
    </row>
    <row r="1210" spans="1:14" x14ac:dyDescent="0.25">
      <c r="A1210">
        <v>478.605862</v>
      </c>
      <c r="B1210" s="1">
        <f>DATE(2011,8,22) + TIME(14,32,26)</f>
        <v>40777.605856481481</v>
      </c>
      <c r="C1210">
        <v>80</v>
      </c>
      <c r="D1210">
        <v>79.965858459000003</v>
      </c>
      <c r="E1210">
        <v>40</v>
      </c>
      <c r="F1210">
        <v>40.243534087999997</v>
      </c>
      <c r="G1210">
        <v>1340.1346435999999</v>
      </c>
      <c r="H1210">
        <v>1337.7640381000001</v>
      </c>
      <c r="I1210">
        <v>1323.9608154</v>
      </c>
      <c r="J1210">
        <v>1320.9868164</v>
      </c>
      <c r="K1210">
        <v>2750</v>
      </c>
      <c r="L1210">
        <v>0</v>
      </c>
      <c r="M1210">
        <v>0</v>
      </c>
      <c r="N1210">
        <v>2750</v>
      </c>
    </row>
    <row r="1211" spans="1:14" x14ac:dyDescent="0.25">
      <c r="A1211">
        <v>479.88302399999998</v>
      </c>
      <c r="B1211" s="1">
        <f>DATE(2011,8,23) + TIME(21,11,33)</f>
        <v>40778.883020833331</v>
      </c>
      <c r="C1211">
        <v>80</v>
      </c>
      <c r="D1211">
        <v>79.965873717999997</v>
      </c>
      <c r="E1211">
        <v>40</v>
      </c>
      <c r="F1211">
        <v>40.685001372999999</v>
      </c>
      <c r="G1211">
        <v>1340.1289062000001</v>
      </c>
      <c r="H1211">
        <v>1337.7602539</v>
      </c>
      <c r="I1211">
        <v>1323.9578856999999</v>
      </c>
      <c r="J1211">
        <v>1320.9813231999999</v>
      </c>
      <c r="K1211">
        <v>2750</v>
      </c>
      <c r="L1211">
        <v>0</v>
      </c>
      <c r="M1211">
        <v>0</v>
      </c>
      <c r="N1211">
        <v>2750</v>
      </c>
    </row>
    <row r="1212" spans="1:14" x14ac:dyDescent="0.25">
      <c r="A1212">
        <v>481.165211</v>
      </c>
      <c r="B1212" s="1">
        <f>DATE(2011,8,25) + TIME(3,57,54)</f>
        <v>40780.165208333332</v>
      </c>
      <c r="C1212">
        <v>80</v>
      </c>
      <c r="D1212">
        <v>79.965888977000006</v>
      </c>
      <c r="E1212">
        <v>40</v>
      </c>
      <c r="F1212">
        <v>41.161346436000002</v>
      </c>
      <c r="G1212">
        <v>1340.1230469</v>
      </c>
      <c r="H1212">
        <v>1337.7564697</v>
      </c>
      <c r="I1212">
        <v>1323.9553223</v>
      </c>
      <c r="J1212">
        <v>1320.9766846</v>
      </c>
      <c r="K1212">
        <v>2750</v>
      </c>
      <c r="L1212">
        <v>0</v>
      </c>
      <c r="M1212">
        <v>0</v>
      </c>
      <c r="N1212">
        <v>2750</v>
      </c>
    </row>
    <row r="1213" spans="1:14" x14ac:dyDescent="0.25">
      <c r="A1213">
        <v>482.46612199999998</v>
      </c>
      <c r="B1213" s="1">
        <f>DATE(2011,8,26) + TIME(11,11,12)</f>
        <v>40781.466111111113</v>
      </c>
      <c r="C1213">
        <v>80</v>
      </c>
      <c r="D1213">
        <v>79.965904236</v>
      </c>
      <c r="E1213">
        <v>40</v>
      </c>
      <c r="F1213">
        <v>41.666980743000003</v>
      </c>
      <c r="G1213">
        <v>1340.1173096</v>
      </c>
      <c r="H1213">
        <v>1337.7526855000001</v>
      </c>
      <c r="I1213">
        <v>1323.9530029</v>
      </c>
      <c r="J1213">
        <v>1320.9730225000001</v>
      </c>
      <c r="K1213">
        <v>2750</v>
      </c>
      <c r="L1213">
        <v>0</v>
      </c>
      <c r="M1213">
        <v>0</v>
      </c>
      <c r="N1213">
        <v>2750</v>
      </c>
    </row>
    <row r="1214" spans="1:14" x14ac:dyDescent="0.25">
      <c r="A1214">
        <v>483.81355300000001</v>
      </c>
      <c r="B1214" s="1">
        <f>DATE(2011,8,27) + TIME(19,31,30)</f>
        <v>40782.81354166667</v>
      </c>
      <c r="C1214">
        <v>80</v>
      </c>
      <c r="D1214">
        <v>79.965919494999994</v>
      </c>
      <c r="E1214">
        <v>40</v>
      </c>
      <c r="F1214">
        <v>42.200988770000002</v>
      </c>
      <c r="G1214">
        <v>1340.1114502</v>
      </c>
      <c r="H1214">
        <v>1337.7487793</v>
      </c>
      <c r="I1214">
        <v>1323.9506836</v>
      </c>
      <c r="J1214">
        <v>1320.9702147999999</v>
      </c>
      <c r="K1214">
        <v>2750</v>
      </c>
      <c r="L1214">
        <v>0</v>
      </c>
      <c r="M1214">
        <v>0</v>
      </c>
      <c r="N1214">
        <v>2750</v>
      </c>
    </row>
    <row r="1215" spans="1:14" x14ac:dyDescent="0.25">
      <c r="A1215">
        <v>485.226406</v>
      </c>
      <c r="B1215" s="1">
        <f>DATE(2011,8,29) + TIME(5,26,1)</f>
        <v>40784.226400462961</v>
      </c>
      <c r="C1215">
        <v>80</v>
      </c>
      <c r="D1215">
        <v>79.965942382999998</v>
      </c>
      <c r="E1215">
        <v>40</v>
      </c>
      <c r="F1215">
        <v>42.764656066999997</v>
      </c>
      <c r="G1215">
        <v>1340.1054687999999</v>
      </c>
      <c r="H1215">
        <v>1337.7448730000001</v>
      </c>
      <c r="I1215">
        <v>1323.9486084</v>
      </c>
      <c r="J1215">
        <v>1320.9681396000001</v>
      </c>
      <c r="K1215">
        <v>2750</v>
      </c>
      <c r="L1215">
        <v>0</v>
      </c>
      <c r="M1215">
        <v>0</v>
      </c>
      <c r="N1215">
        <v>2750</v>
      </c>
    </row>
    <row r="1216" spans="1:14" x14ac:dyDescent="0.25">
      <c r="A1216">
        <v>486.66099300000002</v>
      </c>
      <c r="B1216" s="1">
        <f>DATE(2011,8,30) + TIME(15,51,49)</f>
        <v>40785.660983796297</v>
      </c>
      <c r="C1216">
        <v>80</v>
      </c>
      <c r="D1216">
        <v>79.965957642000006</v>
      </c>
      <c r="E1216">
        <v>40</v>
      </c>
      <c r="F1216">
        <v>43.351905823000003</v>
      </c>
      <c r="G1216">
        <v>1340.0993652</v>
      </c>
      <c r="H1216">
        <v>1337.7408447</v>
      </c>
      <c r="I1216">
        <v>1323.9470214999999</v>
      </c>
      <c r="J1216">
        <v>1320.9666748</v>
      </c>
      <c r="K1216">
        <v>2750</v>
      </c>
      <c r="L1216">
        <v>0</v>
      </c>
      <c r="M1216">
        <v>0</v>
      </c>
      <c r="N1216">
        <v>2750</v>
      </c>
    </row>
    <row r="1217" spans="1:14" x14ac:dyDescent="0.25">
      <c r="A1217">
        <v>488</v>
      </c>
      <c r="B1217" s="1">
        <f>DATE(2011,9,1) + TIME(0,0,0)</f>
        <v>40787</v>
      </c>
      <c r="C1217">
        <v>80</v>
      </c>
      <c r="D1217">
        <v>79.965972899999997</v>
      </c>
      <c r="E1217">
        <v>40</v>
      </c>
      <c r="F1217">
        <v>43.934997559000003</v>
      </c>
      <c r="G1217">
        <v>1340.0931396000001</v>
      </c>
      <c r="H1217">
        <v>1337.7366943</v>
      </c>
      <c r="I1217">
        <v>1323.9460449000001</v>
      </c>
      <c r="J1217">
        <v>1320.9661865</v>
      </c>
      <c r="K1217">
        <v>2750</v>
      </c>
      <c r="L1217">
        <v>0</v>
      </c>
      <c r="M1217">
        <v>0</v>
      </c>
      <c r="N1217">
        <v>2750</v>
      </c>
    </row>
    <row r="1218" spans="1:14" x14ac:dyDescent="0.25">
      <c r="A1218">
        <v>489.47024299999998</v>
      </c>
      <c r="B1218" s="1">
        <f>DATE(2011,9,2) + TIME(11,17,9)</f>
        <v>40788.470243055555</v>
      </c>
      <c r="C1218">
        <v>80</v>
      </c>
      <c r="D1218">
        <v>79.965995789000004</v>
      </c>
      <c r="E1218">
        <v>40</v>
      </c>
      <c r="F1218">
        <v>44.511894226000003</v>
      </c>
      <c r="G1218">
        <v>1340.0875243999999</v>
      </c>
      <c r="H1218">
        <v>1337.7329102000001</v>
      </c>
      <c r="I1218">
        <v>1323.9445800999999</v>
      </c>
      <c r="J1218">
        <v>1320.9663086</v>
      </c>
      <c r="K1218">
        <v>2750</v>
      </c>
      <c r="L1218">
        <v>0</v>
      </c>
      <c r="M1218">
        <v>0</v>
      </c>
      <c r="N1218">
        <v>2750</v>
      </c>
    </row>
    <row r="1219" spans="1:14" x14ac:dyDescent="0.25">
      <c r="A1219">
        <v>491.004636</v>
      </c>
      <c r="B1219" s="1">
        <f>DATE(2011,9,4) + TIME(0,6,40)</f>
        <v>40790.004629629628</v>
      </c>
      <c r="C1219">
        <v>80</v>
      </c>
      <c r="D1219">
        <v>79.966018676999994</v>
      </c>
      <c r="E1219">
        <v>40</v>
      </c>
      <c r="F1219">
        <v>45.108451842999997</v>
      </c>
      <c r="G1219">
        <v>1340.0814209</v>
      </c>
      <c r="H1219">
        <v>1337.7288818</v>
      </c>
      <c r="I1219">
        <v>1323.9438477000001</v>
      </c>
      <c r="J1219">
        <v>1320.9667969</v>
      </c>
      <c r="K1219">
        <v>2750</v>
      </c>
      <c r="L1219">
        <v>0</v>
      </c>
      <c r="M1219">
        <v>0</v>
      </c>
      <c r="N1219">
        <v>2750</v>
      </c>
    </row>
    <row r="1220" spans="1:14" x14ac:dyDescent="0.25">
      <c r="A1220">
        <v>492.56505800000002</v>
      </c>
      <c r="B1220" s="1">
        <f>DATE(2011,9,5) + TIME(13,33,40)</f>
        <v>40791.565046296295</v>
      </c>
      <c r="C1220">
        <v>80</v>
      </c>
      <c r="D1220">
        <v>79.966033936000002</v>
      </c>
      <c r="E1220">
        <v>40</v>
      </c>
      <c r="F1220">
        <v>45.714740753000001</v>
      </c>
      <c r="G1220">
        <v>1340.0750731999999</v>
      </c>
      <c r="H1220">
        <v>1337.7247314000001</v>
      </c>
      <c r="I1220">
        <v>1323.9437256000001</v>
      </c>
      <c r="J1220">
        <v>1320.9680175999999</v>
      </c>
      <c r="K1220">
        <v>2750</v>
      </c>
      <c r="L1220">
        <v>0</v>
      </c>
      <c r="M1220">
        <v>0</v>
      </c>
      <c r="N1220">
        <v>2750</v>
      </c>
    </row>
    <row r="1221" spans="1:14" x14ac:dyDescent="0.25">
      <c r="A1221">
        <v>494.16506800000002</v>
      </c>
      <c r="B1221" s="1">
        <f>DATE(2011,9,7) + TIME(3,57,41)</f>
        <v>40793.16505787037</v>
      </c>
      <c r="C1221">
        <v>80</v>
      </c>
      <c r="D1221">
        <v>79.966056824000006</v>
      </c>
      <c r="E1221">
        <v>40</v>
      </c>
      <c r="F1221">
        <v>46.319480896000002</v>
      </c>
      <c r="G1221">
        <v>1340.0687256000001</v>
      </c>
      <c r="H1221">
        <v>1337.7205810999999</v>
      </c>
      <c r="I1221">
        <v>1323.9438477000001</v>
      </c>
      <c r="J1221">
        <v>1320.9697266000001</v>
      </c>
      <c r="K1221">
        <v>2750</v>
      </c>
      <c r="L1221">
        <v>0</v>
      </c>
      <c r="M1221">
        <v>0</v>
      </c>
      <c r="N1221">
        <v>2750</v>
      </c>
    </row>
    <row r="1222" spans="1:14" x14ac:dyDescent="0.25">
      <c r="A1222">
        <v>495.79094900000001</v>
      </c>
      <c r="B1222" s="1">
        <f>DATE(2011,9,8) + TIME(18,58,57)</f>
        <v>40794.790937500002</v>
      </c>
      <c r="C1222">
        <v>80</v>
      </c>
      <c r="D1222">
        <v>79.966079711999996</v>
      </c>
      <c r="E1222">
        <v>40</v>
      </c>
      <c r="F1222">
        <v>46.917858123999999</v>
      </c>
      <c r="G1222">
        <v>1340.0623779</v>
      </c>
      <c r="H1222">
        <v>1337.7163086</v>
      </c>
      <c r="I1222">
        <v>1323.9443358999999</v>
      </c>
      <c r="J1222">
        <v>1320.9719238</v>
      </c>
      <c r="K1222">
        <v>2750</v>
      </c>
      <c r="L1222">
        <v>0</v>
      </c>
      <c r="M1222">
        <v>0</v>
      </c>
      <c r="N1222">
        <v>2750</v>
      </c>
    </row>
    <row r="1223" spans="1:14" x14ac:dyDescent="0.25">
      <c r="A1223">
        <v>497.433246</v>
      </c>
      <c r="B1223" s="1">
        <f>DATE(2011,9,10) + TIME(10,23,52)</f>
        <v>40796.433240740742</v>
      </c>
      <c r="C1223">
        <v>80</v>
      </c>
      <c r="D1223">
        <v>79.966102599999999</v>
      </c>
      <c r="E1223">
        <v>40</v>
      </c>
      <c r="F1223">
        <v>47.503841399999999</v>
      </c>
      <c r="G1223">
        <v>1340.0560303</v>
      </c>
      <c r="H1223">
        <v>1337.7120361</v>
      </c>
      <c r="I1223">
        <v>1323.9453125</v>
      </c>
      <c r="J1223">
        <v>1320.9747314000001</v>
      </c>
      <c r="K1223">
        <v>2750</v>
      </c>
      <c r="L1223">
        <v>0</v>
      </c>
      <c r="M1223">
        <v>0</v>
      </c>
      <c r="N1223">
        <v>2750</v>
      </c>
    </row>
    <row r="1224" spans="1:14" x14ac:dyDescent="0.25">
      <c r="A1224">
        <v>499.10289399999999</v>
      </c>
      <c r="B1224" s="1">
        <f>DATE(2011,9,12) + TIME(2,28,10)</f>
        <v>40798.102893518517</v>
      </c>
      <c r="C1224">
        <v>80</v>
      </c>
      <c r="D1224">
        <v>79.966125488000003</v>
      </c>
      <c r="E1224">
        <v>40</v>
      </c>
      <c r="F1224">
        <v>48.074676513999997</v>
      </c>
      <c r="G1224">
        <v>1340.0496826000001</v>
      </c>
      <c r="H1224">
        <v>1337.7078856999999</v>
      </c>
      <c r="I1224">
        <v>1323.9466553</v>
      </c>
      <c r="J1224">
        <v>1320.9779053</v>
      </c>
      <c r="K1224">
        <v>2750</v>
      </c>
      <c r="L1224">
        <v>0</v>
      </c>
      <c r="M1224">
        <v>0</v>
      </c>
      <c r="N1224">
        <v>2750</v>
      </c>
    </row>
    <row r="1225" spans="1:14" x14ac:dyDescent="0.25">
      <c r="A1225">
        <v>500.813962</v>
      </c>
      <c r="B1225" s="1">
        <f>DATE(2011,9,13) + TIME(19,32,6)</f>
        <v>40799.813958333332</v>
      </c>
      <c r="C1225">
        <v>80</v>
      </c>
      <c r="D1225">
        <v>79.966156006000006</v>
      </c>
      <c r="E1225">
        <v>40</v>
      </c>
      <c r="F1225">
        <v>48.634735106999997</v>
      </c>
      <c r="G1225">
        <v>1340.043457</v>
      </c>
      <c r="H1225">
        <v>1337.7036132999999</v>
      </c>
      <c r="I1225">
        <v>1323.9483643000001</v>
      </c>
      <c r="J1225">
        <v>1320.9815673999999</v>
      </c>
      <c r="K1225">
        <v>2750</v>
      </c>
      <c r="L1225">
        <v>0</v>
      </c>
      <c r="M1225">
        <v>0</v>
      </c>
      <c r="N1225">
        <v>2750</v>
      </c>
    </row>
    <row r="1226" spans="1:14" x14ac:dyDescent="0.25">
      <c r="A1226">
        <v>502.54718700000001</v>
      </c>
      <c r="B1226" s="1">
        <f>DATE(2011,9,15) + TIME(13,7,56)</f>
        <v>40801.547175925924</v>
      </c>
      <c r="C1226">
        <v>80</v>
      </c>
      <c r="D1226">
        <v>79.966178893999995</v>
      </c>
      <c r="E1226">
        <v>40</v>
      </c>
      <c r="F1226">
        <v>49.186016082999998</v>
      </c>
      <c r="G1226">
        <v>1340.0369873</v>
      </c>
      <c r="H1226">
        <v>1337.6993408000001</v>
      </c>
      <c r="I1226">
        <v>1323.9505615</v>
      </c>
      <c r="J1226">
        <v>1320.9855957</v>
      </c>
      <c r="K1226">
        <v>2750</v>
      </c>
      <c r="L1226">
        <v>0</v>
      </c>
      <c r="M1226">
        <v>0</v>
      </c>
      <c r="N1226">
        <v>2750</v>
      </c>
    </row>
    <row r="1227" spans="1:14" x14ac:dyDescent="0.25">
      <c r="A1227">
        <v>504.297663</v>
      </c>
      <c r="B1227" s="1">
        <f>DATE(2011,9,17) + TIME(7,8,38)</f>
        <v>40803.297662037039</v>
      </c>
      <c r="C1227">
        <v>80</v>
      </c>
      <c r="D1227">
        <v>79.966201781999999</v>
      </c>
      <c r="E1227">
        <v>40</v>
      </c>
      <c r="F1227">
        <v>49.725399017000001</v>
      </c>
      <c r="G1227">
        <v>1340.0305175999999</v>
      </c>
      <c r="H1227">
        <v>1337.6950684000001</v>
      </c>
      <c r="I1227">
        <v>1323.9530029</v>
      </c>
      <c r="J1227">
        <v>1320.9899902</v>
      </c>
      <c r="K1227">
        <v>2750</v>
      </c>
      <c r="L1227">
        <v>0</v>
      </c>
      <c r="M1227">
        <v>0</v>
      </c>
      <c r="N1227">
        <v>2750</v>
      </c>
    </row>
    <row r="1228" spans="1:14" x14ac:dyDescent="0.25">
      <c r="A1228">
        <v>506.076324</v>
      </c>
      <c r="B1228" s="1">
        <f>DATE(2011,9,19) + TIME(1,49,54)</f>
        <v>40805.076319444444</v>
      </c>
      <c r="C1228">
        <v>80</v>
      </c>
      <c r="D1228">
        <v>79.966232300000001</v>
      </c>
      <c r="E1228">
        <v>40</v>
      </c>
      <c r="F1228">
        <v>50.251617432000003</v>
      </c>
      <c r="G1228">
        <v>1340.0241699000001</v>
      </c>
      <c r="H1228">
        <v>1337.6907959</v>
      </c>
      <c r="I1228">
        <v>1323.9555664</v>
      </c>
      <c r="J1228">
        <v>1320.9946289</v>
      </c>
      <c r="K1228">
        <v>2750</v>
      </c>
      <c r="L1228">
        <v>0</v>
      </c>
      <c r="M1228">
        <v>0</v>
      </c>
      <c r="N1228">
        <v>2750</v>
      </c>
    </row>
    <row r="1229" spans="1:14" x14ac:dyDescent="0.25">
      <c r="A1229">
        <v>507.89820900000001</v>
      </c>
      <c r="B1229" s="1">
        <f>DATE(2011,9,20) + TIME(21,33,25)</f>
        <v>40806.898206018515</v>
      </c>
      <c r="C1229">
        <v>80</v>
      </c>
      <c r="D1229">
        <v>79.966262817</v>
      </c>
      <c r="E1229">
        <v>40</v>
      </c>
      <c r="F1229">
        <v>50.766456603999998</v>
      </c>
      <c r="G1229">
        <v>1340.0177002</v>
      </c>
      <c r="H1229">
        <v>1337.6866454999999</v>
      </c>
      <c r="I1229">
        <v>1323.958374</v>
      </c>
      <c r="J1229">
        <v>1320.9993896000001</v>
      </c>
      <c r="K1229">
        <v>2750</v>
      </c>
      <c r="L1229">
        <v>0</v>
      </c>
      <c r="M1229">
        <v>0</v>
      </c>
      <c r="N1229">
        <v>2750</v>
      </c>
    </row>
    <row r="1230" spans="1:14" x14ac:dyDescent="0.25">
      <c r="A1230">
        <v>509.74771800000002</v>
      </c>
      <c r="B1230" s="1">
        <f>DATE(2011,9,22) + TIME(17,56,42)</f>
        <v>40808.747708333336</v>
      </c>
      <c r="C1230">
        <v>80</v>
      </c>
      <c r="D1230">
        <v>79.966285705999994</v>
      </c>
      <c r="E1230">
        <v>40</v>
      </c>
      <c r="F1230">
        <v>51.271583557</v>
      </c>
      <c r="G1230">
        <v>1340.0113524999999</v>
      </c>
      <c r="H1230">
        <v>1337.6823730000001</v>
      </c>
      <c r="I1230">
        <v>1323.9613036999999</v>
      </c>
      <c r="J1230">
        <v>1321.0041504000001</v>
      </c>
      <c r="K1230">
        <v>2750</v>
      </c>
      <c r="L1230">
        <v>0</v>
      </c>
      <c r="M1230">
        <v>0</v>
      </c>
      <c r="N1230">
        <v>2750</v>
      </c>
    </row>
    <row r="1231" spans="1:14" x14ac:dyDescent="0.25">
      <c r="A1231">
        <v>511.61100599999997</v>
      </c>
      <c r="B1231" s="1">
        <f>DATE(2011,9,24) + TIME(14,39,50)</f>
        <v>40810.610995370371</v>
      </c>
      <c r="C1231">
        <v>80</v>
      </c>
      <c r="D1231">
        <v>79.966316223000007</v>
      </c>
      <c r="E1231">
        <v>40</v>
      </c>
      <c r="F1231">
        <v>51.763027190999999</v>
      </c>
      <c r="G1231">
        <v>1340.0050048999999</v>
      </c>
      <c r="H1231">
        <v>1337.6782227000001</v>
      </c>
      <c r="I1231">
        <v>1323.9644774999999</v>
      </c>
      <c r="J1231">
        <v>1321.0090332</v>
      </c>
      <c r="K1231">
        <v>2750</v>
      </c>
      <c r="L1231">
        <v>0</v>
      </c>
      <c r="M1231">
        <v>0</v>
      </c>
      <c r="N1231">
        <v>2750</v>
      </c>
    </row>
    <row r="1232" spans="1:14" x14ac:dyDescent="0.25">
      <c r="A1232">
        <v>513.50302799999997</v>
      </c>
      <c r="B1232" s="1">
        <f>DATE(2011,9,26) + TIME(12,4,21)</f>
        <v>40812.503020833334</v>
      </c>
      <c r="C1232">
        <v>80</v>
      </c>
      <c r="D1232">
        <v>79.966346740999995</v>
      </c>
      <c r="E1232">
        <v>40</v>
      </c>
      <c r="F1232">
        <v>52.239284515000001</v>
      </c>
      <c r="G1232">
        <v>1339.9987793</v>
      </c>
      <c r="H1232">
        <v>1337.6740723</v>
      </c>
      <c r="I1232">
        <v>1323.9676514</v>
      </c>
      <c r="J1232">
        <v>1321.0139160000001</v>
      </c>
      <c r="K1232">
        <v>2750</v>
      </c>
      <c r="L1232">
        <v>0</v>
      </c>
      <c r="M1232">
        <v>0</v>
      </c>
      <c r="N1232">
        <v>2750</v>
      </c>
    </row>
    <row r="1233" spans="1:14" x14ac:dyDescent="0.25">
      <c r="A1233">
        <v>515.43991900000003</v>
      </c>
      <c r="B1233" s="1">
        <f>DATE(2011,9,28) + TIME(10,33,28)</f>
        <v>40814.43990740741</v>
      </c>
      <c r="C1233">
        <v>80</v>
      </c>
      <c r="D1233">
        <v>79.966377257999994</v>
      </c>
      <c r="E1233">
        <v>40</v>
      </c>
      <c r="F1233">
        <v>52.703166961999997</v>
      </c>
      <c r="G1233">
        <v>1339.9925536999999</v>
      </c>
      <c r="H1233">
        <v>1337.6699219</v>
      </c>
      <c r="I1233">
        <v>1323.9710693</v>
      </c>
      <c r="J1233">
        <v>1321.0187988</v>
      </c>
      <c r="K1233">
        <v>2750</v>
      </c>
      <c r="L1233">
        <v>0</v>
      </c>
      <c r="M1233">
        <v>0</v>
      </c>
      <c r="N1233">
        <v>2750</v>
      </c>
    </row>
    <row r="1234" spans="1:14" x14ac:dyDescent="0.25">
      <c r="A1234">
        <v>517.41252999999995</v>
      </c>
      <c r="B1234" s="1">
        <f>DATE(2011,9,30) + TIME(9,54,2)</f>
        <v>40816.412523148145</v>
      </c>
      <c r="C1234">
        <v>80</v>
      </c>
      <c r="D1234">
        <v>79.966407775999997</v>
      </c>
      <c r="E1234">
        <v>40</v>
      </c>
      <c r="F1234">
        <v>53.156341552999997</v>
      </c>
      <c r="G1234">
        <v>1339.9863281</v>
      </c>
      <c r="H1234">
        <v>1337.6657714999999</v>
      </c>
      <c r="I1234">
        <v>1323.9744873</v>
      </c>
      <c r="J1234">
        <v>1321.0236815999999</v>
      </c>
      <c r="K1234">
        <v>2750</v>
      </c>
      <c r="L1234">
        <v>0</v>
      </c>
      <c r="M1234">
        <v>0</v>
      </c>
      <c r="N1234">
        <v>2750</v>
      </c>
    </row>
    <row r="1235" spans="1:14" x14ac:dyDescent="0.25">
      <c r="A1235">
        <v>518</v>
      </c>
      <c r="B1235" s="1">
        <f>DATE(2011,10,1) + TIME(0,0,0)</f>
        <v>40817</v>
      </c>
      <c r="C1235">
        <v>80</v>
      </c>
      <c r="D1235">
        <v>79.966407775999997</v>
      </c>
      <c r="E1235">
        <v>40</v>
      </c>
      <c r="F1235">
        <v>53.452709198000001</v>
      </c>
      <c r="G1235">
        <v>1339.9801024999999</v>
      </c>
      <c r="H1235">
        <v>1337.6617432</v>
      </c>
      <c r="I1235">
        <v>1323.9822998</v>
      </c>
      <c r="J1235">
        <v>1321.0292969</v>
      </c>
      <c r="K1235">
        <v>2750</v>
      </c>
      <c r="L1235">
        <v>0</v>
      </c>
      <c r="M1235">
        <v>0</v>
      </c>
      <c r="N1235">
        <v>2750</v>
      </c>
    </row>
    <row r="1236" spans="1:14" x14ac:dyDescent="0.25">
      <c r="A1236">
        <v>519.98221000000001</v>
      </c>
      <c r="B1236" s="1">
        <f>DATE(2011,10,2) + TIME(23,34,22)</f>
        <v>40818.982199074075</v>
      </c>
      <c r="C1236">
        <v>80</v>
      </c>
      <c r="D1236">
        <v>79.966445922999995</v>
      </c>
      <c r="E1236">
        <v>40</v>
      </c>
      <c r="F1236">
        <v>53.755554199000002</v>
      </c>
      <c r="G1236">
        <v>1339.9782714999999</v>
      </c>
      <c r="H1236">
        <v>1337.6604004000001</v>
      </c>
      <c r="I1236">
        <v>1323.9794922000001</v>
      </c>
      <c r="J1236">
        <v>1321.0325928</v>
      </c>
      <c r="K1236">
        <v>2750</v>
      </c>
      <c r="L1236">
        <v>0</v>
      </c>
      <c r="M1236">
        <v>0</v>
      </c>
      <c r="N1236">
        <v>2750</v>
      </c>
    </row>
    <row r="1237" spans="1:14" x14ac:dyDescent="0.25">
      <c r="A1237">
        <v>522.00599199999999</v>
      </c>
      <c r="B1237" s="1">
        <f>DATE(2011,10,5) + TIME(0,8,37)</f>
        <v>40821.005983796298</v>
      </c>
      <c r="C1237">
        <v>80</v>
      </c>
      <c r="D1237">
        <v>79.966484070000007</v>
      </c>
      <c r="E1237">
        <v>40</v>
      </c>
      <c r="F1237">
        <v>54.146442413000003</v>
      </c>
      <c r="G1237">
        <v>1339.972168</v>
      </c>
      <c r="H1237">
        <v>1337.6563721</v>
      </c>
      <c r="I1237">
        <v>1323.9827881000001</v>
      </c>
      <c r="J1237">
        <v>1321.0351562000001</v>
      </c>
      <c r="K1237">
        <v>2750</v>
      </c>
      <c r="L1237">
        <v>0</v>
      </c>
      <c r="M1237">
        <v>0</v>
      </c>
      <c r="N1237">
        <v>2750</v>
      </c>
    </row>
    <row r="1238" spans="1:14" x14ac:dyDescent="0.25">
      <c r="A1238">
        <v>524.08077700000001</v>
      </c>
      <c r="B1238" s="1">
        <f>DATE(2011,10,7) + TIME(1,56,19)</f>
        <v>40823.080775462964</v>
      </c>
      <c r="C1238">
        <v>80</v>
      </c>
      <c r="D1238">
        <v>79.966514587000006</v>
      </c>
      <c r="E1238">
        <v>40</v>
      </c>
      <c r="F1238">
        <v>54.547466278000002</v>
      </c>
      <c r="G1238">
        <v>1339.9660644999999</v>
      </c>
      <c r="H1238">
        <v>1337.6523437999999</v>
      </c>
      <c r="I1238">
        <v>1323.9864502</v>
      </c>
      <c r="J1238">
        <v>1321.0394286999999</v>
      </c>
      <c r="K1238">
        <v>2750</v>
      </c>
      <c r="L1238">
        <v>0</v>
      </c>
      <c r="M1238">
        <v>0</v>
      </c>
      <c r="N1238">
        <v>2750</v>
      </c>
    </row>
    <row r="1239" spans="1:14" x14ac:dyDescent="0.25">
      <c r="A1239">
        <v>526.18794800000001</v>
      </c>
      <c r="B1239" s="1">
        <f>DATE(2011,10,9) + TIME(4,30,38)</f>
        <v>40825.187939814816</v>
      </c>
      <c r="C1239">
        <v>80</v>
      </c>
      <c r="D1239">
        <v>79.966552734000004</v>
      </c>
      <c r="E1239">
        <v>40</v>
      </c>
      <c r="F1239">
        <v>54.943592072000001</v>
      </c>
      <c r="G1239">
        <v>1339.9599608999999</v>
      </c>
      <c r="H1239">
        <v>1337.6483154</v>
      </c>
      <c r="I1239">
        <v>1323.9903564000001</v>
      </c>
      <c r="J1239">
        <v>1321.0440673999999</v>
      </c>
      <c r="K1239">
        <v>2750</v>
      </c>
      <c r="L1239">
        <v>0</v>
      </c>
      <c r="M1239">
        <v>0</v>
      </c>
      <c r="N1239">
        <v>2750</v>
      </c>
    </row>
    <row r="1240" spans="1:14" x14ac:dyDescent="0.25">
      <c r="A1240">
        <v>528.30786599999999</v>
      </c>
      <c r="B1240" s="1">
        <f>DATE(2011,10,11) + TIME(7,23,19)</f>
        <v>40827.307858796295</v>
      </c>
      <c r="C1240">
        <v>80</v>
      </c>
      <c r="D1240">
        <v>79.966590881000002</v>
      </c>
      <c r="E1240">
        <v>40</v>
      </c>
      <c r="F1240">
        <v>55.327983856000003</v>
      </c>
      <c r="G1240">
        <v>1339.9538574000001</v>
      </c>
      <c r="H1240">
        <v>1337.6442870999999</v>
      </c>
      <c r="I1240">
        <v>1323.9943848</v>
      </c>
      <c r="J1240">
        <v>1321.0488281</v>
      </c>
      <c r="K1240">
        <v>2750</v>
      </c>
      <c r="L1240">
        <v>0</v>
      </c>
      <c r="M1240">
        <v>0</v>
      </c>
      <c r="N1240">
        <v>2750</v>
      </c>
    </row>
    <row r="1241" spans="1:14" x14ac:dyDescent="0.25">
      <c r="A1241">
        <v>530.46068200000002</v>
      </c>
      <c r="B1241" s="1">
        <f>DATE(2011,10,13) + TIME(11,3,22)</f>
        <v>40829.4606712963</v>
      </c>
      <c r="C1241">
        <v>80</v>
      </c>
      <c r="D1241">
        <v>79.966621399000005</v>
      </c>
      <c r="E1241">
        <v>40</v>
      </c>
      <c r="F1241">
        <v>55.698471069</v>
      </c>
      <c r="G1241">
        <v>1339.947876</v>
      </c>
      <c r="H1241">
        <v>1337.6403809000001</v>
      </c>
      <c r="I1241">
        <v>1323.9984131000001</v>
      </c>
      <c r="J1241">
        <v>1321.0535889</v>
      </c>
      <c r="K1241">
        <v>2750</v>
      </c>
      <c r="L1241">
        <v>0</v>
      </c>
      <c r="M1241">
        <v>0</v>
      </c>
      <c r="N1241">
        <v>2750</v>
      </c>
    </row>
    <row r="1242" spans="1:14" x14ac:dyDescent="0.25">
      <c r="A1242">
        <v>532.65621899999996</v>
      </c>
      <c r="B1242" s="1">
        <f>DATE(2011,10,15) + TIME(15,44,57)</f>
        <v>40831.656215277777</v>
      </c>
      <c r="C1242">
        <v>80</v>
      </c>
      <c r="D1242">
        <v>79.966659546000002</v>
      </c>
      <c r="E1242">
        <v>40</v>
      </c>
      <c r="F1242">
        <v>56.057872772000003</v>
      </c>
      <c r="G1242">
        <v>1339.9418945</v>
      </c>
      <c r="H1242">
        <v>1337.6364745999999</v>
      </c>
      <c r="I1242">
        <v>1324.0025635</v>
      </c>
      <c r="J1242">
        <v>1321.0582274999999</v>
      </c>
      <c r="K1242">
        <v>2750</v>
      </c>
      <c r="L1242">
        <v>0</v>
      </c>
      <c r="M1242">
        <v>0</v>
      </c>
      <c r="N1242">
        <v>2750</v>
      </c>
    </row>
    <row r="1243" spans="1:14" x14ac:dyDescent="0.25">
      <c r="A1243">
        <v>534.89672700000006</v>
      </c>
      <c r="B1243" s="1">
        <f>DATE(2011,10,17) + TIME(21,31,17)</f>
        <v>40833.896724537037</v>
      </c>
      <c r="C1243">
        <v>80</v>
      </c>
      <c r="D1243">
        <v>79.966697693</v>
      </c>
      <c r="E1243">
        <v>40</v>
      </c>
      <c r="F1243">
        <v>56.408004761000001</v>
      </c>
      <c r="G1243">
        <v>1339.9359131000001</v>
      </c>
      <c r="H1243">
        <v>1337.6325684000001</v>
      </c>
      <c r="I1243">
        <v>1324.0068358999999</v>
      </c>
      <c r="J1243">
        <v>1321.0629882999999</v>
      </c>
      <c r="K1243">
        <v>2750</v>
      </c>
      <c r="L1243">
        <v>0</v>
      </c>
      <c r="M1243">
        <v>0</v>
      </c>
      <c r="N1243">
        <v>2750</v>
      </c>
    </row>
    <row r="1244" spans="1:14" x14ac:dyDescent="0.25">
      <c r="A1244">
        <v>537.15548699999999</v>
      </c>
      <c r="B1244" s="1">
        <f>DATE(2011,10,20) + TIME(3,43,54)</f>
        <v>40836.155486111114</v>
      </c>
      <c r="C1244">
        <v>80</v>
      </c>
      <c r="D1244">
        <v>79.966735839999998</v>
      </c>
      <c r="E1244">
        <v>40</v>
      </c>
      <c r="F1244">
        <v>56.748497008999998</v>
      </c>
      <c r="G1244">
        <v>1339.9299315999999</v>
      </c>
      <c r="H1244">
        <v>1337.6286620999999</v>
      </c>
      <c r="I1244">
        <v>1324.0112305</v>
      </c>
      <c r="J1244">
        <v>1321.0676269999999</v>
      </c>
      <c r="K1244">
        <v>2750</v>
      </c>
      <c r="L1244">
        <v>0</v>
      </c>
      <c r="M1244">
        <v>0</v>
      </c>
      <c r="N1244">
        <v>2750</v>
      </c>
    </row>
    <row r="1245" spans="1:14" x14ac:dyDescent="0.25">
      <c r="A1245">
        <v>539.44507899999996</v>
      </c>
      <c r="B1245" s="1">
        <f>DATE(2011,10,22) + TIME(10,40,54)</f>
        <v>40838.445069444446</v>
      </c>
      <c r="C1245">
        <v>80</v>
      </c>
      <c r="D1245">
        <v>79.966781616000006</v>
      </c>
      <c r="E1245">
        <v>40</v>
      </c>
      <c r="F1245">
        <v>57.074947356999999</v>
      </c>
      <c r="G1245">
        <v>1339.9240723</v>
      </c>
      <c r="H1245">
        <v>1337.6247559000001</v>
      </c>
      <c r="I1245">
        <v>1324.015625</v>
      </c>
      <c r="J1245">
        <v>1321.0723877</v>
      </c>
      <c r="K1245">
        <v>2750</v>
      </c>
      <c r="L1245">
        <v>0</v>
      </c>
      <c r="M1245">
        <v>0</v>
      </c>
      <c r="N1245">
        <v>2750</v>
      </c>
    </row>
    <row r="1246" spans="1:14" x14ac:dyDescent="0.25">
      <c r="A1246">
        <v>541.76869199999999</v>
      </c>
      <c r="B1246" s="1">
        <f>DATE(2011,10,24) + TIME(18,26,55)</f>
        <v>40840.768692129626</v>
      </c>
      <c r="C1246">
        <v>80</v>
      </c>
      <c r="D1246">
        <v>79.966819763000004</v>
      </c>
      <c r="E1246">
        <v>40</v>
      </c>
      <c r="F1246">
        <v>57.390228270999998</v>
      </c>
      <c r="G1246">
        <v>1339.9182129000001</v>
      </c>
      <c r="H1246">
        <v>1337.6209716999999</v>
      </c>
      <c r="I1246">
        <v>1324.0201416</v>
      </c>
      <c r="J1246">
        <v>1321.0770264</v>
      </c>
      <c r="K1246">
        <v>2750</v>
      </c>
      <c r="L1246">
        <v>0</v>
      </c>
      <c r="M1246">
        <v>0</v>
      </c>
      <c r="N1246">
        <v>2750</v>
      </c>
    </row>
    <row r="1247" spans="1:14" x14ac:dyDescent="0.25">
      <c r="A1247">
        <v>544.13956700000006</v>
      </c>
      <c r="B1247" s="1">
        <f>DATE(2011,10,27) + TIME(3,20,58)</f>
        <v>40843.139560185184</v>
      </c>
      <c r="C1247">
        <v>80</v>
      </c>
      <c r="D1247">
        <v>79.966857910000002</v>
      </c>
      <c r="E1247">
        <v>40</v>
      </c>
      <c r="F1247">
        <v>57.696380615000002</v>
      </c>
      <c r="G1247">
        <v>1339.9123535000001</v>
      </c>
      <c r="H1247">
        <v>1337.6171875</v>
      </c>
      <c r="I1247">
        <v>1324.0246582</v>
      </c>
      <c r="J1247">
        <v>1321.0816649999999</v>
      </c>
      <c r="K1247">
        <v>2750</v>
      </c>
      <c r="L1247">
        <v>0</v>
      </c>
      <c r="M1247">
        <v>0</v>
      </c>
      <c r="N1247">
        <v>2750</v>
      </c>
    </row>
    <row r="1248" spans="1:14" x14ac:dyDescent="0.25">
      <c r="A1248">
        <v>546.55113400000005</v>
      </c>
      <c r="B1248" s="1">
        <f>DATE(2011,10,29) + TIME(13,13,38)</f>
        <v>40845.551134259258</v>
      </c>
      <c r="C1248">
        <v>80</v>
      </c>
      <c r="D1248">
        <v>79.966903686999999</v>
      </c>
      <c r="E1248">
        <v>40</v>
      </c>
      <c r="F1248">
        <v>57.993579865000001</v>
      </c>
      <c r="G1248">
        <v>1339.9066161999999</v>
      </c>
      <c r="H1248">
        <v>1337.6134033000001</v>
      </c>
      <c r="I1248">
        <v>1324.0294189000001</v>
      </c>
      <c r="J1248">
        <v>1321.0863036999999</v>
      </c>
      <c r="K1248">
        <v>2750</v>
      </c>
      <c r="L1248">
        <v>0</v>
      </c>
      <c r="M1248">
        <v>0</v>
      </c>
      <c r="N1248">
        <v>2750</v>
      </c>
    </row>
    <row r="1249" spans="1:14" x14ac:dyDescent="0.25">
      <c r="A1249">
        <v>549</v>
      </c>
      <c r="B1249" s="1">
        <f>DATE(2011,11,1) + TIME(0,0,0)</f>
        <v>40848</v>
      </c>
      <c r="C1249">
        <v>80</v>
      </c>
      <c r="D1249">
        <v>79.966949463000006</v>
      </c>
      <c r="E1249">
        <v>40</v>
      </c>
      <c r="F1249">
        <v>58.283493042000003</v>
      </c>
      <c r="G1249">
        <v>1339.9007568</v>
      </c>
      <c r="H1249">
        <v>1337.6096190999999</v>
      </c>
      <c r="I1249">
        <v>1324.0341797000001</v>
      </c>
      <c r="J1249">
        <v>1321.0909423999999</v>
      </c>
      <c r="K1249">
        <v>2750</v>
      </c>
      <c r="L1249">
        <v>0</v>
      </c>
      <c r="M1249">
        <v>0</v>
      </c>
      <c r="N1249">
        <v>2750</v>
      </c>
    </row>
    <row r="1250" spans="1:14" x14ac:dyDescent="0.25">
      <c r="A1250">
        <v>549.000001</v>
      </c>
      <c r="B1250" s="1">
        <f>DATE(2011,11,1) + TIME(0,0,0)</f>
        <v>40848</v>
      </c>
      <c r="C1250">
        <v>80</v>
      </c>
      <c r="D1250">
        <v>79.966842650999993</v>
      </c>
      <c r="E1250">
        <v>40</v>
      </c>
      <c r="F1250">
        <v>58.283603667999998</v>
      </c>
      <c r="G1250">
        <v>1336.8963623</v>
      </c>
      <c r="H1250">
        <v>1336.1114502</v>
      </c>
      <c r="I1250">
        <v>1327.9752197</v>
      </c>
      <c r="J1250">
        <v>1325.1365966999999</v>
      </c>
      <c r="K1250">
        <v>0</v>
      </c>
      <c r="L1250">
        <v>2750</v>
      </c>
      <c r="M1250">
        <v>2750</v>
      </c>
      <c r="N1250">
        <v>0</v>
      </c>
    </row>
    <row r="1251" spans="1:14" x14ac:dyDescent="0.25">
      <c r="A1251">
        <v>549.00000399999999</v>
      </c>
      <c r="B1251" s="1">
        <f>DATE(2011,11,1) + TIME(0,0,0)</f>
        <v>40848</v>
      </c>
      <c r="C1251">
        <v>80</v>
      </c>
      <c r="D1251">
        <v>79.966712951999995</v>
      </c>
      <c r="E1251">
        <v>40</v>
      </c>
      <c r="F1251">
        <v>58.283702849999997</v>
      </c>
      <c r="G1251">
        <v>1335.9448242000001</v>
      </c>
      <c r="H1251">
        <v>1335.1516113</v>
      </c>
      <c r="I1251">
        <v>1329.3967285000001</v>
      </c>
      <c r="J1251">
        <v>1326.7089844</v>
      </c>
      <c r="K1251">
        <v>0</v>
      </c>
      <c r="L1251">
        <v>2750</v>
      </c>
      <c r="M1251">
        <v>2750</v>
      </c>
      <c r="N1251">
        <v>0</v>
      </c>
    </row>
    <row r="1252" spans="1:14" x14ac:dyDescent="0.25">
      <c r="A1252">
        <v>549.00001299999997</v>
      </c>
      <c r="B1252" s="1">
        <f>DATE(2011,11,1) + TIME(0,0,1)</f>
        <v>40848.000011574077</v>
      </c>
      <c r="C1252">
        <v>80</v>
      </c>
      <c r="D1252">
        <v>79.966567992999998</v>
      </c>
      <c r="E1252">
        <v>40</v>
      </c>
      <c r="F1252">
        <v>58.283611297999997</v>
      </c>
      <c r="G1252">
        <v>1334.9604492000001</v>
      </c>
      <c r="H1252">
        <v>1334.1365966999999</v>
      </c>
      <c r="I1252">
        <v>1331.1623535000001</v>
      </c>
      <c r="J1252">
        <v>1328.458374</v>
      </c>
      <c r="K1252">
        <v>0</v>
      </c>
      <c r="L1252">
        <v>2750</v>
      </c>
      <c r="M1252">
        <v>2750</v>
      </c>
      <c r="N1252">
        <v>0</v>
      </c>
    </row>
    <row r="1253" spans="1:14" x14ac:dyDescent="0.25">
      <c r="A1253">
        <v>549.00004000000001</v>
      </c>
      <c r="B1253" s="1">
        <f>DATE(2011,11,1) + TIME(0,0,3)</f>
        <v>40848.000034722223</v>
      </c>
      <c r="C1253">
        <v>80</v>
      </c>
      <c r="D1253">
        <v>79.966423035000005</v>
      </c>
      <c r="E1253">
        <v>40</v>
      </c>
      <c r="F1253">
        <v>58.282867432000003</v>
      </c>
      <c r="G1253">
        <v>1333.9863281</v>
      </c>
      <c r="H1253">
        <v>1333.1147461</v>
      </c>
      <c r="I1253">
        <v>1332.9699707</v>
      </c>
      <c r="J1253">
        <v>1330.2141113</v>
      </c>
      <c r="K1253">
        <v>0</v>
      </c>
      <c r="L1253">
        <v>2750</v>
      </c>
      <c r="M1253">
        <v>2750</v>
      </c>
      <c r="N1253">
        <v>0</v>
      </c>
    </row>
    <row r="1254" spans="1:14" x14ac:dyDescent="0.25">
      <c r="A1254">
        <v>549.00012100000004</v>
      </c>
      <c r="B1254" s="1">
        <f>DATE(2011,11,1) + TIME(0,0,10)</f>
        <v>40848.000115740739</v>
      </c>
      <c r="C1254">
        <v>80</v>
      </c>
      <c r="D1254">
        <v>79.966270446999999</v>
      </c>
      <c r="E1254">
        <v>40</v>
      </c>
      <c r="F1254">
        <v>58.280117035000004</v>
      </c>
      <c r="G1254">
        <v>1332.9716797000001</v>
      </c>
      <c r="H1254">
        <v>1332.0350341999999</v>
      </c>
      <c r="I1254">
        <v>1334.7653809000001</v>
      </c>
      <c r="J1254">
        <v>1331.9591064000001</v>
      </c>
      <c r="K1254">
        <v>0</v>
      </c>
      <c r="L1254">
        <v>2750</v>
      </c>
      <c r="M1254">
        <v>2750</v>
      </c>
      <c r="N1254">
        <v>0</v>
      </c>
    </row>
    <row r="1255" spans="1:14" x14ac:dyDescent="0.25">
      <c r="A1255">
        <v>549.00036399999999</v>
      </c>
      <c r="B1255" s="1">
        <f>DATE(2011,11,1) + TIME(0,0,31)</f>
        <v>40848.000358796293</v>
      </c>
      <c r="C1255">
        <v>80</v>
      </c>
      <c r="D1255">
        <v>79.966072083</v>
      </c>
      <c r="E1255">
        <v>40</v>
      </c>
      <c r="F1255">
        <v>58.271217346</v>
      </c>
      <c r="G1255">
        <v>1331.8800048999999</v>
      </c>
      <c r="H1255">
        <v>1330.8682861</v>
      </c>
      <c r="I1255">
        <v>1336.5539550999999</v>
      </c>
      <c r="J1255">
        <v>1333.6867675999999</v>
      </c>
      <c r="K1255">
        <v>0</v>
      </c>
      <c r="L1255">
        <v>2750</v>
      </c>
      <c r="M1255">
        <v>2750</v>
      </c>
      <c r="N1255">
        <v>0</v>
      </c>
    </row>
    <row r="1256" spans="1:14" x14ac:dyDescent="0.25">
      <c r="A1256">
        <v>549.00109299999997</v>
      </c>
      <c r="B1256" s="1">
        <f>DATE(2011,11,1) + TIME(0,1,34)</f>
        <v>40848.001087962963</v>
      </c>
      <c r="C1256">
        <v>80</v>
      </c>
      <c r="D1256">
        <v>79.965797424000002</v>
      </c>
      <c r="E1256">
        <v>40</v>
      </c>
      <c r="F1256">
        <v>58.243434905999997</v>
      </c>
      <c r="G1256">
        <v>1330.8016356999999</v>
      </c>
      <c r="H1256">
        <v>1329.7232666</v>
      </c>
      <c r="I1256">
        <v>1338.2131348</v>
      </c>
      <c r="J1256">
        <v>1335.2749022999999</v>
      </c>
      <c r="K1256">
        <v>0</v>
      </c>
      <c r="L1256">
        <v>2750</v>
      </c>
      <c r="M1256">
        <v>2750</v>
      </c>
      <c r="N1256">
        <v>0</v>
      </c>
    </row>
    <row r="1257" spans="1:14" x14ac:dyDescent="0.25">
      <c r="A1257">
        <v>549.00328000000002</v>
      </c>
      <c r="B1257" s="1">
        <f>DATE(2011,11,1) + TIME(0,4,43)</f>
        <v>40848.003275462965</v>
      </c>
      <c r="C1257">
        <v>80</v>
      </c>
      <c r="D1257">
        <v>79.965286254999995</v>
      </c>
      <c r="E1257">
        <v>40</v>
      </c>
      <c r="F1257">
        <v>58.158500670999999</v>
      </c>
      <c r="G1257">
        <v>1329.9588623</v>
      </c>
      <c r="H1257">
        <v>1328.8430175999999</v>
      </c>
      <c r="I1257">
        <v>1339.4487305</v>
      </c>
      <c r="J1257">
        <v>1336.4534911999999</v>
      </c>
      <c r="K1257">
        <v>0</v>
      </c>
      <c r="L1257">
        <v>2750</v>
      </c>
      <c r="M1257">
        <v>2750</v>
      </c>
      <c r="N1257">
        <v>0</v>
      </c>
    </row>
    <row r="1258" spans="1:14" x14ac:dyDescent="0.25">
      <c r="A1258">
        <v>549.00984100000005</v>
      </c>
      <c r="B1258" s="1">
        <f>DATE(2011,11,1) + TIME(0,14,10)</f>
        <v>40848.009837962964</v>
      </c>
      <c r="C1258">
        <v>80</v>
      </c>
      <c r="D1258">
        <v>79.964057921999995</v>
      </c>
      <c r="E1258">
        <v>40</v>
      </c>
      <c r="F1258">
        <v>57.905429839999996</v>
      </c>
      <c r="G1258">
        <v>1329.5010986</v>
      </c>
      <c r="H1258">
        <v>1328.3729248</v>
      </c>
      <c r="I1258">
        <v>1340.0616454999999</v>
      </c>
      <c r="J1258">
        <v>1337.0374756000001</v>
      </c>
      <c r="K1258">
        <v>0</v>
      </c>
      <c r="L1258">
        <v>2750</v>
      </c>
      <c r="M1258">
        <v>2750</v>
      </c>
      <c r="N1258">
        <v>0</v>
      </c>
    </row>
    <row r="1259" spans="1:14" x14ac:dyDescent="0.25">
      <c r="A1259">
        <v>549.02952400000004</v>
      </c>
      <c r="B1259" s="1">
        <f>DATE(2011,11,1) + TIME(0,42,30)</f>
        <v>40848.029513888891</v>
      </c>
      <c r="C1259">
        <v>80</v>
      </c>
      <c r="D1259">
        <v>79.960594177000004</v>
      </c>
      <c r="E1259">
        <v>40</v>
      </c>
      <c r="F1259">
        <v>57.181594849</v>
      </c>
      <c r="G1259">
        <v>1329.3616943</v>
      </c>
      <c r="H1259">
        <v>1328.2303466999999</v>
      </c>
      <c r="I1259">
        <v>1340.2049560999999</v>
      </c>
      <c r="J1259">
        <v>1337.1672363</v>
      </c>
      <c r="K1259">
        <v>0</v>
      </c>
      <c r="L1259">
        <v>2750</v>
      </c>
      <c r="M1259">
        <v>2750</v>
      </c>
      <c r="N1259">
        <v>0</v>
      </c>
    </row>
    <row r="1260" spans="1:14" x14ac:dyDescent="0.25">
      <c r="A1260">
        <v>549.05671700000005</v>
      </c>
      <c r="B1260" s="1">
        <f>DATE(2011,11,1) + TIME(1,21,40)</f>
        <v>40848.056712962964</v>
      </c>
      <c r="C1260">
        <v>80</v>
      </c>
      <c r="D1260">
        <v>79.955894470000004</v>
      </c>
      <c r="E1260">
        <v>40</v>
      </c>
      <c r="F1260">
        <v>56.247638702000003</v>
      </c>
      <c r="G1260">
        <v>1329.340332</v>
      </c>
      <c r="H1260">
        <v>1328.2069091999999</v>
      </c>
      <c r="I1260">
        <v>1340.2003173999999</v>
      </c>
      <c r="J1260">
        <v>1337.1552733999999</v>
      </c>
      <c r="K1260">
        <v>0</v>
      </c>
      <c r="L1260">
        <v>2750</v>
      </c>
      <c r="M1260">
        <v>2750</v>
      </c>
      <c r="N1260">
        <v>0</v>
      </c>
    </row>
    <row r="1261" spans="1:14" x14ac:dyDescent="0.25">
      <c r="A1261">
        <v>549.08583199999998</v>
      </c>
      <c r="B1261" s="1">
        <f>DATE(2011,11,1) + TIME(2,3,35)</f>
        <v>40848.085821759261</v>
      </c>
      <c r="C1261">
        <v>80</v>
      </c>
      <c r="D1261">
        <v>79.950912475999999</v>
      </c>
      <c r="E1261">
        <v>40</v>
      </c>
      <c r="F1261">
        <v>55.317398071</v>
      </c>
      <c r="G1261">
        <v>1329.3337402</v>
      </c>
      <c r="H1261">
        <v>1328.197876</v>
      </c>
      <c r="I1261">
        <v>1340.1804199000001</v>
      </c>
      <c r="J1261">
        <v>1337.1301269999999</v>
      </c>
      <c r="K1261">
        <v>0</v>
      </c>
      <c r="L1261">
        <v>2750</v>
      </c>
      <c r="M1261">
        <v>2750</v>
      </c>
      <c r="N1261">
        <v>0</v>
      </c>
    </row>
    <row r="1262" spans="1:14" x14ac:dyDescent="0.25">
      <c r="A1262">
        <v>549.11713099999997</v>
      </c>
      <c r="B1262" s="1">
        <f>DATE(2011,11,1) + TIME(2,48,40)</f>
        <v>40848.117129629631</v>
      </c>
      <c r="C1262">
        <v>80</v>
      </c>
      <c r="D1262">
        <v>79.945602417000003</v>
      </c>
      <c r="E1262">
        <v>40</v>
      </c>
      <c r="F1262">
        <v>54.390544890999998</v>
      </c>
      <c r="G1262">
        <v>1329.3286132999999</v>
      </c>
      <c r="H1262">
        <v>1328.1903076000001</v>
      </c>
      <c r="I1262">
        <v>1340.1595459</v>
      </c>
      <c r="J1262">
        <v>1337.1042480000001</v>
      </c>
      <c r="K1262">
        <v>0</v>
      </c>
      <c r="L1262">
        <v>2750</v>
      </c>
      <c r="M1262">
        <v>2750</v>
      </c>
      <c r="N1262">
        <v>0</v>
      </c>
    </row>
    <row r="1263" spans="1:14" x14ac:dyDescent="0.25">
      <c r="A1263">
        <v>549.15089999999998</v>
      </c>
      <c r="B1263" s="1">
        <f>DATE(2011,11,1) + TIME(3,37,17)</f>
        <v>40848.150891203702</v>
      </c>
      <c r="C1263">
        <v>80</v>
      </c>
      <c r="D1263">
        <v>79.939933776999993</v>
      </c>
      <c r="E1263">
        <v>40</v>
      </c>
      <c r="F1263">
        <v>53.467433929000002</v>
      </c>
      <c r="G1263">
        <v>1329.3234863</v>
      </c>
      <c r="H1263">
        <v>1328.1826172000001</v>
      </c>
      <c r="I1263">
        <v>1340.1385498</v>
      </c>
      <c r="J1263">
        <v>1337.0783690999999</v>
      </c>
      <c r="K1263">
        <v>0</v>
      </c>
      <c r="L1263">
        <v>2750</v>
      </c>
      <c r="M1263">
        <v>2750</v>
      </c>
      <c r="N1263">
        <v>0</v>
      </c>
    </row>
    <row r="1264" spans="1:14" x14ac:dyDescent="0.25">
      <c r="A1264">
        <v>549.18748200000005</v>
      </c>
      <c r="B1264" s="1">
        <f>DATE(2011,11,1) + TIME(4,29,58)</f>
        <v>40848.187476851854</v>
      </c>
      <c r="C1264">
        <v>80</v>
      </c>
      <c r="D1264">
        <v>79.933860779</v>
      </c>
      <c r="E1264">
        <v>40</v>
      </c>
      <c r="F1264">
        <v>52.548511505</v>
      </c>
      <c r="G1264">
        <v>1329.3181152</v>
      </c>
      <c r="H1264">
        <v>1328.1745605000001</v>
      </c>
      <c r="I1264">
        <v>1340.1171875</v>
      </c>
      <c r="J1264">
        <v>1337.0523682</v>
      </c>
      <c r="K1264">
        <v>0</v>
      </c>
      <c r="L1264">
        <v>2750</v>
      </c>
      <c r="M1264">
        <v>2750</v>
      </c>
      <c r="N1264">
        <v>0</v>
      </c>
    </row>
    <row r="1265" spans="1:14" x14ac:dyDescent="0.25">
      <c r="A1265">
        <v>549.22729200000003</v>
      </c>
      <c r="B1265" s="1">
        <f>DATE(2011,11,1) + TIME(5,27,17)</f>
        <v>40848.227280092593</v>
      </c>
      <c r="C1265">
        <v>80</v>
      </c>
      <c r="D1265">
        <v>79.927322387999993</v>
      </c>
      <c r="E1265">
        <v>40</v>
      </c>
      <c r="F1265">
        <v>51.634300232000001</v>
      </c>
      <c r="G1265">
        <v>1329.3123779</v>
      </c>
      <c r="H1265">
        <v>1328.1660156</v>
      </c>
      <c r="I1265">
        <v>1340.0955810999999</v>
      </c>
      <c r="J1265">
        <v>1337.0263672000001</v>
      </c>
      <c r="K1265">
        <v>0</v>
      </c>
      <c r="L1265">
        <v>2750</v>
      </c>
      <c r="M1265">
        <v>2750</v>
      </c>
      <c r="N1265">
        <v>0</v>
      </c>
    </row>
    <row r="1266" spans="1:14" x14ac:dyDescent="0.25">
      <c r="A1266">
        <v>549.26969399999996</v>
      </c>
      <c r="B1266" s="1">
        <f>DATE(2011,11,1) + TIME(6,28,21)</f>
        <v>40848.269687499997</v>
      </c>
      <c r="C1266">
        <v>80</v>
      </c>
      <c r="D1266">
        <v>79.920440674000005</v>
      </c>
      <c r="E1266">
        <v>40</v>
      </c>
      <c r="F1266">
        <v>50.747211456000002</v>
      </c>
      <c r="G1266">
        <v>1329.3063964999999</v>
      </c>
      <c r="H1266">
        <v>1328.1571045000001</v>
      </c>
      <c r="I1266">
        <v>1340.0740966999999</v>
      </c>
      <c r="J1266">
        <v>1337.0008545000001</v>
      </c>
      <c r="K1266">
        <v>0</v>
      </c>
      <c r="L1266">
        <v>2750</v>
      </c>
      <c r="M1266">
        <v>2750</v>
      </c>
      <c r="N1266">
        <v>0</v>
      </c>
    </row>
    <row r="1267" spans="1:14" x14ac:dyDescent="0.25">
      <c r="A1267">
        <v>549.31404499999996</v>
      </c>
      <c r="B1267" s="1">
        <f>DATE(2011,11,1) + TIME(7,32,13)</f>
        <v>40848.314039351855</v>
      </c>
      <c r="C1267">
        <v>80</v>
      </c>
      <c r="D1267">
        <v>79.913314818999993</v>
      </c>
      <c r="E1267">
        <v>40</v>
      </c>
      <c r="F1267">
        <v>49.903587340999998</v>
      </c>
      <c r="G1267">
        <v>1329.300293</v>
      </c>
      <c r="H1267">
        <v>1328.1478271000001</v>
      </c>
      <c r="I1267">
        <v>1340.0532227000001</v>
      </c>
      <c r="J1267">
        <v>1336.9763184000001</v>
      </c>
      <c r="K1267">
        <v>0</v>
      </c>
      <c r="L1267">
        <v>2750</v>
      </c>
      <c r="M1267">
        <v>2750</v>
      </c>
      <c r="N1267">
        <v>0</v>
      </c>
    </row>
    <row r="1268" spans="1:14" x14ac:dyDescent="0.25">
      <c r="A1268">
        <v>549.36044900000002</v>
      </c>
      <c r="B1268" s="1">
        <f>DATE(2011,11,1) + TIME(8,39,2)</f>
        <v>40848.360439814816</v>
      </c>
      <c r="C1268">
        <v>80</v>
      </c>
      <c r="D1268">
        <v>79.905952454000001</v>
      </c>
      <c r="E1268">
        <v>40</v>
      </c>
      <c r="F1268">
        <v>49.102420807000001</v>
      </c>
      <c r="G1268">
        <v>1329.2939452999999</v>
      </c>
      <c r="H1268">
        <v>1328.1385498</v>
      </c>
      <c r="I1268">
        <v>1340.0332031</v>
      </c>
      <c r="J1268">
        <v>1336.9530029</v>
      </c>
      <c r="K1268">
        <v>0</v>
      </c>
      <c r="L1268">
        <v>2750</v>
      </c>
      <c r="M1268">
        <v>2750</v>
      </c>
      <c r="N1268">
        <v>0</v>
      </c>
    </row>
    <row r="1269" spans="1:14" x14ac:dyDescent="0.25">
      <c r="A1269">
        <v>549.40902300000005</v>
      </c>
      <c r="B1269" s="1">
        <f>DATE(2011,11,1) + TIME(9,48,59)</f>
        <v>40848.409016203703</v>
      </c>
      <c r="C1269">
        <v>80</v>
      </c>
      <c r="D1269">
        <v>79.898323059000006</v>
      </c>
      <c r="E1269">
        <v>40</v>
      </c>
      <c r="F1269">
        <v>48.343215942</v>
      </c>
      <c r="G1269">
        <v>1329.2875977000001</v>
      </c>
      <c r="H1269">
        <v>1328.1289062000001</v>
      </c>
      <c r="I1269">
        <v>1340.0139160000001</v>
      </c>
      <c r="J1269">
        <v>1336.9307861</v>
      </c>
      <c r="K1269">
        <v>0</v>
      </c>
      <c r="L1269">
        <v>2750</v>
      </c>
      <c r="M1269">
        <v>2750</v>
      </c>
      <c r="N1269">
        <v>0</v>
      </c>
    </row>
    <row r="1270" spans="1:14" x14ac:dyDescent="0.25">
      <c r="A1270">
        <v>549.45989399999996</v>
      </c>
      <c r="B1270" s="1">
        <f>DATE(2011,11,1) + TIME(11,2,14)</f>
        <v>40848.45988425926</v>
      </c>
      <c r="C1270">
        <v>80</v>
      </c>
      <c r="D1270">
        <v>79.890426636000001</v>
      </c>
      <c r="E1270">
        <v>40</v>
      </c>
      <c r="F1270">
        <v>47.625144958</v>
      </c>
      <c r="G1270">
        <v>1329.2810059000001</v>
      </c>
      <c r="H1270">
        <v>1328.1192627</v>
      </c>
      <c r="I1270">
        <v>1339.9953613</v>
      </c>
      <c r="J1270">
        <v>1336.909668</v>
      </c>
      <c r="K1270">
        <v>0</v>
      </c>
      <c r="L1270">
        <v>2750</v>
      </c>
      <c r="M1270">
        <v>2750</v>
      </c>
      <c r="N1270">
        <v>0</v>
      </c>
    </row>
    <row r="1271" spans="1:14" x14ac:dyDescent="0.25">
      <c r="A1271">
        <v>549.51319799999999</v>
      </c>
      <c r="B1271" s="1">
        <f>DATE(2011,11,1) + TIME(12,19,0)</f>
        <v>40848.513194444444</v>
      </c>
      <c r="C1271">
        <v>80</v>
      </c>
      <c r="D1271">
        <v>79.882255553999997</v>
      </c>
      <c r="E1271">
        <v>40</v>
      </c>
      <c r="F1271">
        <v>46.947391510000003</v>
      </c>
      <c r="G1271">
        <v>1329.2744141000001</v>
      </c>
      <c r="H1271">
        <v>1328.1092529</v>
      </c>
      <c r="I1271">
        <v>1339.9776611</v>
      </c>
      <c r="J1271">
        <v>1336.8896483999999</v>
      </c>
      <c r="K1271">
        <v>0</v>
      </c>
      <c r="L1271">
        <v>2750</v>
      </c>
      <c r="M1271">
        <v>2750</v>
      </c>
      <c r="N1271">
        <v>0</v>
      </c>
    </row>
    <row r="1272" spans="1:14" x14ac:dyDescent="0.25">
      <c r="A1272">
        <v>549.56908699999997</v>
      </c>
      <c r="B1272" s="1">
        <f>DATE(2011,11,1) + TIME(13,39,29)</f>
        <v>40848.569085648145</v>
      </c>
      <c r="C1272">
        <v>80</v>
      </c>
      <c r="D1272">
        <v>79.873786925999994</v>
      </c>
      <c r="E1272">
        <v>40</v>
      </c>
      <c r="F1272">
        <v>46.309036255000002</v>
      </c>
      <c r="G1272">
        <v>1329.2675781</v>
      </c>
      <c r="H1272">
        <v>1328.0991211</v>
      </c>
      <c r="I1272">
        <v>1339.9608154</v>
      </c>
      <c r="J1272">
        <v>1336.8707274999999</v>
      </c>
      <c r="K1272">
        <v>0</v>
      </c>
      <c r="L1272">
        <v>2750</v>
      </c>
      <c r="M1272">
        <v>2750</v>
      </c>
      <c r="N1272">
        <v>0</v>
      </c>
    </row>
    <row r="1273" spans="1:14" x14ac:dyDescent="0.25">
      <c r="A1273">
        <v>549.627702</v>
      </c>
      <c r="B1273" s="1">
        <f>DATE(2011,11,1) + TIME(15,3,53)</f>
        <v>40848.627696759257</v>
      </c>
      <c r="C1273">
        <v>80</v>
      </c>
      <c r="D1273">
        <v>79.865013122999997</v>
      </c>
      <c r="E1273">
        <v>40</v>
      </c>
      <c r="F1273">
        <v>45.709415436</v>
      </c>
      <c r="G1273">
        <v>1329.2606201000001</v>
      </c>
      <c r="H1273">
        <v>1328.0887451000001</v>
      </c>
      <c r="I1273">
        <v>1339.9447021000001</v>
      </c>
      <c r="J1273">
        <v>1336.8529053</v>
      </c>
      <c r="K1273">
        <v>0</v>
      </c>
      <c r="L1273">
        <v>2750</v>
      </c>
      <c r="M1273">
        <v>2750</v>
      </c>
      <c r="N1273">
        <v>0</v>
      </c>
    </row>
    <row r="1274" spans="1:14" x14ac:dyDescent="0.25">
      <c r="A1274">
        <v>549.68920200000002</v>
      </c>
      <c r="B1274" s="1">
        <f>DATE(2011,11,1) + TIME(16,32,27)</f>
        <v>40848.689201388886</v>
      </c>
      <c r="C1274">
        <v>80</v>
      </c>
      <c r="D1274">
        <v>79.855918884000005</v>
      </c>
      <c r="E1274">
        <v>40</v>
      </c>
      <c r="F1274">
        <v>45.147712708</v>
      </c>
      <c r="G1274">
        <v>1329.253418</v>
      </c>
      <c r="H1274">
        <v>1328.078125</v>
      </c>
      <c r="I1274">
        <v>1339.9293213000001</v>
      </c>
      <c r="J1274">
        <v>1336.8361815999999</v>
      </c>
      <c r="K1274">
        <v>0</v>
      </c>
      <c r="L1274">
        <v>2750</v>
      </c>
      <c r="M1274">
        <v>2750</v>
      </c>
      <c r="N1274">
        <v>0</v>
      </c>
    </row>
    <row r="1275" spans="1:14" x14ac:dyDescent="0.25">
      <c r="A1275">
        <v>549.75375599999995</v>
      </c>
      <c r="B1275" s="1">
        <f>DATE(2011,11,1) + TIME(18,5,24)</f>
        <v>40848.753750000003</v>
      </c>
      <c r="C1275">
        <v>80</v>
      </c>
      <c r="D1275">
        <v>79.846488953000005</v>
      </c>
      <c r="E1275">
        <v>40</v>
      </c>
      <c r="F1275">
        <v>44.623088836999997</v>
      </c>
      <c r="G1275">
        <v>1329.2460937999999</v>
      </c>
      <c r="H1275">
        <v>1328.0672606999999</v>
      </c>
      <c r="I1275">
        <v>1339.9147949000001</v>
      </c>
      <c r="J1275">
        <v>1336.8205565999999</v>
      </c>
      <c r="K1275">
        <v>0</v>
      </c>
      <c r="L1275">
        <v>2750</v>
      </c>
      <c r="M1275">
        <v>2750</v>
      </c>
      <c r="N1275">
        <v>0</v>
      </c>
    </row>
    <row r="1276" spans="1:14" x14ac:dyDescent="0.25">
      <c r="A1276">
        <v>549.82154500000001</v>
      </c>
      <c r="B1276" s="1">
        <f>DATE(2011,11,1) + TIME(19,43,1)</f>
        <v>40848.821539351855</v>
      </c>
      <c r="C1276">
        <v>80</v>
      </c>
      <c r="D1276">
        <v>79.836708068999997</v>
      </c>
      <c r="E1276">
        <v>40</v>
      </c>
      <c r="F1276">
        <v>44.134666443</v>
      </c>
      <c r="G1276">
        <v>1329.2386475000001</v>
      </c>
      <c r="H1276">
        <v>1328.0561522999999</v>
      </c>
      <c r="I1276">
        <v>1339.901001</v>
      </c>
      <c r="J1276">
        <v>1336.8057861</v>
      </c>
      <c r="K1276">
        <v>0</v>
      </c>
      <c r="L1276">
        <v>2750</v>
      </c>
      <c r="M1276">
        <v>2750</v>
      </c>
      <c r="N1276">
        <v>0</v>
      </c>
    </row>
    <row r="1277" spans="1:14" x14ac:dyDescent="0.25">
      <c r="A1277">
        <v>549.89271099999996</v>
      </c>
      <c r="B1277" s="1">
        <f>DATE(2011,11,1) + TIME(21,25,30)</f>
        <v>40848.892708333333</v>
      </c>
      <c r="C1277">
        <v>80</v>
      </c>
      <c r="D1277">
        <v>79.826560974000003</v>
      </c>
      <c r="E1277">
        <v>40</v>
      </c>
      <c r="F1277">
        <v>43.681789397999999</v>
      </c>
      <c r="G1277">
        <v>1329.230957</v>
      </c>
      <c r="H1277">
        <v>1328.0447998</v>
      </c>
      <c r="I1277">
        <v>1339.8879394999999</v>
      </c>
      <c r="J1277">
        <v>1336.7922363</v>
      </c>
      <c r="K1277">
        <v>0</v>
      </c>
      <c r="L1277">
        <v>2750</v>
      </c>
      <c r="M1277">
        <v>2750</v>
      </c>
      <c r="N1277">
        <v>0</v>
      </c>
    </row>
    <row r="1278" spans="1:14" x14ac:dyDescent="0.25">
      <c r="A1278">
        <v>549.96748400000001</v>
      </c>
      <c r="B1278" s="1">
        <f>DATE(2011,11,1) + TIME(23,13,10)</f>
        <v>40848.967476851853</v>
      </c>
      <c r="C1278">
        <v>80</v>
      </c>
      <c r="D1278">
        <v>79.816040039000001</v>
      </c>
      <c r="E1278">
        <v>40</v>
      </c>
      <c r="F1278">
        <v>43.263252258000001</v>
      </c>
      <c r="G1278">
        <v>1329.2230225000001</v>
      </c>
      <c r="H1278">
        <v>1328.0330810999999</v>
      </c>
      <c r="I1278">
        <v>1339.8756103999999</v>
      </c>
      <c r="J1278">
        <v>1336.7795410000001</v>
      </c>
      <c r="K1278">
        <v>0</v>
      </c>
      <c r="L1278">
        <v>2750</v>
      </c>
      <c r="M1278">
        <v>2750</v>
      </c>
      <c r="N1278">
        <v>0</v>
      </c>
    </row>
    <row r="1279" spans="1:14" x14ac:dyDescent="0.25">
      <c r="A1279">
        <v>550.04608700000006</v>
      </c>
      <c r="B1279" s="1">
        <f>DATE(2011,11,2) + TIME(1,6,21)</f>
        <v>40849.046076388891</v>
      </c>
      <c r="C1279">
        <v>80</v>
      </c>
      <c r="D1279">
        <v>79.805122374999996</v>
      </c>
      <c r="E1279">
        <v>40</v>
      </c>
      <c r="F1279">
        <v>42.87796402</v>
      </c>
      <c r="G1279">
        <v>1329.2149658000001</v>
      </c>
      <c r="H1279">
        <v>1328.0211182</v>
      </c>
      <c r="I1279">
        <v>1339.8640137</v>
      </c>
      <c r="J1279">
        <v>1336.7678223</v>
      </c>
      <c r="K1279">
        <v>0</v>
      </c>
      <c r="L1279">
        <v>2750</v>
      </c>
      <c r="M1279">
        <v>2750</v>
      </c>
      <c r="N1279">
        <v>0</v>
      </c>
    </row>
    <row r="1280" spans="1:14" x14ac:dyDescent="0.25">
      <c r="A1280">
        <v>550.12874899999997</v>
      </c>
      <c r="B1280" s="1">
        <f>DATE(2011,11,2) + TIME(3,5,23)</f>
        <v>40849.128738425927</v>
      </c>
      <c r="C1280">
        <v>80</v>
      </c>
      <c r="D1280">
        <v>79.793777465999995</v>
      </c>
      <c r="E1280">
        <v>40</v>
      </c>
      <c r="F1280">
        <v>42.524814606</v>
      </c>
      <c r="G1280">
        <v>1329.206543</v>
      </c>
      <c r="H1280">
        <v>1328.0087891000001</v>
      </c>
      <c r="I1280">
        <v>1339.8529053</v>
      </c>
      <c r="J1280">
        <v>1336.7569579999999</v>
      </c>
      <c r="K1280">
        <v>0</v>
      </c>
      <c r="L1280">
        <v>2750</v>
      </c>
      <c r="M1280">
        <v>2750</v>
      </c>
      <c r="N1280">
        <v>0</v>
      </c>
    </row>
    <row r="1281" spans="1:14" x14ac:dyDescent="0.25">
      <c r="A1281">
        <v>550.21571300000005</v>
      </c>
      <c r="B1281" s="1">
        <f>DATE(2011,11,2) + TIME(5,10,37)</f>
        <v>40849.21570601852</v>
      </c>
      <c r="C1281">
        <v>80</v>
      </c>
      <c r="D1281">
        <v>79.781982421999999</v>
      </c>
      <c r="E1281">
        <v>40</v>
      </c>
      <c r="F1281">
        <v>42.202625275000003</v>
      </c>
      <c r="G1281">
        <v>1329.1979980000001</v>
      </c>
      <c r="H1281">
        <v>1327.9960937999999</v>
      </c>
      <c r="I1281">
        <v>1339.8425293</v>
      </c>
      <c r="J1281">
        <v>1336.7469481999999</v>
      </c>
      <c r="K1281">
        <v>0</v>
      </c>
      <c r="L1281">
        <v>2750</v>
      </c>
      <c r="M1281">
        <v>2750</v>
      </c>
      <c r="N1281">
        <v>0</v>
      </c>
    </row>
    <row r="1282" spans="1:14" x14ac:dyDescent="0.25">
      <c r="A1282">
        <v>550.30723799999998</v>
      </c>
      <c r="B1282" s="1">
        <f>DATE(2011,11,2) + TIME(7,22,25)</f>
        <v>40849.307233796295</v>
      </c>
      <c r="C1282">
        <v>80</v>
      </c>
      <c r="D1282">
        <v>79.769729613999999</v>
      </c>
      <c r="E1282">
        <v>40</v>
      </c>
      <c r="F1282">
        <v>41.910148620999998</v>
      </c>
      <c r="G1282">
        <v>1329.1890868999999</v>
      </c>
      <c r="H1282">
        <v>1327.9830322</v>
      </c>
      <c r="I1282">
        <v>1339.8326416</v>
      </c>
      <c r="J1282">
        <v>1336.7379149999999</v>
      </c>
      <c r="K1282">
        <v>0</v>
      </c>
      <c r="L1282">
        <v>2750</v>
      </c>
      <c r="M1282">
        <v>2750</v>
      </c>
      <c r="N1282">
        <v>0</v>
      </c>
    </row>
    <row r="1283" spans="1:14" x14ac:dyDescent="0.25">
      <c r="A1283">
        <v>550.40360299999998</v>
      </c>
      <c r="B1283" s="1">
        <f>DATE(2011,11,2) + TIME(9,41,11)</f>
        <v>40849.403599537036</v>
      </c>
      <c r="C1283">
        <v>80</v>
      </c>
      <c r="D1283">
        <v>79.756988524999997</v>
      </c>
      <c r="E1283">
        <v>40</v>
      </c>
      <c r="F1283">
        <v>41.646057128999999</v>
      </c>
      <c r="G1283">
        <v>1329.1799315999999</v>
      </c>
      <c r="H1283">
        <v>1327.9696045000001</v>
      </c>
      <c r="I1283">
        <v>1339.8233643000001</v>
      </c>
      <c r="J1283">
        <v>1336.7294922000001</v>
      </c>
      <c r="K1283">
        <v>0</v>
      </c>
      <c r="L1283">
        <v>2750</v>
      </c>
      <c r="M1283">
        <v>2750</v>
      </c>
      <c r="N1283">
        <v>0</v>
      </c>
    </row>
    <row r="1284" spans="1:14" x14ac:dyDescent="0.25">
      <c r="A1284">
        <v>550.50510699999995</v>
      </c>
      <c r="B1284" s="1">
        <f>DATE(2011,11,2) + TIME(12,7,21)</f>
        <v>40849.505104166667</v>
      </c>
      <c r="C1284">
        <v>80</v>
      </c>
      <c r="D1284">
        <v>79.743721007999994</v>
      </c>
      <c r="E1284">
        <v>40</v>
      </c>
      <c r="F1284">
        <v>41.408950806</v>
      </c>
      <c r="G1284">
        <v>1329.1705322</v>
      </c>
      <c r="H1284">
        <v>1327.9556885</v>
      </c>
      <c r="I1284">
        <v>1339.8144531</v>
      </c>
      <c r="J1284">
        <v>1336.7219238</v>
      </c>
      <c r="K1284">
        <v>0</v>
      </c>
      <c r="L1284">
        <v>2750</v>
      </c>
      <c r="M1284">
        <v>2750</v>
      </c>
      <c r="N1284">
        <v>0</v>
      </c>
    </row>
    <row r="1285" spans="1:14" x14ac:dyDescent="0.25">
      <c r="A1285">
        <v>550.61207400000001</v>
      </c>
      <c r="B1285" s="1">
        <f>DATE(2011,11,2) + TIME(14,41,23)</f>
        <v>40849.612071759257</v>
      </c>
      <c r="C1285">
        <v>80</v>
      </c>
      <c r="D1285">
        <v>79.729911803999997</v>
      </c>
      <c r="E1285">
        <v>40</v>
      </c>
      <c r="F1285">
        <v>41.197368621999999</v>
      </c>
      <c r="G1285">
        <v>1329.1607666</v>
      </c>
      <c r="H1285">
        <v>1327.9414062000001</v>
      </c>
      <c r="I1285">
        <v>1339.8060303</v>
      </c>
      <c r="J1285">
        <v>1336.7149658000001</v>
      </c>
      <c r="K1285">
        <v>0</v>
      </c>
      <c r="L1285">
        <v>2750</v>
      </c>
      <c r="M1285">
        <v>2750</v>
      </c>
      <c r="N1285">
        <v>0</v>
      </c>
    </row>
    <row r="1286" spans="1:14" x14ac:dyDescent="0.25">
      <c r="A1286">
        <v>550.72485200000006</v>
      </c>
      <c r="B1286" s="1">
        <f>DATE(2011,11,2) + TIME(17,23,47)</f>
        <v>40849.724849537037</v>
      </c>
      <c r="C1286">
        <v>80</v>
      </c>
      <c r="D1286">
        <v>79.715522766000007</v>
      </c>
      <c r="E1286">
        <v>40</v>
      </c>
      <c r="F1286">
        <v>41.009777069000002</v>
      </c>
      <c r="G1286">
        <v>1329.1506348</v>
      </c>
      <c r="H1286">
        <v>1327.9266356999999</v>
      </c>
      <c r="I1286">
        <v>1339.7980957</v>
      </c>
      <c r="J1286">
        <v>1336.7087402</v>
      </c>
      <c r="K1286">
        <v>0</v>
      </c>
      <c r="L1286">
        <v>2750</v>
      </c>
      <c r="M1286">
        <v>2750</v>
      </c>
      <c r="N1286">
        <v>0</v>
      </c>
    </row>
    <row r="1287" spans="1:14" x14ac:dyDescent="0.25">
      <c r="A1287">
        <v>550.84380199999998</v>
      </c>
      <c r="B1287" s="1">
        <f>DATE(2011,11,2) + TIME(20,15,4)</f>
        <v>40849.8437962963</v>
      </c>
      <c r="C1287">
        <v>80</v>
      </c>
      <c r="D1287">
        <v>79.700523376000007</v>
      </c>
      <c r="E1287">
        <v>40</v>
      </c>
      <c r="F1287">
        <v>40.844627379999999</v>
      </c>
      <c r="G1287">
        <v>1329.1401367000001</v>
      </c>
      <c r="H1287">
        <v>1327.9112548999999</v>
      </c>
      <c r="I1287">
        <v>1339.7904053</v>
      </c>
      <c r="J1287">
        <v>1336.7030029</v>
      </c>
      <c r="K1287">
        <v>0</v>
      </c>
      <c r="L1287">
        <v>2750</v>
      </c>
      <c r="M1287">
        <v>2750</v>
      </c>
      <c r="N1287">
        <v>0</v>
      </c>
    </row>
    <row r="1288" spans="1:14" x14ac:dyDescent="0.25">
      <c r="A1288">
        <v>550.96930699999996</v>
      </c>
      <c r="B1288" s="1">
        <f>DATE(2011,11,2) + TIME(23,15,48)</f>
        <v>40849.969305555554</v>
      </c>
      <c r="C1288">
        <v>80</v>
      </c>
      <c r="D1288">
        <v>79.684875488000003</v>
      </c>
      <c r="E1288">
        <v>40</v>
      </c>
      <c r="F1288">
        <v>40.700317382999998</v>
      </c>
      <c r="G1288">
        <v>1329.1292725000001</v>
      </c>
      <c r="H1288">
        <v>1327.8953856999999</v>
      </c>
      <c r="I1288">
        <v>1339.7829589999999</v>
      </c>
      <c r="J1288">
        <v>1336.697876</v>
      </c>
      <c r="K1288">
        <v>0</v>
      </c>
      <c r="L1288">
        <v>2750</v>
      </c>
      <c r="M1288">
        <v>2750</v>
      </c>
      <c r="N1288">
        <v>0</v>
      </c>
    </row>
    <row r="1289" spans="1:14" x14ac:dyDescent="0.25">
      <c r="A1289">
        <v>551.10185200000001</v>
      </c>
      <c r="B1289" s="1">
        <f>DATE(2011,11,3) + TIME(2,26,40)</f>
        <v>40850.101851851854</v>
      </c>
      <c r="C1289">
        <v>80</v>
      </c>
      <c r="D1289">
        <v>79.668533324999999</v>
      </c>
      <c r="E1289">
        <v>40</v>
      </c>
      <c r="F1289">
        <v>40.575164794999999</v>
      </c>
      <c r="G1289">
        <v>1329.1180420000001</v>
      </c>
      <c r="H1289">
        <v>1327.8790283000001</v>
      </c>
      <c r="I1289">
        <v>1339.7758789</v>
      </c>
      <c r="J1289">
        <v>1336.6932373</v>
      </c>
      <c r="K1289">
        <v>0</v>
      </c>
      <c r="L1289">
        <v>2750</v>
      </c>
      <c r="M1289">
        <v>2750</v>
      </c>
      <c r="N1289">
        <v>0</v>
      </c>
    </row>
    <row r="1290" spans="1:14" x14ac:dyDescent="0.25">
      <c r="A1290">
        <v>551.241939</v>
      </c>
      <c r="B1290" s="1">
        <f>DATE(2011,11,3) + TIME(5,48,23)</f>
        <v>40850.241932870369</v>
      </c>
      <c r="C1290">
        <v>80</v>
      </c>
      <c r="D1290">
        <v>79.651451111</v>
      </c>
      <c r="E1290">
        <v>40</v>
      </c>
      <c r="F1290">
        <v>40.467506409000002</v>
      </c>
      <c r="G1290">
        <v>1329.1063231999999</v>
      </c>
      <c r="H1290">
        <v>1327.8619385</v>
      </c>
      <c r="I1290">
        <v>1339.769043</v>
      </c>
      <c r="J1290">
        <v>1336.6889647999999</v>
      </c>
      <c r="K1290">
        <v>0</v>
      </c>
      <c r="L1290">
        <v>2750</v>
      </c>
      <c r="M1290">
        <v>2750</v>
      </c>
      <c r="N1290">
        <v>0</v>
      </c>
    </row>
    <row r="1291" spans="1:14" x14ac:dyDescent="0.25">
      <c r="A1291">
        <v>551.39012000000002</v>
      </c>
      <c r="B1291" s="1">
        <f>DATE(2011,11,3) + TIME(9,21,46)</f>
        <v>40850.390115740738</v>
      </c>
      <c r="C1291">
        <v>80</v>
      </c>
      <c r="D1291">
        <v>79.633575438999998</v>
      </c>
      <c r="E1291">
        <v>40</v>
      </c>
      <c r="F1291">
        <v>40.375713347999998</v>
      </c>
      <c r="G1291">
        <v>1329.0942382999999</v>
      </c>
      <c r="H1291">
        <v>1327.8442382999999</v>
      </c>
      <c r="I1291">
        <v>1339.7623291</v>
      </c>
      <c r="J1291">
        <v>1336.6851807</v>
      </c>
      <c r="K1291">
        <v>0</v>
      </c>
      <c r="L1291">
        <v>2750</v>
      </c>
      <c r="M1291">
        <v>2750</v>
      </c>
      <c r="N1291">
        <v>0</v>
      </c>
    </row>
    <row r="1292" spans="1:14" x14ac:dyDescent="0.25">
      <c r="A1292">
        <v>551.54700800000001</v>
      </c>
      <c r="B1292" s="1">
        <f>DATE(2011,11,3) + TIME(13,7,41)</f>
        <v>40850.547002314815</v>
      </c>
      <c r="C1292">
        <v>80</v>
      </c>
      <c r="D1292">
        <v>79.614852905000006</v>
      </c>
      <c r="E1292">
        <v>40</v>
      </c>
      <c r="F1292">
        <v>40.298168181999998</v>
      </c>
      <c r="G1292">
        <v>1329.081543</v>
      </c>
      <c r="H1292">
        <v>1327.8259277</v>
      </c>
      <c r="I1292">
        <v>1339.7557373</v>
      </c>
      <c r="J1292">
        <v>1336.6816406</v>
      </c>
      <c r="K1292">
        <v>0</v>
      </c>
      <c r="L1292">
        <v>2750</v>
      </c>
      <c r="M1292">
        <v>2750</v>
      </c>
      <c r="N1292">
        <v>0</v>
      </c>
    </row>
    <row r="1293" spans="1:14" x14ac:dyDescent="0.25">
      <c r="A1293">
        <v>551.71328500000004</v>
      </c>
      <c r="B1293" s="1">
        <f>DATE(2011,11,3) + TIME(17,7,7)</f>
        <v>40850.713275462964</v>
      </c>
      <c r="C1293">
        <v>80</v>
      </c>
      <c r="D1293">
        <v>79.595230103000006</v>
      </c>
      <c r="E1293">
        <v>40</v>
      </c>
      <c r="F1293">
        <v>40.233303069999998</v>
      </c>
      <c r="G1293">
        <v>1329.0683594</v>
      </c>
      <c r="H1293">
        <v>1327.8067627</v>
      </c>
      <c r="I1293">
        <v>1339.7493896000001</v>
      </c>
      <c r="J1293">
        <v>1336.6784668</v>
      </c>
      <c r="K1293">
        <v>0</v>
      </c>
      <c r="L1293">
        <v>2750</v>
      </c>
      <c r="M1293">
        <v>2750</v>
      </c>
      <c r="N1293">
        <v>0</v>
      </c>
    </row>
    <row r="1294" spans="1:14" x14ac:dyDescent="0.25">
      <c r="A1294">
        <v>551.88971800000002</v>
      </c>
      <c r="B1294" s="1">
        <f>DATE(2011,11,3) + TIME(21,21,11)</f>
        <v>40850.889710648145</v>
      </c>
      <c r="C1294">
        <v>80</v>
      </c>
      <c r="D1294">
        <v>79.574615479000002</v>
      </c>
      <c r="E1294">
        <v>40</v>
      </c>
      <c r="F1294">
        <v>40.179611205999997</v>
      </c>
      <c r="G1294">
        <v>1329.0546875</v>
      </c>
      <c r="H1294">
        <v>1327.7868652</v>
      </c>
      <c r="I1294">
        <v>1339.7430420000001</v>
      </c>
      <c r="J1294">
        <v>1336.6754149999999</v>
      </c>
      <c r="K1294">
        <v>0</v>
      </c>
      <c r="L1294">
        <v>2750</v>
      </c>
      <c r="M1294">
        <v>2750</v>
      </c>
      <c r="N1294">
        <v>0</v>
      </c>
    </row>
    <row r="1295" spans="1:14" x14ac:dyDescent="0.25">
      <c r="A1295">
        <v>552.07284600000003</v>
      </c>
      <c r="B1295" s="1">
        <f>DATE(2011,11,4) + TIME(1,44,53)</f>
        <v>40851.072835648149</v>
      </c>
      <c r="C1295">
        <v>80</v>
      </c>
      <c r="D1295">
        <v>79.553359985</v>
      </c>
      <c r="E1295">
        <v>40</v>
      </c>
      <c r="F1295">
        <v>40.136447906000001</v>
      </c>
      <c r="G1295">
        <v>1329.0404053</v>
      </c>
      <c r="H1295">
        <v>1327.7661132999999</v>
      </c>
      <c r="I1295">
        <v>1339.7368164</v>
      </c>
      <c r="J1295">
        <v>1336.6727295000001</v>
      </c>
      <c r="K1295">
        <v>0</v>
      </c>
      <c r="L1295">
        <v>2750</v>
      </c>
      <c r="M1295">
        <v>2750</v>
      </c>
      <c r="N1295">
        <v>0</v>
      </c>
    </row>
    <row r="1296" spans="1:14" x14ac:dyDescent="0.25">
      <c r="A1296">
        <v>552.25972999999999</v>
      </c>
      <c r="B1296" s="1">
        <f>DATE(2011,11,4) + TIME(6,14,0)</f>
        <v>40851.259722222225</v>
      </c>
      <c r="C1296">
        <v>80</v>
      </c>
      <c r="D1296">
        <v>79.531738281000003</v>
      </c>
      <c r="E1296">
        <v>40</v>
      </c>
      <c r="F1296">
        <v>40.102447509999998</v>
      </c>
      <c r="G1296">
        <v>1329.0257568</v>
      </c>
      <c r="H1296">
        <v>1327.7449951000001</v>
      </c>
      <c r="I1296">
        <v>1339.730957</v>
      </c>
      <c r="J1296">
        <v>1336.6702881000001</v>
      </c>
      <c r="K1296">
        <v>0</v>
      </c>
      <c r="L1296">
        <v>2750</v>
      </c>
      <c r="M1296">
        <v>2750</v>
      </c>
      <c r="N1296">
        <v>0</v>
      </c>
    </row>
    <row r="1297" spans="1:14" x14ac:dyDescent="0.25">
      <c r="A1297">
        <v>552.450828</v>
      </c>
      <c r="B1297" s="1">
        <f>DATE(2011,11,4) + TIME(10,49,11)</f>
        <v>40851.450821759259</v>
      </c>
      <c r="C1297">
        <v>80</v>
      </c>
      <c r="D1297">
        <v>79.509719849000007</v>
      </c>
      <c r="E1297">
        <v>40</v>
      </c>
      <c r="F1297">
        <v>40.075714111000003</v>
      </c>
      <c r="G1297">
        <v>1329.0109863</v>
      </c>
      <c r="H1297">
        <v>1327.7237548999999</v>
      </c>
      <c r="I1297">
        <v>1339.7252197</v>
      </c>
      <c r="J1297">
        <v>1336.6679687999999</v>
      </c>
      <c r="K1297">
        <v>0</v>
      </c>
      <c r="L1297">
        <v>2750</v>
      </c>
      <c r="M1297">
        <v>2750</v>
      </c>
      <c r="N1297">
        <v>0</v>
      </c>
    </row>
    <row r="1298" spans="1:14" x14ac:dyDescent="0.25">
      <c r="A1298">
        <v>552.64655000000005</v>
      </c>
      <c r="B1298" s="1">
        <f>DATE(2011,11,4) + TIME(15,31,1)</f>
        <v>40851.646539351852</v>
      </c>
      <c r="C1298">
        <v>80</v>
      </c>
      <c r="D1298">
        <v>79.487281799000002</v>
      </c>
      <c r="E1298">
        <v>40</v>
      </c>
      <c r="F1298">
        <v>40.054748535000002</v>
      </c>
      <c r="G1298">
        <v>1328.9960937999999</v>
      </c>
      <c r="H1298">
        <v>1327.7022704999999</v>
      </c>
      <c r="I1298">
        <v>1339.7196045000001</v>
      </c>
      <c r="J1298">
        <v>1336.6658935999999</v>
      </c>
      <c r="K1298">
        <v>0</v>
      </c>
      <c r="L1298">
        <v>2750</v>
      </c>
      <c r="M1298">
        <v>2750</v>
      </c>
      <c r="N1298">
        <v>0</v>
      </c>
    </row>
    <row r="1299" spans="1:14" x14ac:dyDescent="0.25">
      <c r="A1299">
        <v>552.84731899999997</v>
      </c>
      <c r="B1299" s="1">
        <f>DATE(2011,11,4) + TIME(20,20,8)</f>
        <v>40851.847314814811</v>
      </c>
      <c r="C1299">
        <v>80</v>
      </c>
      <c r="D1299">
        <v>79.464393615999995</v>
      </c>
      <c r="E1299">
        <v>40</v>
      </c>
      <c r="F1299">
        <v>40.038356780999997</v>
      </c>
      <c r="G1299">
        <v>1328.9810791</v>
      </c>
      <c r="H1299">
        <v>1327.6805420000001</v>
      </c>
      <c r="I1299">
        <v>1339.7141113</v>
      </c>
      <c r="J1299">
        <v>1336.6638184000001</v>
      </c>
      <c r="K1299">
        <v>0</v>
      </c>
      <c r="L1299">
        <v>2750</v>
      </c>
      <c r="M1299">
        <v>2750</v>
      </c>
      <c r="N1299">
        <v>0</v>
      </c>
    </row>
    <row r="1300" spans="1:14" x14ac:dyDescent="0.25">
      <c r="A1300">
        <v>553.05357900000001</v>
      </c>
      <c r="B1300" s="1">
        <f>DATE(2011,11,5) + TIME(1,17,9)</f>
        <v>40852.053576388891</v>
      </c>
      <c r="C1300">
        <v>80</v>
      </c>
      <c r="D1300">
        <v>79.441032410000005</v>
      </c>
      <c r="E1300">
        <v>40</v>
      </c>
      <c r="F1300">
        <v>40.025585175000003</v>
      </c>
      <c r="G1300">
        <v>1328.9656981999999</v>
      </c>
      <c r="H1300">
        <v>1327.6584473</v>
      </c>
      <c r="I1300">
        <v>1339.7088623</v>
      </c>
      <c r="J1300">
        <v>1336.6618652</v>
      </c>
      <c r="K1300">
        <v>0</v>
      </c>
      <c r="L1300">
        <v>2750</v>
      </c>
      <c r="M1300">
        <v>2750</v>
      </c>
      <c r="N1300">
        <v>0</v>
      </c>
    </row>
    <row r="1301" spans="1:14" x14ac:dyDescent="0.25">
      <c r="A1301">
        <v>553.26579100000004</v>
      </c>
      <c r="B1301" s="1">
        <f>DATE(2011,11,5) + TIME(6,22,44)</f>
        <v>40852.265787037039</v>
      </c>
      <c r="C1301">
        <v>80</v>
      </c>
      <c r="D1301">
        <v>79.417160034000005</v>
      </c>
      <c r="E1301">
        <v>40</v>
      </c>
      <c r="F1301">
        <v>40.015663146999998</v>
      </c>
      <c r="G1301">
        <v>1328.9501952999999</v>
      </c>
      <c r="H1301">
        <v>1327.6361084</v>
      </c>
      <c r="I1301">
        <v>1339.7036132999999</v>
      </c>
      <c r="J1301">
        <v>1336.6599120999999</v>
      </c>
      <c r="K1301">
        <v>0</v>
      </c>
      <c r="L1301">
        <v>2750</v>
      </c>
      <c r="M1301">
        <v>2750</v>
      </c>
      <c r="N1301">
        <v>0</v>
      </c>
    </row>
    <row r="1302" spans="1:14" x14ac:dyDescent="0.25">
      <c r="A1302">
        <v>553.48444600000005</v>
      </c>
      <c r="B1302" s="1">
        <f>DATE(2011,11,5) + TIME(11,37,36)</f>
        <v>40852.484444444446</v>
      </c>
      <c r="C1302">
        <v>80</v>
      </c>
      <c r="D1302">
        <v>79.392730713000006</v>
      </c>
      <c r="E1302">
        <v>40</v>
      </c>
      <c r="F1302">
        <v>40.007991791000002</v>
      </c>
      <c r="G1302">
        <v>1328.9344481999999</v>
      </c>
      <c r="H1302">
        <v>1327.6135254000001</v>
      </c>
      <c r="I1302">
        <v>1339.6984863</v>
      </c>
      <c r="J1302">
        <v>1336.6580810999999</v>
      </c>
      <c r="K1302">
        <v>0</v>
      </c>
      <c r="L1302">
        <v>2750</v>
      </c>
      <c r="M1302">
        <v>2750</v>
      </c>
      <c r="N1302">
        <v>0</v>
      </c>
    </row>
    <row r="1303" spans="1:14" x14ac:dyDescent="0.25">
      <c r="A1303">
        <v>553.71006999999997</v>
      </c>
      <c r="B1303" s="1">
        <f>DATE(2011,11,5) + TIME(17,2,30)</f>
        <v>40852.710069444445</v>
      </c>
      <c r="C1303">
        <v>80</v>
      </c>
      <c r="D1303">
        <v>79.367721558</v>
      </c>
      <c r="E1303">
        <v>40</v>
      </c>
      <c r="F1303">
        <v>40.002075195000003</v>
      </c>
      <c r="G1303">
        <v>1328.9183350000001</v>
      </c>
      <c r="H1303">
        <v>1327.5904541</v>
      </c>
      <c r="I1303">
        <v>1339.6934814000001</v>
      </c>
      <c r="J1303">
        <v>1336.65625</v>
      </c>
      <c r="K1303">
        <v>0</v>
      </c>
      <c r="L1303">
        <v>2750</v>
      </c>
      <c r="M1303">
        <v>2750</v>
      </c>
      <c r="N1303">
        <v>0</v>
      </c>
    </row>
    <row r="1304" spans="1:14" x14ac:dyDescent="0.25">
      <c r="A1304">
        <v>553.94319800000005</v>
      </c>
      <c r="B1304" s="1">
        <f>DATE(2011,11,5) + TIME(22,38,12)</f>
        <v>40852.943194444444</v>
      </c>
      <c r="C1304">
        <v>80</v>
      </c>
      <c r="D1304">
        <v>79.342086792000003</v>
      </c>
      <c r="E1304">
        <v>40</v>
      </c>
      <c r="F1304">
        <v>39.997535706000001</v>
      </c>
      <c r="G1304">
        <v>1328.9019774999999</v>
      </c>
      <c r="H1304">
        <v>1327.5670166</v>
      </c>
      <c r="I1304">
        <v>1339.6884766000001</v>
      </c>
      <c r="J1304">
        <v>1336.6544189000001</v>
      </c>
      <c r="K1304">
        <v>0</v>
      </c>
      <c r="L1304">
        <v>2750</v>
      </c>
      <c r="M1304">
        <v>2750</v>
      </c>
      <c r="N1304">
        <v>0</v>
      </c>
    </row>
    <row r="1305" spans="1:14" x14ac:dyDescent="0.25">
      <c r="A1305">
        <v>554.18437400000005</v>
      </c>
      <c r="B1305" s="1">
        <f>DATE(2011,11,6) + TIME(4,25,29)</f>
        <v>40853.184363425928</v>
      </c>
      <c r="C1305">
        <v>80</v>
      </c>
      <c r="D1305">
        <v>79.31578064</v>
      </c>
      <c r="E1305">
        <v>40</v>
      </c>
      <c r="F1305">
        <v>39.994064330999997</v>
      </c>
      <c r="G1305">
        <v>1328.8852539</v>
      </c>
      <c r="H1305">
        <v>1327.5430908000001</v>
      </c>
      <c r="I1305">
        <v>1339.6835937999999</v>
      </c>
      <c r="J1305">
        <v>1336.6527100000001</v>
      </c>
      <c r="K1305">
        <v>0</v>
      </c>
      <c r="L1305">
        <v>2750</v>
      </c>
      <c r="M1305">
        <v>2750</v>
      </c>
      <c r="N1305">
        <v>0</v>
      </c>
    </row>
    <row r="1306" spans="1:14" x14ac:dyDescent="0.25">
      <c r="A1306">
        <v>554.43432299999995</v>
      </c>
      <c r="B1306" s="1">
        <f>DATE(2011,11,6) + TIME(10,25,25)</f>
        <v>40853.434317129628</v>
      </c>
      <c r="C1306">
        <v>80</v>
      </c>
      <c r="D1306">
        <v>79.288757324000002</v>
      </c>
      <c r="E1306">
        <v>40</v>
      </c>
      <c r="F1306">
        <v>39.991416931000003</v>
      </c>
      <c r="G1306">
        <v>1328.8682861</v>
      </c>
      <c r="H1306">
        <v>1327.5186768000001</v>
      </c>
      <c r="I1306">
        <v>1339.6787108999999</v>
      </c>
      <c r="J1306">
        <v>1336.6508789</v>
      </c>
      <c r="K1306">
        <v>0</v>
      </c>
      <c r="L1306">
        <v>2750</v>
      </c>
      <c r="M1306">
        <v>2750</v>
      </c>
      <c r="N1306">
        <v>0</v>
      </c>
    </row>
    <row r="1307" spans="1:14" x14ac:dyDescent="0.25">
      <c r="A1307">
        <v>554.693758</v>
      </c>
      <c r="B1307" s="1">
        <f>DATE(2011,11,6) + TIME(16,39,0)</f>
        <v>40853.693749999999</v>
      </c>
      <c r="C1307">
        <v>80</v>
      </c>
      <c r="D1307">
        <v>79.260955811000002</v>
      </c>
      <c r="E1307">
        <v>40</v>
      </c>
      <c r="F1307">
        <v>39.989406586000001</v>
      </c>
      <c r="G1307">
        <v>1328.8507079999999</v>
      </c>
      <c r="H1307">
        <v>1327.4936522999999</v>
      </c>
      <c r="I1307">
        <v>1339.6739502</v>
      </c>
      <c r="J1307">
        <v>1336.6490478999999</v>
      </c>
      <c r="K1307">
        <v>0</v>
      </c>
      <c r="L1307">
        <v>2750</v>
      </c>
      <c r="M1307">
        <v>2750</v>
      </c>
      <c r="N1307">
        <v>0</v>
      </c>
    </row>
    <row r="1308" spans="1:14" x14ac:dyDescent="0.25">
      <c r="A1308">
        <v>554.96346300000005</v>
      </c>
      <c r="B1308" s="1">
        <f>DATE(2011,11,6) + TIME(23,7,23)</f>
        <v>40853.963460648149</v>
      </c>
      <c r="C1308">
        <v>80</v>
      </c>
      <c r="D1308">
        <v>79.232315063000001</v>
      </c>
      <c r="E1308">
        <v>40</v>
      </c>
      <c r="F1308">
        <v>39.987876892000003</v>
      </c>
      <c r="G1308">
        <v>1328.8328856999999</v>
      </c>
      <c r="H1308">
        <v>1327.4681396000001</v>
      </c>
      <c r="I1308">
        <v>1339.6690673999999</v>
      </c>
      <c r="J1308">
        <v>1336.6472168</v>
      </c>
      <c r="K1308">
        <v>0</v>
      </c>
      <c r="L1308">
        <v>2750</v>
      </c>
      <c r="M1308">
        <v>2750</v>
      </c>
      <c r="N1308">
        <v>0</v>
      </c>
    </row>
    <row r="1309" spans="1:14" x14ac:dyDescent="0.25">
      <c r="A1309">
        <v>555.24429699999996</v>
      </c>
      <c r="B1309" s="1">
        <f>DATE(2011,11,7) + TIME(5,51,47)</f>
        <v>40854.244293981479</v>
      </c>
      <c r="C1309">
        <v>80</v>
      </c>
      <c r="D1309">
        <v>79.202774047999995</v>
      </c>
      <c r="E1309">
        <v>40</v>
      </c>
      <c r="F1309">
        <v>39.986721039000003</v>
      </c>
      <c r="G1309">
        <v>1328.8144531</v>
      </c>
      <c r="H1309">
        <v>1327.4418945</v>
      </c>
      <c r="I1309">
        <v>1339.6643065999999</v>
      </c>
      <c r="J1309">
        <v>1336.6453856999999</v>
      </c>
      <c r="K1309">
        <v>0</v>
      </c>
      <c r="L1309">
        <v>2750</v>
      </c>
      <c r="M1309">
        <v>2750</v>
      </c>
      <c r="N1309">
        <v>0</v>
      </c>
    </row>
    <row r="1310" spans="1:14" x14ac:dyDescent="0.25">
      <c r="A1310">
        <v>555.53720899999996</v>
      </c>
      <c r="B1310" s="1">
        <f>DATE(2011,11,7) + TIME(12,53,34)</f>
        <v>40854.537199074075</v>
      </c>
      <c r="C1310">
        <v>80</v>
      </c>
      <c r="D1310">
        <v>79.172264099000003</v>
      </c>
      <c r="E1310">
        <v>40</v>
      </c>
      <c r="F1310">
        <v>39.985847473</v>
      </c>
      <c r="G1310">
        <v>1328.7955322</v>
      </c>
      <c r="H1310">
        <v>1327.4150391000001</v>
      </c>
      <c r="I1310">
        <v>1339.6595459</v>
      </c>
      <c r="J1310">
        <v>1336.6435547000001</v>
      </c>
      <c r="K1310">
        <v>0</v>
      </c>
      <c r="L1310">
        <v>2750</v>
      </c>
      <c r="M1310">
        <v>2750</v>
      </c>
      <c r="N1310">
        <v>0</v>
      </c>
    </row>
    <row r="1311" spans="1:14" x14ac:dyDescent="0.25">
      <c r="A1311">
        <v>555.84324700000002</v>
      </c>
      <c r="B1311" s="1">
        <f>DATE(2011,11,7) + TIME(20,14,16)</f>
        <v>40854.843240740738</v>
      </c>
      <c r="C1311">
        <v>80</v>
      </c>
      <c r="D1311">
        <v>79.140708923000005</v>
      </c>
      <c r="E1311">
        <v>40</v>
      </c>
      <c r="F1311">
        <v>39.985183716000002</v>
      </c>
      <c r="G1311">
        <v>1328.7761230000001</v>
      </c>
      <c r="H1311">
        <v>1327.3873291</v>
      </c>
      <c r="I1311">
        <v>1339.6546631000001</v>
      </c>
      <c r="J1311">
        <v>1336.6417236</v>
      </c>
      <c r="K1311">
        <v>0</v>
      </c>
      <c r="L1311">
        <v>2750</v>
      </c>
      <c r="M1311">
        <v>2750</v>
      </c>
      <c r="N1311">
        <v>0</v>
      </c>
    </row>
    <row r="1312" spans="1:14" x14ac:dyDescent="0.25">
      <c r="A1312">
        <v>556.16358400000001</v>
      </c>
      <c r="B1312" s="1">
        <f>DATE(2011,11,8) + TIME(3,55,33)</f>
        <v>40855.163576388892</v>
      </c>
      <c r="C1312">
        <v>80</v>
      </c>
      <c r="D1312">
        <v>79.108016968000001</v>
      </c>
      <c r="E1312">
        <v>40</v>
      </c>
      <c r="F1312">
        <v>39.984680175999998</v>
      </c>
      <c r="G1312">
        <v>1328.7559814000001</v>
      </c>
      <c r="H1312">
        <v>1327.3587646000001</v>
      </c>
      <c r="I1312">
        <v>1339.6499022999999</v>
      </c>
      <c r="J1312">
        <v>1336.6397704999999</v>
      </c>
      <c r="K1312">
        <v>0</v>
      </c>
      <c r="L1312">
        <v>2750</v>
      </c>
      <c r="M1312">
        <v>2750</v>
      </c>
      <c r="N1312">
        <v>0</v>
      </c>
    </row>
    <row r="1313" spans="1:14" x14ac:dyDescent="0.25">
      <c r="A1313">
        <v>556.49952699999994</v>
      </c>
      <c r="B1313" s="1">
        <f>DATE(2011,11,8) + TIME(11,59,19)</f>
        <v>40855.499525462961</v>
      </c>
      <c r="C1313">
        <v>80</v>
      </c>
      <c r="D1313">
        <v>79.074104309000006</v>
      </c>
      <c r="E1313">
        <v>40</v>
      </c>
      <c r="F1313">
        <v>39.984294890999998</v>
      </c>
      <c r="G1313">
        <v>1328.7352295000001</v>
      </c>
      <c r="H1313">
        <v>1327.3293457</v>
      </c>
      <c r="I1313">
        <v>1339.6451416</v>
      </c>
      <c r="J1313">
        <v>1336.6378173999999</v>
      </c>
      <c r="K1313">
        <v>0</v>
      </c>
      <c r="L1313">
        <v>2750</v>
      </c>
      <c r="M1313">
        <v>2750</v>
      </c>
      <c r="N1313">
        <v>0</v>
      </c>
    </row>
    <row r="1314" spans="1:14" x14ac:dyDescent="0.25">
      <c r="A1314">
        <v>556.85254999999995</v>
      </c>
      <c r="B1314" s="1">
        <f>DATE(2011,11,8) + TIME(20,27,40)</f>
        <v>40855.852546296293</v>
      </c>
      <c r="C1314">
        <v>80</v>
      </c>
      <c r="D1314">
        <v>79.038856506000002</v>
      </c>
      <c r="E1314">
        <v>40</v>
      </c>
      <c r="F1314">
        <v>39.983997344999999</v>
      </c>
      <c r="G1314">
        <v>1328.7137451000001</v>
      </c>
      <c r="H1314">
        <v>1327.2988281</v>
      </c>
      <c r="I1314">
        <v>1339.6402588000001</v>
      </c>
      <c r="J1314">
        <v>1336.6358643000001</v>
      </c>
      <c r="K1314">
        <v>0</v>
      </c>
      <c r="L1314">
        <v>2750</v>
      </c>
      <c r="M1314">
        <v>2750</v>
      </c>
      <c r="N1314">
        <v>0</v>
      </c>
    </row>
    <row r="1315" spans="1:14" x14ac:dyDescent="0.25">
      <c r="A1315">
        <v>557.22438299999999</v>
      </c>
      <c r="B1315" s="1">
        <f>DATE(2011,11,9) + TIME(5,23,6)</f>
        <v>40856.224374999998</v>
      </c>
      <c r="C1315">
        <v>80</v>
      </c>
      <c r="D1315">
        <v>79.002151488999999</v>
      </c>
      <c r="E1315">
        <v>40</v>
      </c>
      <c r="F1315">
        <v>39.983768462999997</v>
      </c>
      <c r="G1315">
        <v>1328.6914062000001</v>
      </c>
      <c r="H1315">
        <v>1327.2672118999999</v>
      </c>
      <c r="I1315">
        <v>1339.635376</v>
      </c>
      <c r="J1315">
        <v>1336.6339111</v>
      </c>
      <c r="K1315">
        <v>0</v>
      </c>
      <c r="L1315">
        <v>2750</v>
      </c>
      <c r="M1315">
        <v>2750</v>
      </c>
      <c r="N1315">
        <v>0</v>
      </c>
    </row>
    <row r="1316" spans="1:14" x14ac:dyDescent="0.25">
      <c r="A1316">
        <v>557.61686999999995</v>
      </c>
      <c r="B1316" s="1">
        <f>DATE(2011,11,9) + TIME(14,48,17)</f>
        <v>40856.616863425923</v>
      </c>
      <c r="C1316">
        <v>80</v>
      </c>
      <c r="D1316">
        <v>78.963874817000004</v>
      </c>
      <c r="E1316">
        <v>40</v>
      </c>
      <c r="F1316">
        <v>39.983592987000002</v>
      </c>
      <c r="G1316">
        <v>1328.6682129000001</v>
      </c>
      <c r="H1316">
        <v>1327.2344971</v>
      </c>
      <c r="I1316">
        <v>1339.6304932</v>
      </c>
      <c r="J1316">
        <v>1336.6319579999999</v>
      </c>
      <c r="K1316">
        <v>0</v>
      </c>
      <c r="L1316">
        <v>2750</v>
      </c>
      <c r="M1316">
        <v>2750</v>
      </c>
      <c r="N1316">
        <v>0</v>
      </c>
    </row>
    <row r="1317" spans="1:14" x14ac:dyDescent="0.25">
      <c r="A1317">
        <v>558.02915800000005</v>
      </c>
      <c r="B1317" s="1">
        <f>DATE(2011,11,10) + TIME(0,41,59)</f>
        <v>40857.02915509259</v>
      </c>
      <c r="C1317">
        <v>80</v>
      </c>
      <c r="D1317">
        <v>78.924049377000003</v>
      </c>
      <c r="E1317">
        <v>40</v>
      </c>
      <c r="F1317">
        <v>39.983451842999997</v>
      </c>
      <c r="G1317">
        <v>1328.6441649999999</v>
      </c>
      <c r="H1317">
        <v>1327.2004394999999</v>
      </c>
      <c r="I1317">
        <v>1339.6254882999999</v>
      </c>
      <c r="J1317">
        <v>1336.6298827999999</v>
      </c>
      <c r="K1317">
        <v>0</v>
      </c>
      <c r="L1317">
        <v>2750</v>
      </c>
      <c r="M1317">
        <v>2750</v>
      </c>
      <c r="N1317">
        <v>0</v>
      </c>
    </row>
    <row r="1318" spans="1:14" x14ac:dyDescent="0.25">
      <c r="A1318">
        <v>558.45821999999998</v>
      </c>
      <c r="B1318" s="1">
        <f>DATE(2011,11,10) + TIME(10,59,50)</f>
        <v>40857.45821759259</v>
      </c>
      <c r="C1318">
        <v>80</v>
      </c>
      <c r="D1318">
        <v>78.882881165000001</v>
      </c>
      <c r="E1318">
        <v>40</v>
      </c>
      <c r="F1318">
        <v>39.983341217000003</v>
      </c>
      <c r="G1318">
        <v>1328.6191406</v>
      </c>
      <c r="H1318">
        <v>1327.1651611</v>
      </c>
      <c r="I1318">
        <v>1339.6204834</v>
      </c>
      <c r="J1318">
        <v>1336.6278076000001</v>
      </c>
      <c r="K1318">
        <v>0</v>
      </c>
      <c r="L1318">
        <v>2750</v>
      </c>
      <c r="M1318">
        <v>2750</v>
      </c>
      <c r="N1318">
        <v>0</v>
      </c>
    </row>
    <row r="1319" spans="1:14" x14ac:dyDescent="0.25">
      <c r="A1319">
        <v>558.89405999999997</v>
      </c>
      <c r="B1319" s="1">
        <f>DATE(2011,11,10) + TIME(21,27,26)</f>
        <v>40857.894050925926</v>
      </c>
      <c r="C1319">
        <v>80</v>
      </c>
      <c r="D1319">
        <v>78.841003418</v>
      </c>
      <c r="E1319">
        <v>40</v>
      </c>
      <c r="F1319">
        <v>39.983257293999998</v>
      </c>
      <c r="G1319">
        <v>1328.5935059000001</v>
      </c>
      <c r="H1319">
        <v>1327.1290283000001</v>
      </c>
      <c r="I1319">
        <v>1339.6154785000001</v>
      </c>
      <c r="J1319">
        <v>1336.6257324000001</v>
      </c>
      <c r="K1319">
        <v>0</v>
      </c>
      <c r="L1319">
        <v>2750</v>
      </c>
      <c r="M1319">
        <v>2750</v>
      </c>
      <c r="N1319">
        <v>0</v>
      </c>
    </row>
    <row r="1320" spans="1:14" x14ac:dyDescent="0.25">
      <c r="A1320">
        <v>559.337717</v>
      </c>
      <c r="B1320" s="1">
        <f>DATE(2011,11,11) + TIME(8,6,18)</f>
        <v>40858.337708333333</v>
      </c>
      <c r="C1320">
        <v>80</v>
      </c>
      <c r="D1320">
        <v>78.798545837000006</v>
      </c>
      <c r="E1320">
        <v>40</v>
      </c>
      <c r="F1320">
        <v>39.983192443999997</v>
      </c>
      <c r="G1320">
        <v>1328.5675048999999</v>
      </c>
      <c r="H1320">
        <v>1327.0926514</v>
      </c>
      <c r="I1320">
        <v>1339.6107178</v>
      </c>
      <c r="J1320">
        <v>1336.6236572</v>
      </c>
      <c r="K1320">
        <v>0</v>
      </c>
      <c r="L1320">
        <v>2750</v>
      </c>
      <c r="M1320">
        <v>2750</v>
      </c>
      <c r="N1320">
        <v>0</v>
      </c>
    </row>
    <row r="1321" spans="1:14" x14ac:dyDescent="0.25">
      <c r="A1321">
        <v>559.79009399999995</v>
      </c>
      <c r="B1321" s="1">
        <f>DATE(2011,11,11) + TIME(18,57,44)</f>
        <v>40858.790092592593</v>
      </c>
      <c r="C1321">
        <v>80</v>
      </c>
      <c r="D1321">
        <v>78.755546570000007</v>
      </c>
      <c r="E1321">
        <v>40</v>
      </c>
      <c r="F1321">
        <v>39.983139037999997</v>
      </c>
      <c r="G1321">
        <v>1328.5413818</v>
      </c>
      <c r="H1321">
        <v>1327.0559082</v>
      </c>
      <c r="I1321">
        <v>1339.605957</v>
      </c>
      <c r="J1321">
        <v>1336.6217041</v>
      </c>
      <c r="K1321">
        <v>0</v>
      </c>
      <c r="L1321">
        <v>2750</v>
      </c>
      <c r="M1321">
        <v>2750</v>
      </c>
      <c r="N1321">
        <v>0</v>
      </c>
    </row>
    <row r="1322" spans="1:14" x14ac:dyDescent="0.25">
      <c r="A1322">
        <v>560.25214400000004</v>
      </c>
      <c r="B1322" s="1">
        <f>DATE(2011,11,12) + TIME(6,3,5)</f>
        <v>40859.252141203702</v>
      </c>
      <c r="C1322">
        <v>80</v>
      </c>
      <c r="D1322">
        <v>78.712013244999994</v>
      </c>
      <c r="E1322">
        <v>40</v>
      </c>
      <c r="F1322">
        <v>39.983093261999997</v>
      </c>
      <c r="G1322">
        <v>1328.5150146000001</v>
      </c>
      <c r="H1322">
        <v>1327.0187988</v>
      </c>
      <c r="I1322">
        <v>1339.6014404</v>
      </c>
      <c r="J1322">
        <v>1336.619751</v>
      </c>
      <c r="K1322">
        <v>0</v>
      </c>
      <c r="L1322">
        <v>2750</v>
      </c>
      <c r="M1322">
        <v>2750</v>
      </c>
      <c r="N1322">
        <v>0</v>
      </c>
    </row>
    <row r="1323" spans="1:14" x14ac:dyDescent="0.25">
      <c r="A1323">
        <v>560.72488399999997</v>
      </c>
      <c r="B1323" s="1">
        <f>DATE(2011,11,12) + TIME(17,23,50)</f>
        <v>40859.72488425926</v>
      </c>
      <c r="C1323">
        <v>80</v>
      </c>
      <c r="D1323">
        <v>78.667922974000007</v>
      </c>
      <c r="E1323">
        <v>40</v>
      </c>
      <c r="F1323">
        <v>39.983058929000002</v>
      </c>
      <c r="G1323">
        <v>1328.4884033000001</v>
      </c>
      <c r="H1323">
        <v>1326.9814452999999</v>
      </c>
      <c r="I1323">
        <v>1339.5969238</v>
      </c>
      <c r="J1323">
        <v>1336.6177978999999</v>
      </c>
      <c r="K1323">
        <v>0</v>
      </c>
      <c r="L1323">
        <v>2750</v>
      </c>
      <c r="M1323">
        <v>2750</v>
      </c>
      <c r="N1323">
        <v>0</v>
      </c>
    </row>
    <row r="1324" spans="1:14" x14ac:dyDescent="0.25">
      <c r="A1324">
        <v>561.20938699999999</v>
      </c>
      <c r="B1324" s="1">
        <f>DATE(2011,11,13) + TIME(5,1,31)</f>
        <v>40860.209386574075</v>
      </c>
      <c r="C1324">
        <v>80</v>
      </c>
      <c r="D1324">
        <v>78.623222350999995</v>
      </c>
      <c r="E1324">
        <v>40</v>
      </c>
      <c r="F1324">
        <v>39.983028412000003</v>
      </c>
      <c r="G1324">
        <v>1328.4615478999999</v>
      </c>
      <c r="H1324">
        <v>1326.9437256000001</v>
      </c>
      <c r="I1324">
        <v>1339.5925293</v>
      </c>
      <c r="J1324">
        <v>1336.6158447</v>
      </c>
      <c r="K1324">
        <v>0</v>
      </c>
      <c r="L1324">
        <v>2750</v>
      </c>
      <c r="M1324">
        <v>2750</v>
      </c>
      <c r="N1324">
        <v>0</v>
      </c>
    </row>
    <row r="1325" spans="1:14" x14ac:dyDescent="0.25">
      <c r="A1325">
        <v>561.70677899999998</v>
      </c>
      <c r="B1325" s="1">
        <f>DATE(2011,11,13) + TIME(16,57,45)</f>
        <v>40860.706770833334</v>
      </c>
      <c r="C1325">
        <v>80</v>
      </c>
      <c r="D1325">
        <v>78.577842712000006</v>
      </c>
      <c r="E1325">
        <v>40</v>
      </c>
      <c r="F1325">
        <v>39.983005523999999</v>
      </c>
      <c r="G1325">
        <v>1328.4343262</v>
      </c>
      <c r="H1325">
        <v>1326.9055175999999</v>
      </c>
      <c r="I1325">
        <v>1339.5882568</v>
      </c>
      <c r="J1325">
        <v>1336.6140137</v>
      </c>
      <c r="K1325">
        <v>0</v>
      </c>
      <c r="L1325">
        <v>2750</v>
      </c>
      <c r="M1325">
        <v>2750</v>
      </c>
      <c r="N1325">
        <v>0</v>
      </c>
    </row>
    <row r="1326" spans="1:14" x14ac:dyDescent="0.25">
      <c r="A1326">
        <v>562.21827699999994</v>
      </c>
      <c r="B1326" s="1">
        <f>DATE(2011,11,14) + TIME(5,14,19)</f>
        <v>40861.218275462961</v>
      </c>
      <c r="C1326">
        <v>80</v>
      </c>
      <c r="D1326">
        <v>78.531715392999999</v>
      </c>
      <c r="E1326">
        <v>40</v>
      </c>
      <c r="F1326">
        <v>39.982982634999999</v>
      </c>
      <c r="G1326">
        <v>1328.4067382999999</v>
      </c>
      <c r="H1326">
        <v>1326.8669434000001</v>
      </c>
      <c r="I1326">
        <v>1339.5839844</v>
      </c>
      <c r="J1326">
        <v>1336.6121826000001</v>
      </c>
      <c r="K1326">
        <v>0</v>
      </c>
      <c r="L1326">
        <v>2750</v>
      </c>
      <c r="M1326">
        <v>2750</v>
      </c>
      <c r="N1326">
        <v>0</v>
      </c>
    </row>
    <row r="1327" spans="1:14" x14ac:dyDescent="0.25">
      <c r="A1327">
        <v>562.74504200000001</v>
      </c>
      <c r="B1327" s="1">
        <f>DATE(2011,11,14) + TIME(17,52,51)</f>
        <v>40861.745034722226</v>
      </c>
      <c r="C1327">
        <v>80</v>
      </c>
      <c r="D1327">
        <v>78.484756469999994</v>
      </c>
      <c r="E1327">
        <v>40</v>
      </c>
      <c r="F1327">
        <v>39.982967377000001</v>
      </c>
      <c r="G1327">
        <v>1328.3786620999999</v>
      </c>
      <c r="H1327">
        <v>1326.8277588000001</v>
      </c>
      <c r="I1327">
        <v>1339.5797118999999</v>
      </c>
      <c r="J1327">
        <v>1336.6103516000001</v>
      </c>
      <c r="K1327">
        <v>0</v>
      </c>
      <c r="L1327">
        <v>2750</v>
      </c>
      <c r="M1327">
        <v>2750</v>
      </c>
      <c r="N1327">
        <v>0</v>
      </c>
    </row>
    <row r="1328" spans="1:14" x14ac:dyDescent="0.25">
      <c r="A1328">
        <v>563.28843199999994</v>
      </c>
      <c r="B1328" s="1">
        <f>DATE(2011,11,15) + TIME(6,55,20)</f>
        <v>40862.288425925923</v>
      </c>
      <c r="C1328">
        <v>80</v>
      </c>
      <c r="D1328">
        <v>78.43687439</v>
      </c>
      <c r="E1328">
        <v>40</v>
      </c>
      <c r="F1328">
        <v>39.982952118</v>
      </c>
      <c r="G1328">
        <v>1328.3502197</v>
      </c>
      <c r="H1328">
        <v>1326.7879639</v>
      </c>
      <c r="I1328">
        <v>1339.5755615</v>
      </c>
      <c r="J1328">
        <v>1336.6086425999999</v>
      </c>
      <c r="K1328">
        <v>0</v>
      </c>
      <c r="L1328">
        <v>2750</v>
      </c>
      <c r="M1328">
        <v>2750</v>
      </c>
      <c r="N1328">
        <v>0</v>
      </c>
    </row>
    <row r="1329" spans="1:14" x14ac:dyDescent="0.25">
      <c r="A1329">
        <v>563.85004600000002</v>
      </c>
      <c r="B1329" s="1">
        <f>DATE(2011,11,15) + TIME(20,24,4)</f>
        <v>40862.850046296298</v>
      </c>
      <c r="C1329">
        <v>80</v>
      </c>
      <c r="D1329">
        <v>78.387969971000004</v>
      </c>
      <c r="E1329">
        <v>40</v>
      </c>
      <c r="F1329">
        <v>39.982936858999999</v>
      </c>
      <c r="G1329">
        <v>1328.3211670000001</v>
      </c>
      <c r="H1329">
        <v>1326.7474365</v>
      </c>
      <c r="I1329">
        <v>1339.5714111</v>
      </c>
      <c r="J1329">
        <v>1336.6068115</v>
      </c>
      <c r="K1329">
        <v>0</v>
      </c>
      <c r="L1329">
        <v>2750</v>
      </c>
      <c r="M1329">
        <v>2750</v>
      </c>
      <c r="N1329">
        <v>0</v>
      </c>
    </row>
    <row r="1330" spans="1:14" x14ac:dyDescent="0.25">
      <c r="A1330">
        <v>564.43154300000003</v>
      </c>
      <c r="B1330" s="1">
        <f>DATE(2011,11,16) + TIME(10,21,25)</f>
        <v>40863.431539351855</v>
      </c>
      <c r="C1330">
        <v>80</v>
      </c>
      <c r="D1330">
        <v>78.337921143000003</v>
      </c>
      <c r="E1330">
        <v>40</v>
      </c>
      <c r="F1330">
        <v>39.982925414999997</v>
      </c>
      <c r="G1330">
        <v>1328.2915039</v>
      </c>
      <c r="H1330">
        <v>1326.7062988</v>
      </c>
      <c r="I1330">
        <v>1339.5673827999999</v>
      </c>
      <c r="J1330">
        <v>1336.6051024999999</v>
      </c>
      <c r="K1330">
        <v>0</v>
      </c>
      <c r="L1330">
        <v>2750</v>
      </c>
      <c r="M1330">
        <v>2750</v>
      </c>
      <c r="N1330">
        <v>0</v>
      </c>
    </row>
    <row r="1331" spans="1:14" x14ac:dyDescent="0.25">
      <c r="A1331">
        <v>565.03474000000006</v>
      </c>
      <c r="B1331" s="1">
        <f>DATE(2011,11,17) + TIME(0,50,1)</f>
        <v>40864.034733796296</v>
      </c>
      <c r="C1331">
        <v>80</v>
      </c>
      <c r="D1331">
        <v>78.286613463999998</v>
      </c>
      <c r="E1331">
        <v>40</v>
      </c>
      <c r="F1331">
        <v>39.982913971000002</v>
      </c>
      <c r="G1331">
        <v>1328.2612305</v>
      </c>
      <c r="H1331">
        <v>1326.6641846</v>
      </c>
      <c r="I1331">
        <v>1339.5633545000001</v>
      </c>
      <c r="J1331">
        <v>1336.6033935999999</v>
      </c>
      <c r="K1331">
        <v>0</v>
      </c>
      <c r="L1331">
        <v>2750</v>
      </c>
      <c r="M1331">
        <v>2750</v>
      </c>
      <c r="N1331">
        <v>0</v>
      </c>
    </row>
    <row r="1332" spans="1:14" x14ac:dyDescent="0.25">
      <c r="A1332">
        <v>565.66164300000003</v>
      </c>
      <c r="B1332" s="1">
        <f>DATE(2011,11,17) + TIME(15,52,45)</f>
        <v>40864.661631944444</v>
      </c>
      <c r="C1332">
        <v>80</v>
      </c>
      <c r="D1332">
        <v>78.233917235999996</v>
      </c>
      <c r="E1332">
        <v>40</v>
      </c>
      <c r="F1332">
        <v>39.982906342</v>
      </c>
      <c r="G1332">
        <v>1328.2303466999999</v>
      </c>
      <c r="H1332">
        <v>1326.6210937999999</v>
      </c>
      <c r="I1332">
        <v>1339.5592041</v>
      </c>
      <c r="J1332">
        <v>1336.6016846</v>
      </c>
      <c r="K1332">
        <v>0</v>
      </c>
      <c r="L1332">
        <v>2750</v>
      </c>
      <c r="M1332">
        <v>2750</v>
      </c>
      <c r="N1332">
        <v>0</v>
      </c>
    </row>
    <row r="1333" spans="1:14" x14ac:dyDescent="0.25">
      <c r="A1333">
        <v>566.31447700000001</v>
      </c>
      <c r="B1333" s="1">
        <f>DATE(2011,11,18) + TIME(7,32,50)</f>
        <v>40865.314467592594</v>
      </c>
      <c r="C1333">
        <v>80</v>
      </c>
      <c r="D1333">
        <v>78.179672241000006</v>
      </c>
      <c r="E1333">
        <v>40</v>
      </c>
      <c r="F1333">
        <v>39.982894897000001</v>
      </c>
      <c r="G1333">
        <v>1328.1984863</v>
      </c>
      <c r="H1333">
        <v>1326.5770264</v>
      </c>
      <c r="I1333">
        <v>1339.5551757999999</v>
      </c>
      <c r="J1333">
        <v>1336.5999756000001</v>
      </c>
      <c r="K1333">
        <v>0</v>
      </c>
      <c r="L1333">
        <v>2750</v>
      </c>
      <c r="M1333">
        <v>2750</v>
      </c>
      <c r="N1333">
        <v>0</v>
      </c>
    </row>
    <row r="1334" spans="1:14" x14ac:dyDescent="0.25">
      <c r="A1334">
        <v>566.99571600000002</v>
      </c>
      <c r="B1334" s="1">
        <f>DATE(2011,11,18) + TIME(23,53,49)</f>
        <v>40865.995706018519</v>
      </c>
      <c r="C1334">
        <v>80</v>
      </c>
      <c r="D1334">
        <v>78.123733521000005</v>
      </c>
      <c r="E1334">
        <v>40</v>
      </c>
      <c r="F1334">
        <v>39.982887267999999</v>
      </c>
      <c r="G1334">
        <v>1328.1658935999999</v>
      </c>
      <c r="H1334">
        <v>1326.5318603999999</v>
      </c>
      <c r="I1334">
        <v>1339.5511475000001</v>
      </c>
      <c r="J1334">
        <v>1336.5982666</v>
      </c>
      <c r="K1334">
        <v>0</v>
      </c>
      <c r="L1334">
        <v>2750</v>
      </c>
      <c r="M1334">
        <v>2750</v>
      </c>
      <c r="N1334">
        <v>0</v>
      </c>
    </row>
    <row r="1335" spans="1:14" x14ac:dyDescent="0.25">
      <c r="A1335">
        <v>567.70812100000001</v>
      </c>
      <c r="B1335" s="1">
        <f>DATE(2011,11,19) + TIME(16,59,41)</f>
        <v>40866.708113425928</v>
      </c>
      <c r="C1335">
        <v>80</v>
      </c>
      <c r="D1335">
        <v>78.065895080999994</v>
      </c>
      <c r="E1335">
        <v>40</v>
      </c>
      <c r="F1335">
        <v>39.982879638999997</v>
      </c>
      <c r="G1335">
        <v>1328.1323242000001</v>
      </c>
      <c r="H1335">
        <v>1326.4853516000001</v>
      </c>
      <c r="I1335">
        <v>1339.5471190999999</v>
      </c>
      <c r="J1335">
        <v>1336.5965576000001</v>
      </c>
      <c r="K1335">
        <v>0</v>
      </c>
      <c r="L1335">
        <v>2750</v>
      </c>
      <c r="M1335">
        <v>2750</v>
      </c>
      <c r="N1335">
        <v>0</v>
      </c>
    </row>
    <row r="1336" spans="1:14" x14ac:dyDescent="0.25">
      <c r="A1336">
        <v>568.45482400000003</v>
      </c>
      <c r="B1336" s="1">
        <f>DATE(2011,11,20) + TIME(10,54,56)</f>
        <v>40867.454814814817</v>
      </c>
      <c r="C1336">
        <v>80</v>
      </c>
      <c r="D1336">
        <v>78.005973815999994</v>
      </c>
      <c r="E1336">
        <v>40</v>
      </c>
      <c r="F1336">
        <v>39.982872008999998</v>
      </c>
      <c r="G1336">
        <v>1328.0976562000001</v>
      </c>
      <c r="H1336">
        <v>1326.4375</v>
      </c>
      <c r="I1336">
        <v>1339.5429687999999</v>
      </c>
      <c r="J1336">
        <v>1336.5948486</v>
      </c>
      <c r="K1336">
        <v>0</v>
      </c>
      <c r="L1336">
        <v>2750</v>
      </c>
      <c r="M1336">
        <v>2750</v>
      </c>
      <c r="N1336">
        <v>0</v>
      </c>
    </row>
    <row r="1337" spans="1:14" x14ac:dyDescent="0.25">
      <c r="A1337">
        <v>569.23937599999999</v>
      </c>
      <c r="B1337" s="1">
        <f>DATE(2011,11,21) + TIME(5,44,42)</f>
        <v>40868.239374999997</v>
      </c>
      <c r="C1337">
        <v>80</v>
      </c>
      <c r="D1337">
        <v>77.943725585999999</v>
      </c>
      <c r="E1337">
        <v>40</v>
      </c>
      <c r="F1337">
        <v>39.982868195000002</v>
      </c>
      <c r="G1337">
        <v>1328.0618896000001</v>
      </c>
      <c r="H1337">
        <v>1326.3881836</v>
      </c>
      <c r="I1337">
        <v>1339.5389404</v>
      </c>
      <c r="J1337">
        <v>1336.5932617000001</v>
      </c>
      <c r="K1337">
        <v>0</v>
      </c>
      <c r="L1337">
        <v>2750</v>
      </c>
      <c r="M1337">
        <v>2750</v>
      </c>
      <c r="N1337">
        <v>0</v>
      </c>
    </row>
    <row r="1338" spans="1:14" x14ac:dyDescent="0.25">
      <c r="A1338">
        <v>570.06598599999995</v>
      </c>
      <c r="B1338" s="1">
        <f>DATE(2011,11,22) + TIME(1,35,1)</f>
        <v>40869.065983796296</v>
      </c>
      <c r="C1338">
        <v>80</v>
      </c>
      <c r="D1338">
        <v>77.878883361999996</v>
      </c>
      <c r="E1338">
        <v>40</v>
      </c>
      <c r="F1338">
        <v>39.982860565000003</v>
      </c>
      <c r="G1338">
        <v>1328.0249022999999</v>
      </c>
      <c r="H1338">
        <v>1326.3371582</v>
      </c>
      <c r="I1338">
        <v>1339.5347899999999</v>
      </c>
      <c r="J1338">
        <v>1336.5915527</v>
      </c>
      <c r="K1338">
        <v>0</v>
      </c>
      <c r="L1338">
        <v>2750</v>
      </c>
      <c r="M1338">
        <v>2750</v>
      </c>
      <c r="N1338">
        <v>0</v>
      </c>
    </row>
    <row r="1339" spans="1:14" x14ac:dyDescent="0.25">
      <c r="A1339">
        <v>570.93832799999996</v>
      </c>
      <c r="B1339" s="1">
        <f>DATE(2011,11,22) + TIME(22,31,11)</f>
        <v>40869.938321759262</v>
      </c>
      <c r="C1339">
        <v>80</v>
      </c>
      <c r="D1339">
        <v>77.811172485</v>
      </c>
      <c r="E1339">
        <v>40</v>
      </c>
      <c r="F1339">
        <v>39.982852936</v>
      </c>
      <c r="G1339">
        <v>1327.9864502</v>
      </c>
      <c r="H1339">
        <v>1326.2843018000001</v>
      </c>
      <c r="I1339">
        <v>1339.5306396000001</v>
      </c>
      <c r="J1339">
        <v>1336.5898437999999</v>
      </c>
      <c r="K1339">
        <v>0</v>
      </c>
      <c r="L1339">
        <v>2750</v>
      </c>
      <c r="M1339">
        <v>2750</v>
      </c>
      <c r="N1339">
        <v>0</v>
      </c>
    </row>
    <row r="1340" spans="1:14" x14ac:dyDescent="0.25">
      <c r="A1340">
        <v>571.82711600000005</v>
      </c>
      <c r="B1340" s="1">
        <f>DATE(2011,11,23) + TIME(19,51,2)</f>
        <v>40870.827106481483</v>
      </c>
      <c r="C1340">
        <v>80</v>
      </c>
      <c r="D1340">
        <v>77.741355896000002</v>
      </c>
      <c r="E1340">
        <v>40</v>
      </c>
      <c r="F1340">
        <v>39.982849121000001</v>
      </c>
      <c r="G1340">
        <v>1327.9466553</v>
      </c>
      <c r="H1340">
        <v>1326.2297363</v>
      </c>
      <c r="I1340">
        <v>1339.5263672000001</v>
      </c>
      <c r="J1340">
        <v>1336.5882568</v>
      </c>
      <c r="K1340">
        <v>0</v>
      </c>
      <c r="L1340">
        <v>2750</v>
      </c>
      <c r="M1340">
        <v>2750</v>
      </c>
      <c r="N1340">
        <v>0</v>
      </c>
    </row>
    <row r="1341" spans="1:14" x14ac:dyDescent="0.25">
      <c r="A1341">
        <v>572.73482000000001</v>
      </c>
      <c r="B1341" s="1">
        <f>DATE(2011,11,24) + TIME(17,38,8)</f>
        <v>40871.734814814816</v>
      </c>
      <c r="C1341">
        <v>80</v>
      </c>
      <c r="D1341">
        <v>77.670089722</v>
      </c>
      <c r="E1341">
        <v>40</v>
      </c>
      <c r="F1341">
        <v>39.982841491999999</v>
      </c>
      <c r="G1341">
        <v>1327.9063721</v>
      </c>
      <c r="H1341">
        <v>1326.1743164</v>
      </c>
      <c r="I1341">
        <v>1339.5222168</v>
      </c>
      <c r="J1341">
        <v>1336.5866699000001</v>
      </c>
      <c r="K1341">
        <v>0</v>
      </c>
      <c r="L1341">
        <v>2750</v>
      </c>
      <c r="M1341">
        <v>2750</v>
      </c>
      <c r="N1341">
        <v>0</v>
      </c>
    </row>
    <row r="1342" spans="1:14" x14ac:dyDescent="0.25">
      <c r="A1342">
        <v>573.663321</v>
      </c>
      <c r="B1342" s="1">
        <f>DATE(2011,11,25) + TIME(15,55,10)</f>
        <v>40872.663310185184</v>
      </c>
      <c r="C1342">
        <v>80</v>
      </c>
      <c r="D1342">
        <v>77.597541809000006</v>
      </c>
      <c r="E1342">
        <v>40</v>
      </c>
      <c r="F1342">
        <v>39.982837676999999</v>
      </c>
      <c r="G1342">
        <v>1327.8657227000001</v>
      </c>
      <c r="H1342">
        <v>1326.1184082</v>
      </c>
      <c r="I1342">
        <v>1339.5181885</v>
      </c>
      <c r="J1342">
        <v>1336.5850829999999</v>
      </c>
      <c r="K1342">
        <v>0</v>
      </c>
      <c r="L1342">
        <v>2750</v>
      </c>
      <c r="M1342">
        <v>2750</v>
      </c>
      <c r="N1342">
        <v>0</v>
      </c>
    </row>
    <row r="1343" spans="1:14" x14ac:dyDescent="0.25">
      <c r="A1343">
        <v>574.61478799999998</v>
      </c>
      <c r="B1343" s="1">
        <f>DATE(2011,11,26) + TIME(14,45,17)</f>
        <v>40873.61478009259</v>
      </c>
      <c r="C1343">
        <v>80</v>
      </c>
      <c r="D1343">
        <v>77.523666382000002</v>
      </c>
      <c r="E1343">
        <v>40</v>
      </c>
      <c r="F1343">
        <v>39.982833862</v>
      </c>
      <c r="G1343">
        <v>1327.824707</v>
      </c>
      <c r="H1343">
        <v>1326.0622559000001</v>
      </c>
      <c r="I1343">
        <v>1339.5142822</v>
      </c>
      <c r="J1343">
        <v>1336.5836182</v>
      </c>
      <c r="K1343">
        <v>0</v>
      </c>
      <c r="L1343">
        <v>2750</v>
      </c>
      <c r="M1343">
        <v>2750</v>
      </c>
      <c r="N1343">
        <v>0</v>
      </c>
    </row>
    <row r="1344" spans="1:14" x14ac:dyDescent="0.25">
      <c r="A1344">
        <v>575.59161600000004</v>
      </c>
      <c r="B1344" s="1">
        <f>DATE(2011,11,27) + TIME(14,11,55)</f>
        <v>40874.591608796298</v>
      </c>
      <c r="C1344">
        <v>80</v>
      </c>
      <c r="D1344">
        <v>77.448303222999996</v>
      </c>
      <c r="E1344">
        <v>40</v>
      </c>
      <c r="F1344">
        <v>39.982826232999997</v>
      </c>
      <c r="G1344">
        <v>1327.7832031</v>
      </c>
      <c r="H1344">
        <v>1326.0054932</v>
      </c>
      <c r="I1344">
        <v>1339.510376</v>
      </c>
      <c r="J1344">
        <v>1336.5821533000001</v>
      </c>
      <c r="K1344">
        <v>0</v>
      </c>
      <c r="L1344">
        <v>2750</v>
      </c>
      <c r="M1344">
        <v>2750</v>
      </c>
      <c r="N1344">
        <v>0</v>
      </c>
    </row>
    <row r="1345" spans="1:14" x14ac:dyDescent="0.25">
      <c r="A1345">
        <v>576.59650399999998</v>
      </c>
      <c r="B1345" s="1">
        <f>DATE(2011,11,28) + TIME(14,18,57)</f>
        <v>40875.596493055556</v>
      </c>
      <c r="C1345">
        <v>80</v>
      </c>
      <c r="D1345">
        <v>77.371253967000001</v>
      </c>
      <c r="E1345">
        <v>40</v>
      </c>
      <c r="F1345">
        <v>39.982822417999998</v>
      </c>
      <c r="G1345">
        <v>1327.7414550999999</v>
      </c>
      <c r="H1345">
        <v>1325.9482422000001</v>
      </c>
      <c r="I1345">
        <v>1339.5065918</v>
      </c>
      <c r="J1345">
        <v>1336.5806885</v>
      </c>
      <c r="K1345">
        <v>0</v>
      </c>
      <c r="L1345">
        <v>2750</v>
      </c>
      <c r="M1345">
        <v>2750</v>
      </c>
      <c r="N1345">
        <v>0</v>
      </c>
    </row>
    <row r="1346" spans="1:14" x14ac:dyDescent="0.25">
      <c r="A1346">
        <v>577.63208299999997</v>
      </c>
      <c r="B1346" s="1">
        <f>DATE(2011,11,29) + TIME(15,10,11)</f>
        <v>40876.632071759261</v>
      </c>
      <c r="C1346">
        <v>80</v>
      </c>
      <c r="D1346">
        <v>77.292274474999999</v>
      </c>
      <c r="E1346">
        <v>40</v>
      </c>
      <c r="F1346">
        <v>39.982818604000002</v>
      </c>
      <c r="G1346">
        <v>1327.6990966999999</v>
      </c>
      <c r="H1346">
        <v>1325.8903809000001</v>
      </c>
      <c r="I1346">
        <v>1339.5028076000001</v>
      </c>
      <c r="J1346">
        <v>1336.5793457</v>
      </c>
      <c r="K1346">
        <v>0</v>
      </c>
      <c r="L1346">
        <v>2750</v>
      </c>
      <c r="M1346">
        <v>2750</v>
      </c>
      <c r="N1346">
        <v>0</v>
      </c>
    </row>
    <row r="1347" spans="1:14" x14ac:dyDescent="0.25">
      <c r="A1347">
        <v>578.70122200000003</v>
      </c>
      <c r="B1347" s="1">
        <f>DATE(2011,11,30) + TIME(16,49,45)</f>
        <v>40877.701215277775</v>
      </c>
      <c r="C1347">
        <v>80</v>
      </c>
      <c r="D1347">
        <v>77.211120605000005</v>
      </c>
      <c r="E1347">
        <v>40</v>
      </c>
      <c r="F1347">
        <v>39.982814789000003</v>
      </c>
      <c r="G1347">
        <v>1327.6561279</v>
      </c>
      <c r="H1347">
        <v>1325.8319091999999</v>
      </c>
      <c r="I1347">
        <v>1339.4990233999999</v>
      </c>
      <c r="J1347">
        <v>1336.5780029</v>
      </c>
      <c r="K1347">
        <v>0</v>
      </c>
      <c r="L1347">
        <v>2750</v>
      </c>
      <c r="M1347">
        <v>2750</v>
      </c>
      <c r="N1347">
        <v>0</v>
      </c>
    </row>
    <row r="1348" spans="1:14" x14ac:dyDescent="0.25">
      <c r="A1348">
        <v>579</v>
      </c>
      <c r="B1348" s="1">
        <f>DATE(2011,12,1) + TIME(0,0,0)</f>
        <v>40878</v>
      </c>
      <c r="C1348">
        <v>80</v>
      </c>
      <c r="D1348">
        <v>77.167869568</v>
      </c>
      <c r="E1348">
        <v>40</v>
      </c>
      <c r="F1348">
        <v>39.982810974000003</v>
      </c>
      <c r="G1348">
        <v>1327.6157227000001</v>
      </c>
      <c r="H1348">
        <v>1325.7785644999999</v>
      </c>
      <c r="I1348">
        <v>1339.4951172000001</v>
      </c>
      <c r="J1348">
        <v>1336.5765381000001</v>
      </c>
      <c r="K1348">
        <v>0</v>
      </c>
      <c r="L1348">
        <v>2750</v>
      </c>
      <c r="M1348">
        <v>2750</v>
      </c>
      <c r="N1348">
        <v>0</v>
      </c>
    </row>
    <row r="1349" spans="1:14" x14ac:dyDescent="0.25">
      <c r="A1349">
        <v>580.10616500000003</v>
      </c>
      <c r="B1349" s="1">
        <f>DATE(2011,12,2) + TIME(2,32,52)</f>
        <v>40879.106157407405</v>
      </c>
      <c r="C1349">
        <v>80</v>
      </c>
      <c r="D1349">
        <v>77.097320557000003</v>
      </c>
      <c r="E1349">
        <v>40</v>
      </c>
      <c r="F1349">
        <v>39.982810974000003</v>
      </c>
      <c r="G1349">
        <v>1327.5960693</v>
      </c>
      <c r="H1349">
        <v>1325.7484131000001</v>
      </c>
      <c r="I1349">
        <v>1339.4942627</v>
      </c>
      <c r="J1349">
        <v>1336.5764160000001</v>
      </c>
      <c r="K1349">
        <v>0</v>
      </c>
      <c r="L1349">
        <v>2750</v>
      </c>
      <c r="M1349">
        <v>2750</v>
      </c>
      <c r="N1349">
        <v>0</v>
      </c>
    </row>
    <row r="1350" spans="1:14" x14ac:dyDescent="0.25">
      <c r="A1350">
        <v>581.26382799999999</v>
      </c>
      <c r="B1350" s="1">
        <f>DATE(2011,12,3) + TIME(6,19,54)</f>
        <v>40880.263819444444</v>
      </c>
      <c r="C1350">
        <v>80</v>
      </c>
      <c r="D1350">
        <v>77.015220642000003</v>
      </c>
      <c r="E1350">
        <v>40</v>
      </c>
      <c r="F1350">
        <v>39.982807158999996</v>
      </c>
      <c r="G1350">
        <v>1327.5546875</v>
      </c>
      <c r="H1350">
        <v>1325.6931152</v>
      </c>
      <c r="I1350">
        <v>1339.4906006000001</v>
      </c>
      <c r="J1350">
        <v>1336.5751952999999</v>
      </c>
      <c r="K1350">
        <v>0</v>
      </c>
      <c r="L1350">
        <v>2750</v>
      </c>
      <c r="M1350">
        <v>2750</v>
      </c>
      <c r="N1350">
        <v>0</v>
      </c>
    </row>
    <row r="1351" spans="1:14" x14ac:dyDescent="0.25">
      <c r="A1351">
        <v>582.468029</v>
      </c>
      <c r="B1351" s="1">
        <f>DATE(2011,12,4) + TIME(11,13,57)</f>
        <v>40881.46802083333</v>
      </c>
      <c r="C1351">
        <v>80</v>
      </c>
      <c r="D1351">
        <v>76.926513671999999</v>
      </c>
      <c r="E1351">
        <v>40</v>
      </c>
      <c r="F1351">
        <v>39.982807158999996</v>
      </c>
      <c r="G1351">
        <v>1327.5104980000001</v>
      </c>
      <c r="H1351">
        <v>1325.6334228999999</v>
      </c>
      <c r="I1351">
        <v>1339.4869385</v>
      </c>
      <c r="J1351">
        <v>1336.5739745999999</v>
      </c>
      <c r="K1351">
        <v>0</v>
      </c>
      <c r="L1351">
        <v>2750</v>
      </c>
      <c r="M1351">
        <v>2750</v>
      </c>
      <c r="N1351">
        <v>0</v>
      </c>
    </row>
    <row r="1352" spans="1:14" x14ac:dyDescent="0.25">
      <c r="A1352">
        <v>583.72346100000004</v>
      </c>
      <c r="B1352" s="1">
        <f>DATE(2011,12,5) + TIME(17,21,47)</f>
        <v>40882.723460648151</v>
      </c>
      <c r="C1352">
        <v>80</v>
      </c>
      <c r="D1352">
        <v>76.832969665999997</v>
      </c>
      <c r="E1352">
        <v>40</v>
      </c>
      <c r="F1352">
        <v>39.982803345000001</v>
      </c>
      <c r="G1352">
        <v>1327.4644774999999</v>
      </c>
      <c r="H1352">
        <v>1325.5712891000001</v>
      </c>
      <c r="I1352">
        <v>1339.4832764</v>
      </c>
      <c r="J1352">
        <v>1336.5727539</v>
      </c>
      <c r="K1352">
        <v>0</v>
      </c>
      <c r="L1352">
        <v>2750</v>
      </c>
      <c r="M1352">
        <v>2750</v>
      </c>
      <c r="N1352">
        <v>0</v>
      </c>
    </row>
    <row r="1353" spans="1:14" x14ac:dyDescent="0.25">
      <c r="A1353">
        <v>585.02053899999999</v>
      </c>
      <c r="B1353" s="1">
        <f>DATE(2011,12,7) + TIME(0,29,34)</f>
        <v>40884.020532407405</v>
      </c>
      <c r="C1353">
        <v>80</v>
      </c>
      <c r="D1353">
        <v>76.735244750999996</v>
      </c>
      <c r="E1353">
        <v>40</v>
      </c>
      <c r="F1353">
        <v>39.982799530000001</v>
      </c>
      <c r="G1353">
        <v>1327.4172363</v>
      </c>
      <c r="H1353">
        <v>1325.5073242000001</v>
      </c>
      <c r="I1353">
        <v>1339.4794922000001</v>
      </c>
      <c r="J1353">
        <v>1336.5715332</v>
      </c>
      <c r="K1353">
        <v>0</v>
      </c>
      <c r="L1353">
        <v>2750</v>
      </c>
      <c r="M1353">
        <v>2750</v>
      </c>
      <c r="N1353">
        <v>0</v>
      </c>
    </row>
    <row r="1354" spans="1:14" x14ac:dyDescent="0.25">
      <c r="A1354">
        <v>586.35596399999997</v>
      </c>
      <c r="B1354" s="1">
        <f>DATE(2011,12,8) + TIME(8,32,35)</f>
        <v>40885.35596064815</v>
      </c>
      <c r="C1354">
        <v>80</v>
      </c>
      <c r="D1354">
        <v>76.633872986</v>
      </c>
      <c r="E1354">
        <v>40</v>
      </c>
      <c r="F1354">
        <v>39.982799530000001</v>
      </c>
      <c r="G1354">
        <v>1327.3690185999999</v>
      </c>
      <c r="H1354">
        <v>1325.4421387</v>
      </c>
      <c r="I1354">
        <v>1339.4758300999999</v>
      </c>
      <c r="J1354">
        <v>1336.5704346</v>
      </c>
      <c r="K1354">
        <v>0</v>
      </c>
      <c r="L1354">
        <v>2750</v>
      </c>
      <c r="M1354">
        <v>2750</v>
      </c>
      <c r="N1354">
        <v>0</v>
      </c>
    </row>
    <row r="1355" spans="1:14" x14ac:dyDescent="0.25">
      <c r="A1355">
        <v>587.725281</v>
      </c>
      <c r="B1355" s="1">
        <f>DATE(2011,12,9) + TIME(17,24,24)</f>
        <v>40886.725277777776</v>
      </c>
      <c r="C1355">
        <v>80</v>
      </c>
      <c r="D1355">
        <v>76.529159546000002</v>
      </c>
      <c r="E1355">
        <v>40</v>
      </c>
      <c r="F1355">
        <v>39.982799530000001</v>
      </c>
      <c r="G1355">
        <v>1327.3201904</v>
      </c>
      <c r="H1355">
        <v>1325.3760986</v>
      </c>
      <c r="I1355">
        <v>1339.472168</v>
      </c>
      <c r="J1355">
        <v>1336.5693358999999</v>
      </c>
      <c r="K1355">
        <v>0</v>
      </c>
      <c r="L1355">
        <v>2750</v>
      </c>
      <c r="M1355">
        <v>2750</v>
      </c>
      <c r="N1355">
        <v>0</v>
      </c>
    </row>
    <row r="1356" spans="1:14" x14ac:dyDescent="0.25">
      <c r="A1356">
        <v>589.12014199999999</v>
      </c>
      <c r="B1356" s="1">
        <f>DATE(2011,12,11) + TIME(2,53,0)</f>
        <v>40888.120138888888</v>
      </c>
      <c r="C1356">
        <v>80</v>
      </c>
      <c r="D1356">
        <v>76.421463012999993</v>
      </c>
      <c r="E1356">
        <v>40</v>
      </c>
      <c r="F1356">
        <v>39.982795715000002</v>
      </c>
      <c r="G1356">
        <v>1327.270874</v>
      </c>
      <c r="H1356">
        <v>1325.3095702999999</v>
      </c>
      <c r="I1356">
        <v>1339.4686279</v>
      </c>
      <c r="J1356">
        <v>1336.5682373</v>
      </c>
      <c r="K1356">
        <v>0</v>
      </c>
      <c r="L1356">
        <v>2750</v>
      </c>
      <c r="M1356">
        <v>2750</v>
      </c>
      <c r="N1356">
        <v>0</v>
      </c>
    </row>
    <row r="1357" spans="1:14" x14ac:dyDescent="0.25">
      <c r="A1357">
        <v>590.55161199999998</v>
      </c>
      <c r="B1357" s="1">
        <f>DATE(2011,12,12) + TIME(13,14,19)</f>
        <v>40889.551608796297</v>
      </c>
      <c r="C1357">
        <v>80</v>
      </c>
      <c r="D1357">
        <v>76.310874939000001</v>
      </c>
      <c r="E1357">
        <v>40</v>
      </c>
      <c r="F1357">
        <v>39.982795715000002</v>
      </c>
      <c r="G1357">
        <v>1327.2214355000001</v>
      </c>
      <c r="H1357">
        <v>1325.2429199000001</v>
      </c>
      <c r="I1357">
        <v>1339.4650879000001</v>
      </c>
      <c r="J1357">
        <v>1336.5672606999999</v>
      </c>
      <c r="K1357">
        <v>0</v>
      </c>
      <c r="L1357">
        <v>2750</v>
      </c>
      <c r="M1357">
        <v>2750</v>
      </c>
      <c r="N1357">
        <v>0</v>
      </c>
    </row>
    <row r="1358" spans="1:14" x14ac:dyDescent="0.25">
      <c r="A1358">
        <v>592.03166099999999</v>
      </c>
      <c r="B1358" s="1">
        <f>DATE(2011,12,14) + TIME(0,45,35)</f>
        <v>40891.031655092593</v>
      </c>
      <c r="C1358">
        <v>80</v>
      </c>
      <c r="D1358">
        <v>76.196739196999999</v>
      </c>
      <c r="E1358">
        <v>40</v>
      </c>
      <c r="F1358">
        <v>39.982795715000002</v>
      </c>
      <c r="G1358">
        <v>1327.1716309000001</v>
      </c>
      <c r="H1358">
        <v>1325.1757812000001</v>
      </c>
      <c r="I1358">
        <v>1339.4615478999999</v>
      </c>
      <c r="J1358">
        <v>1336.5662841999999</v>
      </c>
      <c r="K1358">
        <v>0</v>
      </c>
      <c r="L1358">
        <v>2750</v>
      </c>
      <c r="M1358">
        <v>2750</v>
      </c>
      <c r="N1358">
        <v>0</v>
      </c>
    </row>
    <row r="1359" spans="1:14" x14ac:dyDescent="0.25">
      <c r="A1359">
        <v>593.54408100000001</v>
      </c>
      <c r="B1359" s="1">
        <f>DATE(2011,12,15) + TIME(13,3,28)</f>
        <v>40892.544074074074</v>
      </c>
      <c r="C1359">
        <v>80</v>
      </c>
      <c r="D1359">
        <v>76.078689574999999</v>
      </c>
      <c r="E1359">
        <v>40</v>
      </c>
      <c r="F1359">
        <v>39.982795715000002</v>
      </c>
      <c r="G1359">
        <v>1327.1213379000001</v>
      </c>
      <c r="H1359">
        <v>1325.1081543</v>
      </c>
      <c r="I1359">
        <v>1339.4581298999999</v>
      </c>
      <c r="J1359">
        <v>1336.5654297000001</v>
      </c>
      <c r="K1359">
        <v>0</v>
      </c>
      <c r="L1359">
        <v>2750</v>
      </c>
      <c r="M1359">
        <v>2750</v>
      </c>
      <c r="N1359">
        <v>0</v>
      </c>
    </row>
    <row r="1360" spans="1:14" x14ac:dyDescent="0.25">
      <c r="A1360">
        <v>595.08713399999999</v>
      </c>
      <c r="B1360" s="1">
        <f>DATE(2011,12,17) + TIME(2,5,28)</f>
        <v>40894.087129629632</v>
      </c>
      <c r="C1360">
        <v>80</v>
      </c>
      <c r="D1360">
        <v>75.957199097</v>
      </c>
      <c r="E1360">
        <v>40</v>
      </c>
      <c r="F1360">
        <v>39.982795715000002</v>
      </c>
      <c r="G1360">
        <v>1327.0706786999999</v>
      </c>
      <c r="H1360">
        <v>1325.0400391000001</v>
      </c>
      <c r="I1360">
        <v>1339.4545897999999</v>
      </c>
      <c r="J1360">
        <v>1336.5644531</v>
      </c>
      <c r="K1360">
        <v>0</v>
      </c>
      <c r="L1360">
        <v>2750</v>
      </c>
      <c r="M1360">
        <v>2750</v>
      </c>
      <c r="N1360">
        <v>0</v>
      </c>
    </row>
    <row r="1361" spans="1:14" x14ac:dyDescent="0.25">
      <c r="A1361">
        <v>596.67066499999999</v>
      </c>
      <c r="B1361" s="1">
        <f>DATE(2011,12,18) + TIME(16,5,45)</f>
        <v>40895.670659722222</v>
      </c>
      <c r="C1361">
        <v>80</v>
      </c>
      <c r="D1361">
        <v>75.832214355000005</v>
      </c>
      <c r="E1361">
        <v>40</v>
      </c>
      <c r="F1361">
        <v>39.982795715000002</v>
      </c>
      <c r="G1361">
        <v>1327.0198975000001</v>
      </c>
      <c r="H1361">
        <v>1324.9718018000001</v>
      </c>
      <c r="I1361">
        <v>1339.4512939000001</v>
      </c>
      <c r="J1361">
        <v>1336.5635986</v>
      </c>
      <c r="K1361">
        <v>0</v>
      </c>
      <c r="L1361">
        <v>2750</v>
      </c>
      <c r="M1361">
        <v>2750</v>
      </c>
      <c r="N1361">
        <v>0</v>
      </c>
    </row>
    <row r="1362" spans="1:14" x14ac:dyDescent="0.25">
      <c r="A1362">
        <v>598.28586299999995</v>
      </c>
      <c r="B1362" s="1">
        <f>DATE(2011,12,20) + TIME(6,51,38)</f>
        <v>40897.285856481481</v>
      </c>
      <c r="C1362">
        <v>80</v>
      </c>
      <c r="D1362">
        <v>75.703453064000001</v>
      </c>
      <c r="E1362">
        <v>40</v>
      </c>
      <c r="F1362">
        <v>39.982795715000002</v>
      </c>
      <c r="G1362">
        <v>1326.9688721</v>
      </c>
      <c r="H1362">
        <v>1324.9033202999999</v>
      </c>
      <c r="I1362">
        <v>1339.447876</v>
      </c>
      <c r="J1362">
        <v>1336.5627440999999</v>
      </c>
      <c r="K1362">
        <v>0</v>
      </c>
      <c r="L1362">
        <v>2750</v>
      </c>
      <c r="M1362">
        <v>2750</v>
      </c>
      <c r="N1362">
        <v>0</v>
      </c>
    </row>
    <row r="1363" spans="1:14" x14ac:dyDescent="0.25">
      <c r="A1363">
        <v>599.94080699999995</v>
      </c>
      <c r="B1363" s="1">
        <f>DATE(2011,12,21) + TIME(22,34,45)</f>
        <v>40898.940798611111</v>
      </c>
      <c r="C1363">
        <v>80</v>
      </c>
      <c r="D1363">
        <v>75.570983886999997</v>
      </c>
      <c r="E1363">
        <v>40</v>
      </c>
      <c r="F1363">
        <v>39.982795715000002</v>
      </c>
      <c r="G1363">
        <v>1326.9177245999999</v>
      </c>
      <c r="H1363">
        <v>1324.8348389</v>
      </c>
      <c r="I1363">
        <v>1339.4445800999999</v>
      </c>
      <c r="J1363">
        <v>1336.5620117000001</v>
      </c>
      <c r="K1363">
        <v>0</v>
      </c>
      <c r="L1363">
        <v>2750</v>
      </c>
      <c r="M1363">
        <v>2750</v>
      </c>
      <c r="N1363">
        <v>0</v>
      </c>
    </row>
    <row r="1364" spans="1:14" x14ac:dyDescent="0.25">
      <c r="A1364">
        <v>601.62763199999995</v>
      </c>
      <c r="B1364" s="1">
        <f>DATE(2011,12,23) + TIME(15,3,47)</f>
        <v>40900.627627314818</v>
      </c>
      <c r="C1364">
        <v>80</v>
      </c>
      <c r="D1364">
        <v>75.434593200999998</v>
      </c>
      <c r="E1364">
        <v>40</v>
      </c>
      <c r="F1364">
        <v>39.982799530000001</v>
      </c>
      <c r="G1364">
        <v>1326.8664550999999</v>
      </c>
      <c r="H1364">
        <v>1324.7659911999999</v>
      </c>
      <c r="I1364">
        <v>1339.4412841999999</v>
      </c>
      <c r="J1364">
        <v>1336.5611572</v>
      </c>
      <c r="K1364">
        <v>0</v>
      </c>
      <c r="L1364">
        <v>2750</v>
      </c>
      <c r="M1364">
        <v>2750</v>
      </c>
      <c r="N1364">
        <v>0</v>
      </c>
    </row>
    <row r="1365" spans="1:14" x14ac:dyDescent="0.25">
      <c r="A1365">
        <v>603.36014799999998</v>
      </c>
      <c r="B1365" s="1">
        <f>DATE(2011,12,25) + TIME(8,38,36)</f>
        <v>40902.360138888886</v>
      </c>
      <c r="C1365">
        <v>80</v>
      </c>
      <c r="D1365">
        <v>75.294250488000003</v>
      </c>
      <c r="E1365">
        <v>40</v>
      </c>
      <c r="F1365">
        <v>39.982799530000001</v>
      </c>
      <c r="G1365">
        <v>1326.8149414</v>
      </c>
      <c r="H1365">
        <v>1324.6972656</v>
      </c>
      <c r="I1365">
        <v>1339.4379882999999</v>
      </c>
      <c r="J1365">
        <v>1336.5604248</v>
      </c>
      <c r="K1365">
        <v>0</v>
      </c>
      <c r="L1365">
        <v>2750</v>
      </c>
      <c r="M1365">
        <v>2750</v>
      </c>
      <c r="N1365">
        <v>0</v>
      </c>
    </row>
    <row r="1366" spans="1:14" x14ac:dyDescent="0.25">
      <c r="A1366">
        <v>605.14191400000004</v>
      </c>
      <c r="B1366" s="1">
        <f>DATE(2011,12,27) + TIME(3,24,21)</f>
        <v>40904.141909722224</v>
      </c>
      <c r="C1366">
        <v>80</v>
      </c>
      <c r="D1366">
        <v>75.149261475000003</v>
      </c>
      <c r="E1366">
        <v>40</v>
      </c>
      <c r="F1366">
        <v>39.982803345000001</v>
      </c>
      <c r="G1366">
        <v>1326.7633057</v>
      </c>
      <c r="H1366">
        <v>1324.6281738</v>
      </c>
      <c r="I1366">
        <v>1339.4346923999999</v>
      </c>
      <c r="J1366">
        <v>1336.5596923999999</v>
      </c>
      <c r="K1366">
        <v>0</v>
      </c>
      <c r="L1366">
        <v>2750</v>
      </c>
      <c r="M1366">
        <v>2750</v>
      </c>
      <c r="N1366">
        <v>0</v>
      </c>
    </row>
    <row r="1367" spans="1:14" x14ac:dyDescent="0.25">
      <c r="A1367">
        <v>606.95688199999995</v>
      </c>
      <c r="B1367" s="1">
        <f>DATE(2011,12,28) + TIME(22,57,54)</f>
        <v>40905.956875000003</v>
      </c>
      <c r="C1367">
        <v>80</v>
      </c>
      <c r="D1367">
        <v>74.999542235999996</v>
      </c>
      <c r="E1367">
        <v>40</v>
      </c>
      <c r="F1367">
        <v>39.982807158999996</v>
      </c>
      <c r="G1367">
        <v>1326.7111815999999</v>
      </c>
      <c r="H1367">
        <v>1324.5587158000001</v>
      </c>
      <c r="I1367">
        <v>1339.4315185999999</v>
      </c>
      <c r="J1367">
        <v>1336.559082</v>
      </c>
      <c r="K1367">
        <v>0</v>
      </c>
      <c r="L1367">
        <v>2750</v>
      </c>
      <c r="M1367">
        <v>2750</v>
      </c>
      <c r="N1367">
        <v>0</v>
      </c>
    </row>
    <row r="1368" spans="1:14" x14ac:dyDescent="0.25">
      <c r="A1368">
        <v>608.81035299999996</v>
      </c>
      <c r="B1368" s="1">
        <f>DATE(2011,12,30) + TIME(19,26,54)</f>
        <v>40907.810347222221</v>
      </c>
      <c r="C1368">
        <v>80</v>
      </c>
      <c r="D1368">
        <v>74.845474242999998</v>
      </c>
      <c r="E1368">
        <v>40</v>
      </c>
      <c r="F1368">
        <v>39.982807158999996</v>
      </c>
      <c r="G1368">
        <v>1326.6590576000001</v>
      </c>
      <c r="H1368">
        <v>1324.4891356999999</v>
      </c>
      <c r="I1368">
        <v>1339.4282227000001</v>
      </c>
      <c r="J1368">
        <v>1336.5583495999999</v>
      </c>
      <c r="K1368">
        <v>0</v>
      </c>
      <c r="L1368">
        <v>2750</v>
      </c>
      <c r="M1368">
        <v>2750</v>
      </c>
      <c r="N1368">
        <v>0</v>
      </c>
    </row>
    <row r="1369" spans="1:14" x14ac:dyDescent="0.25">
      <c r="A1369">
        <v>610</v>
      </c>
      <c r="B1369" s="1">
        <f>DATE(2012,1,1) + TIME(0,0,0)</f>
        <v>40909</v>
      </c>
      <c r="C1369">
        <v>80</v>
      </c>
      <c r="D1369">
        <v>74.704612732000001</v>
      </c>
      <c r="E1369">
        <v>40</v>
      </c>
      <c r="F1369">
        <v>39.982807158999996</v>
      </c>
      <c r="G1369">
        <v>1326.6075439000001</v>
      </c>
      <c r="H1369">
        <v>1324.4212646000001</v>
      </c>
      <c r="I1369">
        <v>1339.4250488</v>
      </c>
      <c r="J1369">
        <v>1336.5576172000001</v>
      </c>
      <c r="K1369">
        <v>0</v>
      </c>
      <c r="L1369">
        <v>2750</v>
      </c>
      <c r="M1369">
        <v>2750</v>
      </c>
      <c r="N1369">
        <v>0</v>
      </c>
    </row>
    <row r="1370" spans="1:14" x14ac:dyDescent="0.25">
      <c r="A1370">
        <v>611.88201200000003</v>
      </c>
      <c r="B1370" s="1">
        <f>DATE(2012,1,2) + TIME(21,10,5)</f>
        <v>40910.882002314815</v>
      </c>
      <c r="C1370">
        <v>80</v>
      </c>
      <c r="D1370">
        <v>74.576484679999993</v>
      </c>
      <c r="E1370">
        <v>40</v>
      </c>
      <c r="F1370">
        <v>39.982814789000003</v>
      </c>
      <c r="G1370">
        <v>1326.5688477000001</v>
      </c>
      <c r="H1370">
        <v>1324.3666992000001</v>
      </c>
      <c r="I1370">
        <v>1339.4230957</v>
      </c>
      <c r="J1370">
        <v>1336.557251</v>
      </c>
      <c r="K1370">
        <v>0</v>
      </c>
      <c r="L1370">
        <v>2750</v>
      </c>
      <c r="M1370">
        <v>2750</v>
      </c>
      <c r="N1370">
        <v>0</v>
      </c>
    </row>
    <row r="1371" spans="1:14" x14ac:dyDescent="0.25">
      <c r="A1371">
        <v>613.83539399999995</v>
      </c>
      <c r="B1371" s="1">
        <f>DATE(2012,1,4) + TIME(20,2,58)</f>
        <v>40912.835393518515</v>
      </c>
      <c r="C1371">
        <v>80</v>
      </c>
      <c r="D1371">
        <v>74.419700622999997</v>
      </c>
      <c r="E1371">
        <v>40</v>
      </c>
      <c r="F1371">
        <v>39.982818604000002</v>
      </c>
      <c r="G1371">
        <v>1326.5209961</v>
      </c>
      <c r="H1371">
        <v>1324.3045654</v>
      </c>
      <c r="I1371">
        <v>1339.4199219</v>
      </c>
      <c r="J1371">
        <v>1336.5566406</v>
      </c>
      <c r="K1371">
        <v>0</v>
      </c>
      <c r="L1371">
        <v>2750</v>
      </c>
      <c r="M1371">
        <v>2750</v>
      </c>
      <c r="N1371">
        <v>0</v>
      </c>
    </row>
    <row r="1372" spans="1:14" x14ac:dyDescent="0.25">
      <c r="A1372">
        <v>615.83275700000002</v>
      </c>
      <c r="B1372" s="1">
        <f>DATE(2012,1,6) + TIME(19,59,10)</f>
        <v>40914.832754629628</v>
      </c>
      <c r="C1372">
        <v>80</v>
      </c>
      <c r="D1372">
        <v>74.251365661999998</v>
      </c>
      <c r="E1372">
        <v>40</v>
      </c>
      <c r="F1372">
        <v>39.982822417999998</v>
      </c>
      <c r="G1372">
        <v>1326.4697266000001</v>
      </c>
      <c r="H1372">
        <v>1324.2370605000001</v>
      </c>
      <c r="I1372">
        <v>1339.4168701000001</v>
      </c>
      <c r="J1372">
        <v>1336.5560303</v>
      </c>
      <c r="K1372">
        <v>0</v>
      </c>
      <c r="L1372">
        <v>2750</v>
      </c>
      <c r="M1372">
        <v>2750</v>
      </c>
      <c r="N1372">
        <v>0</v>
      </c>
    </row>
    <row r="1373" spans="1:14" x14ac:dyDescent="0.25">
      <c r="A1373">
        <v>617.89182800000003</v>
      </c>
      <c r="B1373" s="1">
        <f>DATE(2012,1,8) + TIME(21,24,13)</f>
        <v>40916.891817129632</v>
      </c>
      <c r="C1373">
        <v>80</v>
      </c>
      <c r="D1373">
        <v>74.076416015999996</v>
      </c>
      <c r="E1373">
        <v>40</v>
      </c>
      <c r="F1373">
        <v>39.982826232999997</v>
      </c>
      <c r="G1373">
        <v>1326.4177245999999</v>
      </c>
      <c r="H1373">
        <v>1324.1678466999999</v>
      </c>
      <c r="I1373">
        <v>1339.4136963000001</v>
      </c>
      <c r="J1373">
        <v>1336.5554199000001</v>
      </c>
      <c r="K1373">
        <v>0</v>
      </c>
      <c r="L1373">
        <v>2750</v>
      </c>
      <c r="M1373">
        <v>2750</v>
      </c>
      <c r="N1373">
        <v>0</v>
      </c>
    </row>
    <row r="1374" spans="1:14" x14ac:dyDescent="0.25">
      <c r="A1374">
        <v>619.99011499999995</v>
      </c>
      <c r="B1374" s="1">
        <f>DATE(2012,1,10) + TIME(23,45,45)</f>
        <v>40918.990104166667</v>
      </c>
      <c r="C1374">
        <v>80</v>
      </c>
      <c r="D1374">
        <v>73.895210266000007</v>
      </c>
      <c r="E1374">
        <v>40</v>
      </c>
      <c r="F1374">
        <v>39.982833862</v>
      </c>
      <c r="G1374">
        <v>1326.3649902</v>
      </c>
      <c r="H1374">
        <v>1324.0980225000001</v>
      </c>
      <c r="I1374">
        <v>1339.4105225000001</v>
      </c>
      <c r="J1374">
        <v>1336.5548096</v>
      </c>
      <c r="K1374">
        <v>0</v>
      </c>
      <c r="L1374">
        <v>2750</v>
      </c>
      <c r="M1374">
        <v>2750</v>
      </c>
      <c r="N1374">
        <v>0</v>
      </c>
    </row>
    <row r="1375" spans="1:14" x14ac:dyDescent="0.25">
      <c r="A1375">
        <v>622.118561</v>
      </c>
      <c r="B1375" s="1">
        <f>DATE(2012,1,13) + TIME(2,50,43)</f>
        <v>40921.11855324074</v>
      </c>
      <c r="C1375">
        <v>80</v>
      </c>
      <c r="D1375">
        <v>73.709182738999999</v>
      </c>
      <c r="E1375">
        <v>40</v>
      </c>
      <c r="F1375">
        <v>39.982837676999999</v>
      </c>
      <c r="G1375">
        <v>1326.3121338000001</v>
      </c>
      <c r="H1375">
        <v>1324.0279541</v>
      </c>
      <c r="I1375">
        <v>1339.4073486</v>
      </c>
      <c r="J1375">
        <v>1336.5541992000001</v>
      </c>
      <c r="K1375">
        <v>0</v>
      </c>
      <c r="L1375">
        <v>2750</v>
      </c>
      <c r="M1375">
        <v>2750</v>
      </c>
      <c r="N1375">
        <v>0</v>
      </c>
    </row>
    <row r="1376" spans="1:14" x14ac:dyDescent="0.25">
      <c r="A1376">
        <v>624.27644799999996</v>
      </c>
      <c r="B1376" s="1">
        <f>DATE(2012,1,15) + TIME(6,38,5)</f>
        <v>40923.276446759257</v>
      </c>
      <c r="C1376">
        <v>80</v>
      </c>
      <c r="D1376">
        <v>73.519111632999994</v>
      </c>
      <c r="E1376">
        <v>40</v>
      </c>
      <c r="F1376">
        <v>39.982845306000002</v>
      </c>
      <c r="G1376">
        <v>1326.2595214999999</v>
      </c>
      <c r="H1376">
        <v>1323.9581298999999</v>
      </c>
      <c r="I1376">
        <v>1339.4042969</v>
      </c>
      <c r="J1376">
        <v>1336.5535889</v>
      </c>
      <c r="K1376">
        <v>0</v>
      </c>
      <c r="L1376">
        <v>2750</v>
      </c>
      <c r="M1376">
        <v>2750</v>
      </c>
      <c r="N1376">
        <v>0</v>
      </c>
    </row>
    <row r="1377" spans="1:14" x14ac:dyDescent="0.25">
      <c r="A1377">
        <v>626.48116800000003</v>
      </c>
      <c r="B1377" s="1">
        <f>DATE(2012,1,17) + TIME(11,32,52)</f>
        <v>40925.481157407405</v>
      </c>
      <c r="C1377">
        <v>80</v>
      </c>
      <c r="D1377">
        <v>73.324905396000005</v>
      </c>
      <c r="E1377">
        <v>40</v>
      </c>
      <c r="F1377">
        <v>39.982849121000001</v>
      </c>
      <c r="G1377">
        <v>1326.2071533000001</v>
      </c>
      <c r="H1377">
        <v>1323.8886719</v>
      </c>
      <c r="I1377">
        <v>1339.4011230000001</v>
      </c>
      <c r="J1377">
        <v>1336.5528564000001</v>
      </c>
      <c r="K1377">
        <v>0</v>
      </c>
      <c r="L1377">
        <v>2750</v>
      </c>
      <c r="M1377">
        <v>2750</v>
      </c>
      <c r="N1377">
        <v>0</v>
      </c>
    </row>
    <row r="1378" spans="1:14" x14ac:dyDescent="0.25">
      <c r="A1378">
        <v>628.73922500000003</v>
      </c>
      <c r="B1378" s="1">
        <f>DATE(2012,1,19) + TIME(17,44,29)</f>
        <v>40927.739224537036</v>
      </c>
      <c r="C1378">
        <v>80</v>
      </c>
      <c r="D1378">
        <v>73.125442504999995</v>
      </c>
      <c r="E1378">
        <v>40</v>
      </c>
      <c r="F1378">
        <v>39.982856750000003</v>
      </c>
      <c r="G1378">
        <v>1326.1547852000001</v>
      </c>
      <c r="H1378">
        <v>1323.8193358999999</v>
      </c>
      <c r="I1378">
        <v>1339.3980713000001</v>
      </c>
      <c r="J1378">
        <v>1336.5522461</v>
      </c>
      <c r="K1378">
        <v>0</v>
      </c>
      <c r="L1378">
        <v>2750</v>
      </c>
      <c r="M1378">
        <v>2750</v>
      </c>
      <c r="N1378">
        <v>0</v>
      </c>
    </row>
    <row r="1379" spans="1:14" x14ac:dyDescent="0.25">
      <c r="A1379">
        <v>631.05827399999998</v>
      </c>
      <c r="B1379" s="1">
        <f>DATE(2012,1,22) + TIME(1,23,54)</f>
        <v>40930.058263888888</v>
      </c>
      <c r="C1379">
        <v>80</v>
      </c>
      <c r="D1379">
        <v>72.919990540000001</v>
      </c>
      <c r="E1379">
        <v>40</v>
      </c>
      <c r="F1379">
        <v>39.982864380000002</v>
      </c>
      <c r="G1379">
        <v>1326.1022949000001</v>
      </c>
      <c r="H1379">
        <v>1323.7498779</v>
      </c>
      <c r="I1379">
        <v>1339.3948975000001</v>
      </c>
      <c r="J1379">
        <v>1336.5516356999999</v>
      </c>
      <c r="K1379">
        <v>0</v>
      </c>
      <c r="L1379">
        <v>2750</v>
      </c>
      <c r="M1379">
        <v>2750</v>
      </c>
      <c r="N1379">
        <v>0</v>
      </c>
    </row>
    <row r="1380" spans="1:14" x14ac:dyDescent="0.25">
      <c r="A1380">
        <v>633.43760099999997</v>
      </c>
      <c r="B1380" s="1">
        <f>DATE(2012,1,24) + TIME(10,30,8)</f>
        <v>40932.437592592592</v>
      </c>
      <c r="C1380">
        <v>80</v>
      </c>
      <c r="D1380">
        <v>72.707954407000003</v>
      </c>
      <c r="E1380">
        <v>40</v>
      </c>
      <c r="F1380">
        <v>39.982872008999998</v>
      </c>
      <c r="G1380">
        <v>1326.0495605000001</v>
      </c>
      <c r="H1380">
        <v>1323.6801757999999</v>
      </c>
      <c r="I1380">
        <v>1339.3918457</v>
      </c>
      <c r="J1380">
        <v>1336.5510254000001</v>
      </c>
      <c r="K1380">
        <v>0</v>
      </c>
      <c r="L1380">
        <v>2750</v>
      </c>
      <c r="M1380">
        <v>2750</v>
      </c>
      <c r="N1380">
        <v>0</v>
      </c>
    </row>
    <row r="1381" spans="1:14" x14ac:dyDescent="0.25">
      <c r="A1381">
        <v>635.83822999999995</v>
      </c>
      <c r="B1381" s="1">
        <f>DATE(2012,1,26) + TIME(20,7,3)</f>
        <v>40934.838229166664</v>
      </c>
      <c r="C1381">
        <v>80</v>
      </c>
      <c r="D1381">
        <v>72.489807128999999</v>
      </c>
      <c r="E1381">
        <v>40</v>
      </c>
      <c r="F1381">
        <v>39.982879638999997</v>
      </c>
      <c r="G1381">
        <v>1325.996582</v>
      </c>
      <c r="H1381">
        <v>1323.6102295000001</v>
      </c>
      <c r="I1381">
        <v>1339.3886719</v>
      </c>
      <c r="J1381">
        <v>1336.5504149999999</v>
      </c>
      <c r="K1381">
        <v>0</v>
      </c>
      <c r="L1381">
        <v>2750</v>
      </c>
      <c r="M1381">
        <v>2750</v>
      </c>
      <c r="N1381">
        <v>0</v>
      </c>
    </row>
    <row r="1382" spans="1:14" x14ac:dyDescent="0.25">
      <c r="A1382">
        <v>638.26996099999997</v>
      </c>
      <c r="B1382" s="1">
        <f>DATE(2012,1,29) + TIME(6,28,44)</f>
        <v>40937.269953703704</v>
      </c>
      <c r="C1382">
        <v>80</v>
      </c>
      <c r="D1382">
        <v>72.267883300999998</v>
      </c>
      <c r="E1382">
        <v>40</v>
      </c>
      <c r="F1382">
        <v>39.982891082999998</v>
      </c>
      <c r="G1382">
        <v>1325.9438477000001</v>
      </c>
      <c r="H1382">
        <v>1323.5405272999999</v>
      </c>
      <c r="I1382">
        <v>1339.3854980000001</v>
      </c>
      <c r="J1382">
        <v>1336.5496826000001</v>
      </c>
      <c r="K1382">
        <v>0</v>
      </c>
      <c r="L1382">
        <v>2750</v>
      </c>
      <c r="M1382">
        <v>2750</v>
      </c>
      <c r="N1382">
        <v>0</v>
      </c>
    </row>
    <row r="1383" spans="1:14" x14ac:dyDescent="0.25">
      <c r="A1383">
        <v>640.75320699999997</v>
      </c>
      <c r="B1383" s="1">
        <f>DATE(2012,1,31) + TIME(18,4,37)</f>
        <v>40939.753206018519</v>
      </c>
      <c r="C1383">
        <v>80</v>
      </c>
      <c r="D1383">
        <v>72.041679381999998</v>
      </c>
      <c r="E1383">
        <v>40</v>
      </c>
      <c r="F1383">
        <v>39.982898712000001</v>
      </c>
      <c r="G1383">
        <v>1325.8916016000001</v>
      </c>
      <c r="H1383">
        <v>1323.4714355000001</v>
      </c>
      <c r="I1383">
        <v>1339.3823242000001</v>
      </c>
      <c r="J1383">
        <v>1336.5490723</v>
      </c>
      <c r="K1383">
        <v>0</v>
      </c>
      <c r="L1383">
        <v>2750</v>
      </c>
      <c r="M1383">
        <v>2750</v>
      </c>
      <c r="N1383">
        <v>0</v>
      </c>
    </row>
    <row r="1384" spans="1:14" x14ac:dyDescent="0.25">
      <c r="A1384">
        <v>641</v>
      </c>
      <c r="B1384" s="1">
        <f>DATE(2012,2,1) + TIME(0,0,0)</f>
        <v>40940</v>
      </c>
      <c r="C1384">
        <v>80</v>
      </c>
      <c r="D1384">
        <v>71.947128296000002</v>
      </c>
      <c r="E1384">
        <v>40</v>
      </c>
      <c r="F1384">
        <v>39.982894897000001</v>
      </c>
      <c r="G1384">
        <v>1325.8417969</v>
      </c>
      <c r="H1384">
        <v>1323.4111327999999</v>
      </c>
      <c r="I1384">
        <v>1339.3790283000001</v>
      </c>
      <c r="J1384">
        <v>1336.5480957</v>
      </c>
      <c r="K1384">
        <v>0</v>
      </c>
      <c r="L1384">
        <v>2750</v>
      </c>
      <c r="M1384">
        <v>2750</v>
      </c>
      <c r="N1384">
        <v>0</v>
      </c>
    </row>
    <row r="1385" spans="1:14" x14ac:dyDescent="0.25">
      <c r="A1385">
        <v>643.55094399999996</v>
      </c>
      <c r="B1385" s="1">
        <f>DATE(2012,2,3) + TIME(13,13,21)</f>
        <v>40942.550937499997</v>
      </c>
      <c r="C1385">
        <v>80</v>
      </c>
      <c r="D1385">
        <v>71.775230407999999</v>
      </c>
      <c r="E1385">
        <v>40</v>
      </c>
      <c r="F1385">
        <v>39.982910156000003</v>
      </c>
      <c r="G1385">
        <v>1325.8292236</v>
      </c>
      <c r="H1385">
        <v>1323.3863524999999</v>
      </c>
      <c r="I1385">
        <v>1339.3789062000001</v>
      </c>
      <c r="J1385">
        <v>1336.5482178</v>
      </c>
      <c r="K1385">
        <v>0</v>
      </c>
      <c r="L1385">
        <v>2750</v>
      </c>
      <c r="M1385">
        <v>2750</v>
      </c>
      <c r="N1385">
        <v>0</v>
      </c>
    </row>
    <row r="1386" spans="1:14" x14ac:dyDescent="0.25">
      <c r="A1386">
        <v>646.18317200000001</v>
      </c>
      <c r="B1386" s="1">
        <f>DATE(2012,2,6) + TIME(4,23,46)</f>
        <v>40945.183171296296</v>
      </c>
      <c r="C1386">
        <v>80</v>
      </c>
      <c r="D1386">
        <v>71.544845581000004</v>
      </c>
      <c r="E1386">
        <v>40</v>
      </c>
      <c r="F1386">
        <v>39.982921599999997</v>
      </c>
      <c r="G1386">
        <v>1325.7810059000001</v>
      </c>
      <c r="H1386">
        <v>1323.3248291</v>
      </c>
      <c r="I1386">
        <v>1339.3756103999999</v>
      </c>
      <c r="J1386">
        <v>1336.5474853999999</v>
      </c>
      <c r="K1386">
        <v>0</v>
      </c>
      <c r="L1386">
        <v>2750</v>
      </c>
      <c r="M1386">
        <v>2750</v>
      </c>
      <c r="N1386">
        <v>0</v>
      </c>
    </row>
    <row r="1387" spans="1:14" x14ac:dyDescent="0.25">
      <c r="A1387">
        <v>648.85441600000001</v>
      </c>
      <c r="B1387" s="1">
        <f>DATE(2012,2,8) + TIME(20,30,21)</f>
        <v>40947.854409722226</v>
      </c>
      <c r="C1387">
        <v>80</v>
      </c>
      <c r="D1387">
        <v>71.298667907999999</v>
      </c>
      <c r="E1387">
        <v>40</v>
      </c>
      <c r="F1387">
        <v>39.982933043999999</v>
      </c>
      <c r="G1387">
        <v>1325.7288818</v>
      </c>
      <c r="H1387">
        <v>1323.2567139</v>
      </c>
      <c r="I1387">
        <v>1339.3724365</v>
      </c>
      <c r="J1387">
        <v>1336.5467529</v>
      </c>
      <c r="K1387">
        <v>0</v>
      </c>
      <c r="L1387">
        <v>2750</v>
      </c>
      <c r="M1387">
        <v>2750</v>
      </c>
      <c r="N1387">
        <v>0</v>
      </c>
    </row>
    <row r="1388" spans="1:14" x14ac:dyDescent="0.25">
      <c r="A1388">
        <v>651.55121599999995</v>
      </c>
      <c r="B1388" s="1">
        <f>DATE(2012,2,11) + TIME(13,13,45)</f>
        <v>40950.551215277781</v>
      </c>
      <c r="C1388">
        <v>80</v>
      </c>
      <c r="D1388">
        <v>71.046127318999993</v>
      </c>
      <c r="E1388">
        <v>40</v>
      </c>
      <c r="F1388">
        <v>39.982944488999998</v>
      </c>
      <c r="G1388">
        <v>1325.6763916</v>
      </c>
      <c r="H1388">
        <v>1323.1875</v>
      </c>
      <c r="I1388">
        <v>1339.3691406</v>
      </c>
      <c r="J1388">
        <v>1336.5458983999999</v>
      </c>
      <c r="K1388">
        <v>0</v>
      </c>
      <c r="L1388">
        <v>2750</v>
      </c>
      <c r="M1388">
        <v>2750</v>
      </c>
      <c r="N1388">
        <v>0</v>
      </c>
    </row>
    <row r="1389" spans="1:14" x14ac:dyDescent="0.25">
      <c r="A1389">
        <v>654.29695600000002</v>
      </c>
      <c r="B1389" s="1">
        <f>DATE(2012,2,14) + TIME(7,7,36)</f>
        <v>40953.296944444446</v>
      </c>
      <c r="C1389">
        <v>80</v>
      </c>
      <c r="D1389">
        <v>70.789321899000001</v>
      </c>
      <c r="E1389">
        <v>40</v>
      </c>
      <c r="F1389">
        <v>39.982955933</v>
      </c>
      <c r="G1389">
        <v>1325.6242675999999</v>
      </c>
      <c r="H1389">
        <v>1323.1186522999999</v>
      </c>
      <c r="I1389">
        <v>1339.3658447</v>
      </c>
      <c r="J1389">
        <v>1336.5451660000001</v>
      </c>
      <c r="K1389">
        <v>0</v>
      </c>
      <c r="L1389">
        <v>2750</v>
      </c>
      <c r="M1389">
        <v>2750</v>
      </c>
      <c r="N1389">
        <v>0</v>
      </c>
    </row>
    <row r="1390" spans="1:14" x14ac:dyDescent="0.25">
      <c r="A1390">
        <v>657.116535</v>
      </c>
      <c r="B1390" s="1">
        <f>DATE(2012,2,17) + TIME(2,47,48)</f>
        <v>40956.116527777776</v>
      </c>
      <c r="C1390">
        <v>80</v>
      </c>
      <c r="D1390">
        <v>70.526664733999993</v>
      </c>
      <c r="E1390">
        <v>40</v>
      </c>
      <c r="F1390">
        <v>39.982967377000001</v>
      </c>
      <c r="G1390">
        <v>1325.5723877</v>
      </c>
      <c r="H1390">
        <v>1323.0501709</v>
      </c>
      <c r="I1390">
        <v>1339.3626709</v>
      </c>
      <c r="J1390">
        <v>1336.5443115</v>
      </c>
      <c r="K1390">
        <v>0</v>
      </c>
      <c r="L1390">
        <v>2750</v>
      </c>
      <c r="M1390">
        <v>2750</v>
      </c>
      <c r="N1390">
        <v>0</v>
      </c>
    </row>
    <row r="1391" spans="1:14" x14ac:dyDescent="0.25">
      <c r="A1391">
        <v>660.02291200000002</v>
      </c>
      <c r="B1391" s="1">
        <f>DATE(2012,2,20) + TIME(0,32,59)</f>
        <v>40959.022905092592</v>
      </c>
      <c r="C1391">
        <v>80</v>
      </c>
      <c r="D1391">
        <v>70.256011963000006</v>
      </c>
      <c r="E1391">
        <v>40</v>
      </c>
      <c r="F1391">
        <v>39.982978821000003</v>
      </c>
      <c r="G1391">
        <v>1325.5202637</v>
      </c>
      <c r="H1391">
        <v>1322.9814452999999</v>
      </c>
      <c r="I1391">
        <v>1339.3592529</v>
      </c>
      <c r="J1391">
        <v>1336.5433350000001</v>
      </c>
      <c r="K1391">
        <v>0</v>
      </c>
      <c r="L1391">
        <v>2750</v>
      </c>
      <c r="M1391">
        <v>2750</v>
      </c>
      <c r="N1391">
        <v>0</v>
      </c>
    </row>
    <row r="1392" spans="1:14" x14ac:dyDescent="0.25">
      <c r="A1392">
        <v>662.96502699999996</v>
      </c>
      <c r="B1392" s="1">
        <f>DATE(2012,2,22) + TIME(23,9,38)</f>
        <v>40961.96502314815</v>
      </c>
      <c r="C1392">
        <v>80</v>
      </c>
      <c r="D1392">
        <v>69.976814270000006</v>
      </c>
      <c r="E1392">
        <v>40</v>
      </c>
      <c r="F1392">
        <v>39.982994079999997</v>
      </c>
      <c r="G1392">
        <v>1325.4677733999999</v>
      </c>
      <c r="H1392">
        <v>1322.9123535000001</v>
      </c>
      <c r="I1392">
        <v>1339.3558350000001</v>
      </c>
      <c r="J1392">
        <v>1336.5424805</v>
      </c>
      <c r="K1392">
        <v>0</v>
      </c>
      <c r="L1392">
        <v>2750</v>
      </c>
      <c r="M1392">
        <v>2750</v>
      </c>
      <c r="N1392">
        <v>0</v>
      </c>
    </row>
    <row r="1393" spans="1:14" x14ac:dyDescent="0.25">
      <c r="A1393">
        <v>665.94540900000004</v>
      </c>
      <c r="B1393" s="1">
        <f>DATE(2012,2,25) + TIME(22,41,23)</f>
        <v>40964.945405092592</v>
      </c>
      <c r="C1393">
        <v>80</v>
      </c>
      <c r="D1393">
        <v>69.691833496000001</v>
      </c>
      <c r="E1393">
        <v>40</v>
      </c>
      <c r="F1393">
        <v>39.983005523999999</v>
      </c>
      <c r="G1393">
        <v>1325.4155272999999</v>
      </c>
      <c r="H1393">
        <v>1322.8435059000001</v>
      </c>
      <c r="I1393">
        <v>1339.3524170000001</v>
      </c>
      <c r="J1393">
        <v>1336.5413818</v>
      </c>
      <c r="K1393">
        <v>0</v>
      </c>
      <c r="L1393">
        <v>2750</v>
      </c>
      <c r="M1393">
        <v>2750</v>
      </c>
      <c r="N1393">
        <v>0</v>
      </c>
    </row>
    <row r="1394" spans="1:14" x14ac:dyDescent="0.25">
      <c r="A1394">
        <v>668.98865699999999</v>
      </c>
      <c r="B1394" s="1">
        <f>DATE(2012,2,28) + TIME(23,43,40)</f>
        <v>40967.988657407404</v>
      </c>
      <c r="C1394">
        <v>80</v>
      </c>
      <c r="D1394">
        <v>69.401908875000004</v>
      </c>
      <c r="E1394">
        <v>40</v>
      </c>
      <c r="F1394">
        <v>39.983020781999997</v>
      </c>
      <c r="G1394">
        <v>1325.3636475000001</v>
      </c>
      <c r="H1394">
        <v>1322.7750243999999</v>
      </c>
      <c r="I1394">
        <v>1339.348999</v>
      </c>
      <c r="J1394">
        <v>1336.5404053</v>
      </c>
      <c r="K1394">
        <v>0</v>
      </c>
      <c r="L1394">
        <v>2750</v>
      </c>
      <c r="M1394">
        <v>2750</v>
      </c>
      <c r="N1394">
        <v>0</v>
      </c>
    </row>
    <row r="1395" spans="1:14" x14ac:dyDescent="0.25">
      <c r="A1395">
        <v>670</v>
      </c>
      <c r="B1395" s="1">
        <f>DATE(2012,3,1) + TIME(0,0,0)</f>
        <v>40969</v>
      </c>
      <c r="C1395">
        <v>80</v>
      </c>
      <c r="D1395">
        <v>69.166923522999994</v>
      </c>
      <c r="E1395">
        <v>40</v>
      </c>
      <c r="F1395">
        <v>39.983020781999997</v>
      </c>
      <c r="G1395">
        <v>1325.3125</v>
      </c>
      <c r="H1395">
        <v>1322.7102050999999</v>
      </c>
      <c r="I1395">
        <v>1339.3454589999999</v>
      </c>
      <c r="J1395">
        <v>1336.5393065999999</v>
      </c>
      <c r="K1395">
        <v>0</v>
      </c>
      <c r="L1395">
        <v>2750</v>
      </c>
      <c r="M1395">
        <v>2750</v>
      </c>
      <c r="N1395">
        <v>0</v>
      </c>
    </row>
    <row r="1396" spans="1:14" x14ac:dyDescent="0.25">
      <c r="A1396">
        <v>673.13008400000001</v>
      </c>
      <c r="B1396" s="1">
        <f>DATE(2012,3,4) + TIME(3,7,19)</f>
        <v>40972.13008101852</v>
      </c>
      <c r="C1396">
        <v>80</v>
      </c>
      <c r="D1396">
        <v>68.987464904999996</v>
      </c>
      <c r="E1396">
        <v>40</v>
      </c>
      <c r="F1396">
        <v>39.983039855999998</v>
      </c>
      <c r="G1396">
        <v>1325.2875977000001</v>
      </c>
      <c r="H1396">
        <v>1322.6704102000001</v>
      </c>
      <c r="I1396">
        <v>1339.3444824000001</v>
      </c>
      <c r="J1396">
        <v>1336.5389404</v>
      </c>
      <c r="K1396">
        <v>0</v>
      </c>
      <c r="L1396">
        <v>2750</v>
      </c>
      <c r="M1396">
        <v>2750</v>
      </c>
      <c r="N1396">
        <v>0</v>
      </c>
    </row>
    <row r="1397" spans="1:14" x14ac:dyDescent="0.25">
      <c r="A1397">
        <v>676.338346</v>
      </c>
      <c r="B1397" s="1">
        <f>DATE(2012,3,7) + TIME(8,7,13)</f>
        <v>40975.33834490741</v>
      </c>
      <c r="C1397">
        <v>80</v>
      </c>
      <c r="D1397">
        <v>68.694763183999996</v>
      </c>
      <c r="E1397">
        <v>40</v>
      </c>
      <c r="F1397">
        <v>39.983058929000002</v>
      </c>
      <c r="G1397">
        <v>1325.2420654</v>
      </c>
      <c r="H1397">
        <v>1322.6141356999999</v>
      </c>
      <c r="I1397">
        <v>1339.3409423999999</v>
      </c>
      <c r="J1397">
        <v>1336.5378418</v>
      </c>
      <c r="K1397">
        <v>0</v>
      </c>
      <c r="L1397">
        <v>2750</v>
      </c>
      <c r="M1397">
        <v>2750</v>
      </c>
      <c r="N1397">
        <v>0</v>
      </c>
    </row>
    <row r="1398" spans="1:14" x14ac:dyDescent="0.25">
      <c r="A1398">
        <v>679.59022600000003</v>
      </c>
      <c r="B1398" s="1">
        <f>DATE(2012,3,10) + TIME(14,9,55)</f>
        <v>40978.590219907404</v>
      </c>
      <c r="C1398">
        <v>80</v>
      </c>
      <c r="D1398">
        <v>68.381210327000005</v>
      </c>
      <c r="E1398">
        <v>40</v>
      </c>
      <c r="F1398">
        <v>39.983074188000003</v>
      </c>
      <c r="G1398">
        <v>1325.1912841999999</v>
      </c>
      <c r="H1398">
        <v>1322.5476074000001</v>
      </c>
      <c r="I1398">
        <v>1339.3372803</v>
      </c>
      <c r="J1398">
        <v>1336.5366211</v>
      </c>
      <c r="K1398">
        <v>0</v>
      </c>
      <c r="L1398">
        <v>2750</v>
      </c>
      <c r="M1398">
        <v>2750</v>
      </c>
      <c r="N1398">
        <v>0</v>
      </c>
    </row>
    <row r="1399" spans="1:14" x14ac:dyDescent="0.25">
      <c r="A1399">
        <v>682.91215599999998</v>
      </c>
      <c r="B1399" s="1">
        <f>DATE(2012,3,13) + TIME(21,53,30)</f>
        <v>40981.912152777775</v>
      </c>
      <c r="C1399">
        <v>80</v>
      </c>
      <c r="D1399">
        <v>68.059631347999996</v>
      </c>
      <c r="E1399">
        <v>40</v>
      </c>
      <c r="F1399">
        <v>39.983093261999997</v>
      </c>
      <c r="G1399">
        <v>1325.1400146000001</v>
      </c>
      <c r="H1399">
        <v>1322.4799805</v>
      </c>
      <c r="I1399">
        <v>1339.3337402</v>
      </c>
      <c r="J1399">
        <v>1336.5354004000001</v>
      </c>
      <c r="K1399">
        <v>0</v>
      </c>
      <c r="L1399">
        <v>2750</v>
      </c>
      <c r="M1399">
        <v>2750</v>
      </c>
      <c r="N1399">
        <v>0</v>
      </c>
    </row>
    <row r="1400" spans="1:14" x14ac:dyDescent="0.25">
      <c r="A1400">
        <v>686.33339699999999</v>
      </c>
      <c r="B1400" s="1">
        <f>DATE(2012,3,17) + TIME(8,0,5)</f>
        <v>40985.333391203705</v>
      </c>
      <c r="C1400">
        <v>80</v>
      </c>
      <c r="D1400">
        <v>67.729537964000002</v>
      </c>
      <c r="E1400">
        <v>40</v>
      </c>
      <c r="F1400">
        <v>39.983108520999998</v>
      </c>
      <c r="G1400">
        <v>1325.0887451000001</v>
      </c>
      <c r="H1400">
        <v>1322.4122314000001</v>
      </c>
      <c r="I1400">
        <v>1339.3299560999999</v>
      </c>
      <c r="J1400">
        <v>1336.5340576000001</v>
      </c>
      <c r="K1400">
        <v>0</v>
      </c>
      <c r="L1400">
        <v>2750</v>
      </c>
      <c r="M1400">
        <v>2750</v>
      </c>
      <c r="N1400">
        <v>0</v>
      </c>
    </row>
    <row r="1401" spans="1:14" x14ac:dyDescent="0.25">
      <c r="A1401">
        <v>689.80707700000005</v>
      </c>
      <c r="B1401" s="1">
        <f>DATE(2012,3,20) + TIME(19,22,11)</f>
        <v>40988.807071759256</v>
      </c>
      <c r="C1401">
        <v>80</v>
      </c>
      <c r="D1401">
        <v>67.389175414999997</v>
      </c>
      <c r="E1401">
        <v>40</v>
      </c>
      <c r="F1401">
        <v>39.983127594000003</v>
      </c>
      <c r="G1401">
        <v>1325.0372314000001</v>
      </c>
      <c r="H1401">
        <v>1322.3443603999999</v>
      </c>
      <c r="I1401">
        <v>1339.3262939000001</v>
      </c>
      <c r="J1401">
        <v>1336.5325928</v>
      </c>
      <c r="K1401">
        <v>0</v>
      </c>
      <c r="L1401">
        <v>2750</v>
      </c>
      <c r="M1401">
        <v>2750</v>
      </c>
      <c r="N1401">
        <v>0</v>
      </c>
    </row>
    <row r="1402" spans="1:14" x14ac:dyDescent="0.25">
      <c r="A1402">
        <v>693.33383100000003</v>
      </c>
      <c r="B1402" s="1">
        <f>DATE(2012,3,24) + TIME(8,0,42)</f>
        <v>40992.333819444444</v>
      </c>
      <c r="C1402">
        <v>80</v>
      </c>
      <c r="D1402">
        <v>67.041778563999998</v>
      </c>
      <c r="E1402">
        <v>40</v>
      </c>
      <c r="F1402">
        <v>39.983146667</v>
      </c>
      <c r="G1402">
        <v>1324.9858397999999</v>
      </c>
      <c r="H1402">
        <v>1322.2764893000001</v>
      </c>
      <c r="I1402">
        <v>1339.3223877</v>
      </c>
      <c r="J1402">
        <v>1336.5311279</v>
      </c>
      <c r="K1402">
        <v>0</v>
      </c>
      <c r="L1402">
        <v>2750</v>
      </c>
      <c r="M1402">
        <v>2750</v>
      </c>
      <c r="N1402">
        <v>0</v>
      </c>
    </row>
    <row r="1403" spans="1:14" x14ac:dyDescent="0.25">
      <c r="A1403">
        <v>696.94337599999994</v>
      </c>
      <c r="B1403" s="1">
        <f>DATE(2012,3,27) + TIME(22,38,27)</f>
        <v>40995.943368055552</v>
      </c>
      <c r="C1403">
        <v>80</v>
      </c>
      <c r="D1403">
        <v>66.687049865999995</v>
      </c>
      <c r="E1403">
        <v>40</v>
      </c>
      <c r="F1403">
        <v>39.983169556</v>
      </c>
      <c r="G1403">
        <v>1324.9349365</v>
      </c>
      <c r="H1403">
        <v>1322.2092285000001</v>
      </c>
      <c r="I1403">
        <v>1339.3186035000001</v>
      </c>
      <c r="J1403">
        <v>1336.5296631000001</v>
      </c>
      <c r="K1403">
        <v>0</v>
      </c>
      <c r="L1403">
        <v>2750</v>
      </c>
      <c r="M1403">
        <v>2750</v>
      </c>
      <c r="N1403">
        <v>0</v>
      </c>
    </row>
    <row r="1404" spans="1:14" x14ac:dyDescent="0.25">
      <c r="A1404">
        <v>700.65667199999996</v>
      </c>
      <c r="B1404" s="1">
        <f>DATE(2012,3,31) + TIME(15,45,36)</f>
        <v>40999.656666666669</v>
      </c>
      <c r="C1404">
        <v>80</v>
      </c>
      <c r="D1404">
        <v>66.323455811000002</v>
      </c>
      <c r="E1404">
        <v>40</v>
      </c>
      <c r="F1404">
        <v>39.983188628999997</v>
      </c>
      <c r="G1404">
        <v>1324.8841553</v>
      </c>
      <c r="H1404">
        <v>1322.1419678</v>
      </c>
      <c r="I1404">
        <v>1339.3146973</v>
      </c>
      <c r="J1404">
        <v>1336.5280762</v>
      </c>
      <c r="K1404">
        <v>0</v>
      </c>
      <c r="L1404">
        <v>2750</v>
      </c>
      <c r="M1404">
        <v>2750</v>
      </c>
      <c r="N1404">
        <v>0</v>
      </c>
    </row>
    <row r="1405" spans="1:14" x14ac:dyDescent="0.25">
      <c r="A1405">
        <v>701</v>
      </c>
      <c r="B1405" s="1">
        <f>DATE(2012,4,1) + TIME(0,0,0)</f>
        <v>41000</v>
      </c>
      <c r="C1405">
        <v>80</v>
      </c>
      <c r="D1405">
        <v>66.141220093000001</v>
      </c>
      <c r="E1405">
        <v>40</v>
      </c>
      <c r="F1405">
        <v>39.983184813999998</v>
      </c>
      <c r="G1405">
        <v>1324.833374</v>
      </c>
      <c r="H1405">
        <v>1322.0826416</v>
      </c>
      <c r="I1405">
        <v>1339.3105469</v>
      </c>
      <c r="J1405">
        <v>1336.5262451000001</v>
      </c>
      <c r="K1405">
        <v>0</v>
      </c>
      <c r="L1405">
        <v>2750</v>
      </c>
      <c r="M1405">
        <v>2750</v>
      </c>
      <c r="N1405">
        <v>0</v>
      </c>
    </row>
    <row r="1406" spans="1:14" x14ac:dyDescent="0.25">
      <c r="A1406">
        <v>704.75932599999999</v>
      </c>
      <c r="B1406" s="1">
        <f>DATE(2012,4,4) + TIME(18,13,25)</f>
        <v>41003.759317129632</v>
      </c>
      <c r="C1406">
        <v>80</v>
      </c>
      <c r="D1406">
        <v>65.896553040000001</v>
      </c>
      <c r="E1406">
        <v>40</v>
      </c>
      <c r="F1406">
        <v>39.983211517000001</v>
      </c>
      <c r="G1406">
        <v>1324.8227539</v>
      </c>
      <c r="H1406">
        <v>1322.0570068</v>
      </c>
      <c r="I1406">
        <v>1339.3103027</v>
      </c>
      <c r="J1406">
        <v>1336.5262451000001</v>
      </c>
      <c r="K1406">
        <v>0</v>
      </c>
      <c r="L1406">
        <v>2750</v>
      </c>
      <c r="M1406">
        <v>2750</v>
      </c>
      <c r="N1406">
        <v>0</v>
      </c>
    </row>
    <row r="1407" spans="1:14" x14ac:dyDescent="0.25">
      <c r="A1407">
        <v>708.60461899999996</v>
      </c>
      <c r="B1407" s="1">
        <f>DATE(2012,4,8) + TIME(14,30,39)</f>
        <v>41007.604618055557</v>
      </c>
      <c r="C1407">
        <v>80</v>
      </c>
      <c r="D1407">
        <v>65.529830933</v>
      </c>
      <c r="E1407">
        <v>40</v>
      </c>
      <c r="F1407">
        <v>39.983234406000001</v>
      </c>
      <c r="G1407">
        <v>1324.7773437999999</v>
      </c>
      <c r="H1407">
        <v>1322.0001221</v>
      </c>
      <c r="I1407">
        <v>1339.3062743999999</v>
      </c>
      <c r="J1407">
        <v>1336.5244141000001</v>
      </c>
      <c r="K1407">
        <v>0</v>
      </c>
      <c r="L1407">
        <v>2750</v>
      </c>
      <c r="M1407">
        <v>2750</v>
      </c>
      <c r="N1407">
        <v>0</v>
      </c>
    </row>
    <row r="1408" spans="1:14" x14ac:dyDescent="0.25">
      <c r="A1408">
        <v>712.56515999999999</v>
      </c>
      <c r="B1408" s="1">
        <f>DATE(2012,4,12) + TIME(13,33,49)</f>
        <v>41011.565150462964</v>
      </c>
      <c r="C1408">
        <v>80</v>
      </c>
      <c r="D1408">
        <v>65.134773253999995</v>
      </c>
      <c r="E1408">
        <v>40</v>
      </c>
      <c r="F1408">
        <v>39.983257293999998</v>
      </c>
      <c r="G1408">
        <v>1324.7279053</v>
      </c>
      <c r="H1408">
        <v>1321.9346923999999</v>
      </c>
      <c r="I1408">
        <v>1339.302124</v>
      </c>
      <c r="J1408">
        <v>1336.5225829999999</v>
      </c>
      <c r="K1408">
        <v>0</v>
      </c>
      <c r="L1408">
        <v>2750</v>
      </c>
      <c r="M1408">
        <v>2750</v>
      </c>
      <c r="N1408">
        <v>0</v>
      </c>
    </row>
    <row r="1409" spans="1:14" x14ac:dyDescent="0.25">
      <c r="A1409">
        <v>714.57376399999998</v>
      </c>
      <c r="B1409" s="1">
        <f>DATE(2012,4,14) + TIME(13,46,13)</f>
        <v>41013.573761574073</v>
      </c>
      <c r="C1409">
        <v>80</v>
      </c>
      <c r="D1409">
        <v>64.778862000000004</v>
      </c>
      <c r="E1409">
        <v>40</v>
      </c>
      <c r="F1409">
        <v>39.983264923</v>
      </c>
      <c r="G1409">
        <v>1324.677124</v>
      </c>
      <c r="H1409">
        <v>1321.8687743999999</v>
      </c>
      <c r="I1409">
        <v>1339.2978516000001</v>
      </c>
      <c r="J1409">
        <v>1336.5205077999999</v>
      </c>
      <c r="K1409">
        <v>0</v>
      </c>
      <c r="L1409">
        <v>2750</v>
      </c>
      <c r="M1409">
        <v>2750</v>
      </c>
      <c r="N1409">
        <v>0</v>
      </c>
    </row>
    <row r="1410" spans="1:14" x14ac:dyDescent="0.25">
      <c r="A1410">
        <v>716.58236899999997</v>
      </c>
      <c r="B1410" s="1">
        <f>DATE(2012,4,16) + TIME(13,58,36)</f>
        <v>41015.582361111112</v>
      </c>
      <c r="C1410">
        <v>80</v>
      </c>
      <c r="D1410">
        <v>64.532562256000006</v>
      </c>
      <c r="E1410">
        <v>40</v>
      </c>
      <c r="F1410">
        <v>39.983272552000003</v>
      </c>
      <c r="G1410">
        <v>1324.6473389</v>
      </c>
      <c r="H1410">
        <v>1321.8254394999999</v>
      </c>
      <c r="I1410">
        <v>1339.2956543</v>
      </c>
      <c r="J1410">
        <v>1336.5195312000001</v>
      </c>
      <c r="K1410">
        <v>0</v>
      </c>
      <c r="L1410">
        <v>2750</v>
      </c>
      <c r="M1410">
        <v>2750</v>
      </c>
      <c r="N1410">
        <v>0</v>
      </c>
    </row>
    <row r="1411" spans="1:14" x14ac:dyDescent="0.25">
      <c r="A1411">
        <v>718.59097299999996</v>
      </c>
      <c r="B1411" s="1">
        <f>DATE(2012,4,18) + TIME(14,11,0)</f>
        <v>41017.59097222222</v>
      </c>
      <c r="C1411">
        <v>80</v>
      </c>
      <c r="D1411">
        <v>64.325057982999994</v>
      </c>
      <c r="E1411">
        <v>40</v>
      </c>
      <c r="F1411">
        <v>39.983283997000001</v>
      </c>
      <c r="G1411">
        <v>1324.6212158000001</v>
      </c>
      <c r="H1411">
        <v>1321.7895507999999</v>
      </c>
      <c r="I1411">
        <v>1339.2935791</v>
      </c>
      <c r="J1411">
        <v>1336.5185547000001</v>
      </c>
      <c r="K1411">
        <v>0</v>
      </c>
      <c r="L1411">
        <v>2750</v>
      </c>
      <c r="M1411">
        <v>2750</v>
      </c>
      <c r="N1411">
        <v>0</v>
      </c>
    </row>
    <row r="1412" spans="1:14" x14ac:dyDescent="0.25">
      <c r="A1412">
        <v>720.59957699999995</v>
      </c>
      <c r="B1412" s="1">
        <f>DATE(2012,4,20) + TIME(14,23,23)</f>
        <v>41019.59957175926</v>
      </c>
      <c r="C1412">
        <v>80</v>
      </c>
      <c r="D1412">
        <v>64.113800049000005</v>
      </c>
      <c r="E1412">
        <v>40</v>
      </c>
      <c r="F1412">
        <v>39.983299254999999</v>
      </c>
      <c r="G1412">
        <v>1324.5964355000001</v>
      </c>
      <c r="H1412">
        <v>1321.7564697</v>
      </c>
      <c r="I1412">
        <v>1339.2913818</v>
      </c>
      <c r="J1412">
        <v>1336.5174560999999</v>
      </c>
      <c r="K1412">
        <v>0</v>
      </c>
      <c r="L1412">
        <v>2750</v>
      </c>
      <c r="M1412">
        <v>2750</v>
      </c>
      <c r="N1412">
        <v>0</v>
      </c>
    </row>
    <row r="1413" spans="1:14" x14ac:dyDescent="0.25">
      <c r="A1413">
        <v>722.60818200000006</v>
      </c>
      <c r="B1413" s="1">
        <f>DATE(2012,4,22) + TIME(14,35,46)</f>
        <v>41021.608171296299</v>
      </c>
      <c r="C1413">
        <v>80</v>
      </c>
      <c r="D1413">
        <v>63.907360077</v>
      </c>
      <c r="E1413">
        <v>40</v>
      </c>
      <c r="F1413">
        <v>39.983310699</v>
      </c>
      <c r="G1413">
        <v>1324.5723877</v>
      </c>
      <c r="H1413">
        <v>1321.7243652</v>
      </c>
      <c r="I1413">
        <v>1339.2893065999999</v>
      </c>
      <c r="J1413">
        <v>1336.5163574000001</v>
      </c>
      <c r="K1413">
        <v>0</v>
      </c>
      <c r="L1413">
        <v>2750</v>
      </c>
      <c r="M1413">
        <v>2750</v>
      </c>
      <c r="N1413">
        <v>0</v>
      </c>
    </row>
    <row r="1414" spans="1:14" x14ac:dyDescent="0.25">
      <c r="A1414">
        <v>724.61678600000005</v>
      </c>
      <c r="B1414" s="1">
        <f>DATE(2012,4,24) + TIME(14,48,10)</f>
        <v>41023.616782407407</v>
      </c>
      <c r="C1414">
        <v>80</v>
      </c>
      <c r="D1414">
        <v>63.698471069</v>
      </c>
      <c r="E1414">
        <v>40</v>
      </c>
      <c r="F1414">
        <v>39.983322143999999</v>
      </c>
      <c r="G1414">
        <v>1324.5488281</v>
      </c>
      <c r="H1414">
        <v>1321.6928711</v>
      </c>
      <c r="I1414">
        <v>1339.2871094</v>
      </c>
      <c r="J1414">
        <v>1336.5153809000001</v>
      </c>
      <c r="K1414">
        <v>0</v>
      </c>
      <c r="L1414">
        <v>2750</v>
      </c>
      <c r="M1414">
        <v>2750</v>
      </c>
      <c r="N1414">
        <v>0</v>
      </c>
    </row>
    <row r="1415" spans="1:14" x14ac:dyDescent="0.25">
      <c r="A1415">
        <v>726.62539100000004</v>
      </c>
      <c r="B1415" s="1">
        <f>DATE(2012,4,26) + TIME(15,0,33)</f>
        <v>41025.625381944446</v>
      </c>
      <c r="C1415">
        <v>80</v>
      </c>
      <c r="D1415">
        <v>63.490840912000003</v>
      </c>
      <c r="E1415">
        <v>40</v>
      </c>
      <c r="F1415">
        <v>39.983333588000001</v>
      </c>
      <c r="G1415">
        <v>1324.5255127</v>
      </c>
      <c r="H1415">
        <v>1321.6618652</v>
      </c>
      <c r="I1415">
        <v>1339.2850341999999</v>
      </c>
      <c r="J1415">
        <v>1336.5142822</v>
      </c>
      <c r="K1415">
        <v>0</v>
      </c>
      <c r="L1415">
        <v>2750</v>
      </c>
      <c r="M1415">
        <v>2750</v>
      </c>
      <c r="N1415">
        <v>0</v>
      </c>
    </row>
    <row r="1416" spans="1:14" x14ac:dyDescent="0.25">
      <c r="A1416">
        <v>728.63399500000003</v>
      </c>
      <c r="B1416" s="1">
        <f>DATE(2012,4,28) + TIME(15,12,57)</f>
        <v>41027.633993055555</v>
      </c>
      <c r="C1416">
        <v>80</v>
      </c>
      <c r="D1416">
        <v>63.282203674000002</v>
      </c>
      <c r="E1416">
        <v>40</v>
      </c>
      <c r="F1416">
        <v>39.983345032000003</v>
      </c>
      <c r="G1416">
        <v>1324.5026855000001</v>
      </c>
      <c r="H1416">
        <v>1321.6312256000001</v>
      </c>
      <c r="I1416">
        <v>1339.2828368999999</v>
      </c>
      <c r="J1416">
        <v>1336.5131836</v>
      </c>
      <c r="K1416">
        <v>0</v>
      </c>
      <c r="L1416">
        <v>2750</v>
      </c>
      <c r="M1416">
        <v>2750</v>
      </c>
      <c r="N1416">
        <v>0</v>
      </c>
    </row>
    <row r="1417" spans="1:14" x14ac:dyDescent="0.25">
      <c r="A1417">
        <v>731</v>
      </c>
      <c r="B1417" s="1">
        <f>DATE(2012,5,1) + TIME(0,0,0)</f>
        <v>41030</v>
      </c>
      <c r="C1417">
        <v>80</v>
      </c>
      <c r="D1417">
        <v>63.067981719999999</v>
      </c>
      <c r="E1417">
        <v>40</v>
      </c>
      <c r="F1417">
        <v>39.983360290999997</v>
      </c>
      <c r="G1417">
        <v>1324.4804687999999</v>
      </c>
      <c r="H1417">
        <v>1321.6018065999999</v>
      </c>
      <c r="I1417">
        <v>1339.2807617000001</v>
      </c>
      <c r="J1417">
        <v>1336.5120850000001</v>
      </c>
      <c r="K1417">
        <v>0</v>
      </c>
      <c r="L1417">
        <v>2750</v>
      </c>
      <c r="M1417">
        <v>2750</v>
      </c>
      <c r="N1417">
        <v>0</v>
      </c>
    </row>
    <row r="1418" spans="1:14" x14ac:dyDescent="0.25">
      <c r="A1418">
        <v>731.000001</v>
      </c>
      <c r="B1418" s="1">
        <f>DATE(2012,5,1) + TIME(0,0,0)</f>
        <v>41030</v>
      </c>
      <c r="C1418">
        <v>80</v>
      </c>
      <c r="D1418">
        <v>63.068164824999997</v>
      </c>
      <c r="E1418">
        <v>40</v>
      </c>
      <c r="F1418">
        <v>39.983268738</v>
      </c>
      <c r="G1418">
        <v>1328.3754882999999</v>
      </c>
      <c r="H1418">
        <v>1325.6007079999999</v>
      </c>
      <c r="I1418">
        <v>1335.7331543</v>
      </c>
      <c r="J1418">
        <v>1333.2808838000001</v>
      </c>
      <c r="K1418">
        <v>2750</v>
      </c>
      <c r="L1418">
        <v>0</v>
      </c>
      <c r="M1418">
        <v>0</v>
      </c>
      <c r="N1418">
        <v>2750</v>
      </c>
    </row>
    <row r="1419" spans="1:14" x14ac:dyDescent="0.25">
      <c r="A1419">
        <v>731.00000399999999</v>
      </c>
      <c r="B1419" s="1">
        <f>DATE(2012,5,1) + TIME(0,0,0)</f>
        <v>41030</v>
      </c>
      <c r="C1419">
        <v>80</v>
      </c>
      <c r="D1419">
        <v>63.068477631</v>
      </c>
      <c r="E1419">
        <v>40</v>
      </c>
      <c r="F1419">
        <v>39.983112335000001</v>
      </c>
      <c r="G1419">
        <v>1329.7873535000001</v>
      </c>
      <c r="H1419">
        <v>1327.1629639</v>
      </c>
      <c r="I1419">
        <v>1334.4373779</v>
      </c>
      <c r="J1419">
        <v>1331.9852295000001</v>
      </c>
      <c r="K1419">
        <v>2750</v>
      </c>
      <c r="L1419">
        <v>0</v>
      </c>
      <c r="M1419">
        <v>0</v>
      </c>
      <c r="N1419">
        <v>2750</v>
      </c>
    </row>
    <row r="1420" spans="1:14" x14ac:dyDescent="0.25">
      <c r="A1420">
        <v>731.00001299999997</v>
      </c>
      <c r="B1420" s="1">
        <f>DATE(2012,5,1) + TIME(0,0,1)</f>
        <v>41030.000011574077</v>
      </c>
      <c r="C1420">
        <v>80</v>
      </c>
      <c r="D1420">
        <v>63.069015503000003</v>
      </c>
      <c r="E1420">
        <v>40</v>
      </c>
      <c r="F1420">
        <v>39.982925414999997</v>
      </c>
      <c r="G1420">
        <v>1331.5109863</v>
      </c>
      <c r="H1420">
        <v>1328.8557129000001</v>
      </c>
      <c r="I1420">
        <v>1332.8903809000001</v>
      </c>
      <c r="J1420">
        <v>1330.4388428</v>
      </c>
      <c r="K1420">
        <v>2750</v>
      </c>
      <c r="L1420">
        <v>0</v>
      </c>
      <c r="M1420">
        <v>0</v>
      </c>
      <c r="N1420">
        <v>2750</v>
      </c>
    </row>
    <row r="1421" spans="1:14" x14ac:dyDescent="0.25">
      <c r="A1421">
        <v>731.00004000000001</v>
      </c>
      <c r="B1421" s="1">
        <f>DATE(2012,5,1) + TIME(0,0,3)</f>
        <v>41030.000034722223</v>
      </c>
      <c r="C1421">
        <v>80</v>
      </c>
      <c r="D1421">
        <v>63.070201873999999</v>
      </c>
      <c r="E1421">
        <v>40</v>
      </c>
      <c r="F1421">
        <v>39.982738495</v>
      </c>
      <c r="G1421">
        <v>1333.2653809000001</v>
      </c>
      <c r="H1421">
        <v>1330.5319824000001</v>
      </c>
      <c r="I1421">
        <v>1331.3480225000001</v>
      </c>
      <c r="J1421">
        <v>1328.8973389</v>
      </c>
      <c r="K1421">
        <v>2750</v>
      </c>
      <c r="L1421">
        <v>0</v>
      </c>
      <c r="M1421">
        <v>0</v>
      </c>
      <c r="N1421">
        <v>2750</v>
      </c>
    </row>
    <row r="1422" spans="1:14" x14ac:dyDescent="0.25">
      <c r="A1422">
        <v>731.00012100000004</v>
      </c>
      <c r="B1422" s="1">
        <f>DATE(2012,5,1) + TIME(0,0,10)</f>
        <v>41030.000115740739</v>
      </c>
      <c r="C1422">
        <v>80</v>
      </c>
      <c r="D1422">
        <v>63.073383331000002</v>
      </c>
      <c r="E1422">
        <v>40</v>
      </c>
      <c r="F1422">
        <v>39.982551575000002</v>
      </c>
      <c r="G1422">
        <v>1334.9866943</v>
      </c>
      <c r="H1422">
        <v>1332.1794434000001</v>
      </c>
      <c r="I1422">
        <v>1329.8378906</v>
      </c>
      <c r="J1422">
        <v>1327.3867187999999</v>
      </c>
      <c r="K1422">
        <v>2750</v>
      </c>
      <c r="L1422">
        <v>0</v>
      </c>
      <c r="M1422">
        <v>0</v>
      </c>
      <c r="N1422">
        <v>2750</v>
      </c>
    </row>
    <row r="1423" spans="1:14" x14ac:dyDescent="0.25">
      <c r="A1423">
        <v>731.00036399999999</v>
      </c>
      <c r="B1423" s="1">
        <f>DATE(2012,5,1) + TIME(0,0,31)</f>
        <v>41030.000358796293</v>
      </c>
      <c r="C1423">
        <v>80</v>
      </c>
      <c r="D1423">
        <v>63.082721710000001</v>
      </c>
      <c r="E1423">
        <v>40</v>
      </c>
      <c r="F1423">
        <v>39.982349395999996</v>
      </c>
      <c r="G1423">
        <v>1336.6844481999999</v>
      </c>
      <c r="H1423">
        <v>1333.8045654</v>
      </c>
      <c r="I1423">
        <v>1328.3298339999999</v>
      </c>
      <c r="J1423">
        <v>1325.8687743999999</v>
      </c>
      <c r="K1423">
        <v>2750</v>
      </c>
      <c r="L1423">
        <v>0</v>
      </c>
      <c r="M1423">
        <v>0</v>
      </c>
      <c r="N1423">
        <v>2750</v>
      </c>
    </row>
    <row r="1424" spans="1:14" x14ac:dyDescent="0.25">
      <c r="A1424">
        <v>731.00109299999997</v>
      </c>
      <c r="B1424" s="1">
        <f>DATE(2012,5,1) + TIME(0,1,34)</f>
        <v>41030.001087962963</v>
      </c>
      <c r="C1424">
        <v>80</v>
      </c>
      <c r="D1424">
        <v>63.110870361000003</v>
      </c>
      <c r="E1424">
        <v>40</v>
      </c>
      <c r="F1424">
        <v>39.98210907</v>
      </c>
      <c r="G1424">
        <v>1338.2551269999999</v>
      </c>
      <c r="H1424">
        <v>1335.309082</v>
      </c>
      <c r="I1424">
        <v>1326.8631591999999</v>
      </c>
      <c r="J1424">
        <v>1324.378418</v>
      </c>
      <c r="K1424">
        <v>2750</v>
      </c>
      <c r="L1424">
        <v>0</v>
      </c>
      <c r="M1424">
        <v>0</v>
      </c>
      <c r="N1424">
        <v>2750</v>
      </c>
    </row>
    <row r="1425" spans="1:14" x14ac:dyDescent="0.25">
      <c r="A1425">
        <v>731.00328000000002</v>
      </c>
      <c r="B1425" s="1">
        <f>DATE(2012,5,1) + TIME(0,4,43)</f>
        <v>41030.003275462965</v>
      </c>
      <c r="C1425">
        <v>80</v>
      </c>
      <c r="D1425">
        <v>63.195663451999998</v>
      </c>
      <c r="E1425">
        <v>40</v>
      </c>
      <c r="F1425">
        <v>39.981773376</v>
      </c>
      <c r="G1425">
        <v>1339.4313964999999</v>
      </c>
      <c r="H1425">
        <v>1336.4458007999999</v>
      </c>
      <c r="I1425">
        <v>1325.6654053</v>
      </c>
      <c r="J1425">
        <v>1323.1610106999999</v>
      </c>
      <c r="K1425">
        <v>2750</v>
      </c>
      <c r="L1425">
        <v>0</v>
      </c>
      <c r="M1425">
        <v>0</v>
      </c>
      <c r="N1425">
        <v>2750</v>
      </c>
    </row>
    <row r="1426" spans="1:14" x14ac:dyDescent="0.25">
      <c r="A1426">
        <v>731.00984100000005</v>
      </c>
      <c r="B1426" s="1">
        <f>DATE(2012,5,1) + TIME(0,14,10)</f>
        <v>41030.009837962964</v>
      </c>
      <c r="C1426">
        <v>80</v>
      </c>
      <c r="D1426">
        <v>63.446964264000002</v>
      </c>
      <c r="E1426">
        <v>40</v>
      </c>
      <c r="F1426">
        <v>39.981124878000003</v>
      </c>
      <c r="G1426">
        <v>1340.0366211</v>
      </c>
      <c r="H1426">
        <v>1337.0485839999999</v>
      </c>
      <c r="I1426">
        <v>1325.0145264</v>
      </c>
      <c r="J1426">
        <v>1322.5021973</v>
      </c>
      <c r="K1426">
        <v>2750</v>
      </c>
      <c r="L1426">
        <v>0</v>
      </c>
      <c r="M1426">
        <v>0</v>
      </c>
      <c r="N1426">
        <v>2750</v>
      </c>
    </row>
    <row r="1427" spans="1:14" x14ac:dyDescent="0.25">
      <c r="A1427">
        <v>731.02615300000002</v>
      </c>
      <c r="B1427" s="1">
        <f>DATE(2012,5,1) + TIME(0,37,39)</f>
        <v>41030.026145833333</v>
      </c>
      <c r="C1427">
        <v>80</v>
      </c>
      <c r="D1427">
        <v>64.048210143999995</v>
      </c>
      <c r="E1427">
        <v>40</v>
      </c>
      <c r="F1427">
        <v>39.979701996000003</v>
      </c>
      <c r="G1427">
        <v>1340.1726074000001</v>
      </c>
      <c r="H1427">
        <v>1337.2128906</v>
      </c>
      <c r="I1427">
        <v>1324.8500977000001</v>
      </c>
      <c r="J1427">
        <v>1322.3360596</v>
      </c>
      <c r="K1427">
        <v>2750</v>
      </c>
      <c r="L1427">
        <v>0</v>
      </c>
      <c r="M1427">
        <v>0</v>
      </c>
      <c r="N1427">
        <v>2750</v>
      </c>
    </row>
    <row r="1428" spans="1:14" x14ac:dyDescent="0.25">
      <c r="A1428">
        <v>731.04280700000004</v>
      </c>
      <c r="B1428" s="1">
        <f>DATE(2012,5,1) + TIME(1,1,38)</f>
        <v>41030.042800925927</v>
      </c>
      <c r="C1428">
        <v>80</v>
      </c>
      <c r="D1428">
        <v>64.641098021999994</v>
      </c>
      <c r="E1428">
        <v>40</v>
      </c>
      <c r="F1428">
        <v>39.978275299000003</v>
      </c>
      <c r="G1428">
        <v>1340.1848144999999</v>
      </c>
      <c r="H1428">
        <v>1337.2410889</v>
      </c>
      <c r="I1428">
        <v>1324.8344727000001</v>
      </c>
      <c r="J1428">
        <v>1322.3203125</v>
      </c>
      <c r="K1428">
        <v>2750</v>
      </c>
      <c r="L1428">
        <v>0</v>
      </c>
      <c r="M1428">
        <v>0</v>
      </c>
      <c r="N1428">
        <v>2750</v>
      </c>
    </row>
    <row r="1429" spans="1:14" x14ac:dyDescent="0.25">
      <c r="A1429">
        <v>731.05980299999999</v>
      </c>
      <c r="B1429" s="1">
        <f>DATE(2012,5,1) + TIME(1,26,6)</f>
        <v>41030.059791666667</v>
      </c>
      <c r="C1429">
        <v>80</v>
      </c>
      <c r="D1429">
        <v>65.225051879999995</v>
      </c>
      <c r="E1429">
        <v>40</v>
      </c>
      <c r="F1429">
        <v>39.976833343999999</v>
      </c>
      <c r="G1429">
        <v>1340.1765137</v>
      </c>
      <c r="H1429">
        <v>1337.2476807</v>
      </c>
      <c r="I1429">
        <v>1324.8339844</v>
      </c>
      <c r="J1429">
        <v>1322.3197021000001</v>
      </c>
      <c r="K1429">
        <v>2750</v>
      </c>
      <c r="L1429">
        <v>0</v>
      </c>
      <c r="M1429">
        <v>0</v>
      </c>
      <c r="N1429">
        <v>2750</v>
      </c>
    </row>
    <row r="1430" spans="1:14" x14ac:dyDescent="0.25">
      <c r="A1430">
        <v>731.07711500000005</v>
      </c>
      <c r="B1430" s="1">
        <f>DATE(2012,5,1) + TIME(1,51,2)</f>
        <v>41030.077106481483</v>
      </c>
      <c r="C1430">
        <v>80</v>
      </c>
      <c r="D1430">
        <v>65.798866271999998</v>
      </c>
      <c r="E1430">
        <v>40</v>
      </c>
      <c r="F1430">
        <v>39.975376128999997</v>
      </c>
      <c r="G1430">
        <v>1340.1672363</v>
      </c>
      <c r="H1430">
        <v>1337.2518310999999</v>
      </c>
      <c r="I1430">
        <v>1324.8344727000001</v>
      </c>
      <c r="J1430">
        <v>1322.3200684000001</v>
      </c>
      <c r="K1430">
        <v>2750</v>
      </c>
      <c r="L1430">
        <v>0</v>
      </c>
      <c r="M1430">
        <v>0</v>
      </c>
      <c r="N1430">
        <v>2750</v>
      </c>
    </row>
    <row r="1431" spans="1:14" x14ac:dyDescent="0.25">
      <c r="A1431">
        <v>731.09475699999996</v>
      </c>
      <c r="B1431" s="1">
        <f>DATE(2012,5,1) + TIME(2,16,26)</f>
        <v>41030.09474537037</v>
      </c>
      <c r="C1431">
        <v>80</v>
      </c>
      <c r="D1431">
        <v>66.362518311000002</v>
      </c>
      <c r="E1431">
        <v>40</v>
      </c>
      <c r="F1431">
        <v>39.973899840999998</v>
      </c>
      <c r="G1431">
        <v>1340.1599120999999</v>
      </c>
      <c r="H1431">
        <v>1337.2567139</v>
      </c>
      <c r="I1431">
        <v>1324.8347168</v>
      </c>
      <c r="J1431">
        <v>1322.3203125</v>
      </c>
      <c r="K1431">
        <v>2750</v>
      </c>
      <c r="L1431">
        <v>0</v>
      </c>
      <c r="M1431">
        <v>0</v>
      </c>
      <c r="N1431">
        <v>2750</v>
      </c>
    </row>
    <row r="1432" spans="1:14" x14ac:dyDescent="0.25">
      <c r="A1432">
        <v>731.11274400000002</v>
      </c>
      <c r="B1432" s="1">
        <f>DATE(2012,5,1) + TIME(2,42,21)</f>
        <v>41030.112743055557</v>
      </c>
      <c r="C1432">
        <v>80</v>
      </c>
      <c r="D1432">
        <v>66.916069031000006</v>
      </c>
      <c r="E1432">
        <v>40</v>
      </c>
      <c r="F1432">
        <v>39.972404480000002</v>
      </c>
      <c r="G1432">
        <v>1340.1549072</v>
      </c>
      <c r="H1432">
        <v>1337.2626952999999</v>
      </c>
      <c r="I1432">
        <v>1324.8349608999999</v>
      </c>
      <c r="J1432">
        <v>1322.3204346</v>
      </c>
      <c r="K1432">
        <v>2750</v>
      </c>
      <c r="L1432">
        <v>0</v>
      </c>
      <c r="M1432">
        <v>0</v>
      </c>
      <c r="N1432">
        <v>2750</v>
      </c>
    </row>
    <row r="1433" spans="1:14" x14ac:dyDescent="0.25">
      <c r="A1433">
        <v>731.13109299999996</v>
      </c>
      <c r="B1433" s="1">
        <f>DATE(2012,5,1) + TIME(3,8,46)</f>
        <v>41030.13108796296</v>
      </c>
      <c r="C1433">
        <v>80</v>
      </c>
      <c r="D1433">
        <v>67.459533691000004</v>
      </c>
      <c r="E1433">
        <v>40</v>
      </c>
      <c r="F1433">
        <v>39.970893859999997</v>
      </c>
      <c r="G1433">
        <v>1340.1524658000001</v>
      </c>
      <c r="H1433">
        <v>1337.2700195</v>
      </c>
      <c r="I1433">
        <v>1324.8350829999999</v>
      </c>
      <c r="J1433">
        <v>1322.3205565999999</v>
      </c>
      <c r="K1433">
        <v>2750</v>
      </c>
      <c r="L1433">
        <v>0</v>
      </c>
      <c r="M1433">
        <v>0</v>
      </c>
      <c r="N1433">
        <v>2750</v>
      </c>
    </row>
    <row r="1434" spans="1:14" x14ac:dyDescent="0.25">
      <c r="A1434">
        <v>731.14981899999998</v>
      </c>
      <c r="B1434" s="1">
        <f>DATE(2012,5,1) + TIME(3,35,44)</f>
        <v>41030.149814814817</v>
      </c>
      <c r="C1434">
        <v>80</v>
      </c>
      <c r="D1434">
        <v>67.992897033999995</v>
      </c>
      <c r="E1434">
        <v>40</v>
      </c>
      <c r="F1434">
        <v>39.969360352000002</v>
      </c>
      <c r="G1434">
        <v>1340.1524658000001</v>
      </c>
      <c r="H1434">
        <v>1337.2785644999999</v>
      </c>
      <c r="I1434">
        <v>1324.8352050999999</v>
      </c>
      <c r="J1434">
        <v>1322.3205565999999</v>
      </c>
      <c r="K1434">
        <v>2750</v>
      </c>
      <c r="L1434">
        <v>0</v>
      </c>
      <c r="M1434">
        <v>0</v>
      </c>
      <c r="N1434">
        <v>2750</v>
      </c>
    </row>
    <row r="1435" spans="1:14" x14ac:dyDescent="0.25">
      <c r="A1435">
        <v>731.16894000000002</v>
      </c>
      <c r="B1435" s="1">
        <f>DATE(2012,5,1) + TIME(4,3,16)</f>
        <v>41030.168935185182</v>
      </c>
      <c r="C1435">
        <v>80</v>
      </c>
      <c r="D1435">
        <v>68.516159058</v>
      </c>
      <c r="E1435">
        <v>40</v>
      </c>
      <c r="F1435">
        <v>39.96780777</v>
      </c>
      <c r="G1435">
        <v>1340.1547852000001</v>
      </c>
      <c r="H1435">
        <v>1337.2884521000001</v>
      </c>
      <c r="I1435">
        <v>1324.8353271000001</v>
      </c>
      <c r="J1435">
        <v>1322.3205565999999</v>
      </c>
      <c r="K1435">
        <v>2750</v>
      </c>
      <c r="L1435">
        <v>0</v>
      </c>
      <c r="M1435">
        <v>0</v>
      </c>
      <c r="N1435">
        <v>2750</v>
      </c>
    </row>
    <row r="1436" spans="1:14" x14ac:dyDescent="0.25">
      <c r="A1436">
        <v>731.18847400000004</v>
      </c>
      <c r="B1436" s="1">
        <f>DATE(2012,5,1) + TIME(4,31,24)</f>
        <v>41030.188472222224</v>
      </c>
      <c r="C1436">
        <v>80</v>
      </c>
      <c r="D1436">
        <v>69.029266356999997</v>
      </c>
      <c r="E1436">
        <v>40</v>
      </c>
      <c r="F1436">
        <v>39.966232300000001</v>
      </c>
      <c r="G1436">
        <v>1340.1593018000001</v>
      </c>
      <c r="H1436">
        <v>1337.2993164</v>
      </c>
      <c r="I1436">
        <v>1324.8354492000001</v>
      </c>
      <c r="J1436">
        <v>1322.3206786999999</v>
      </c>
      <c r="K1436">
        <v>2750</v>
      </c>
      <c r="L1436">
        <v>0</v>
      </c>
      <c r="M1436">
        <v>0</v>
      </c>
      <c r="N1436">
        <v>2750</v>
      </c>
    </row>
    <row r="1437" spans="1:14" x14ac:dyDescent="0.25">
      <c r="A1437">
        <v>731.20844199999999</v>
      </c>
      <c r="B1437" s="1">
        <f>DATE(2012,5,1) + TIME(5,0,9)</f>
        <v>41030.208437499998</v>
      </c>
      <c r="C1437">
        <v>80</v>
      </c>
      <c r="D1437">
        <v>69.532165527000004</v>
      </c>
      <c r="E1437">
        <v>40</v>
      </c>
      <c r="F1437">
        <v>39.964637756000002</v>
      </c>
      <c r="G1437">
        <v>1340.1660156</v>
      </c>
      <c r="H1437">
        <v>1337.3114014</v>
      </c>
      <c r="I1437">
        <v>1324.8354492000001</v>
      </c>
      <c r="J1437">
        <v>1322.3206786999999</v>
      </c>
      <c r="K1437">
        <v>2750</v>
      </c>
      <c r="L1437">
        <v>0</v>
      </c>
      <c r="M1437">
        <v>0</v>
      </c>
      <c r="N1437">
        <v>2750</v>
      </c>
    </row>
    <row r="1438" spans="1:14" x14ac:dyDescent="0.25">
      <c r="A1438">
        <v>731.22886500000004</v>
      </c>
      <c r="B1438" s="1">
        <f>DATE(2012,5,1) + TIME(5,29,33)</f>
        <v>41030.228854166664</v>
      </c>
      <c r="C1438">
        <v>80</v>
      </c>
      <c r="D1438">
        <v>70.024757385000001</v>
      </c>
      <c r="E1438">
        <v>40</v>
      </c>
      <c r="F1438">
        <v>39.963016510000003</v>
      </c>
      <c r="G1438">
        <v>1340.1746826000001</v>
      </c>
      <c r="H1438">
        <v>1337.3245850000001</v>
      </c>
      <c r="I1438">
        <v>1324.8355713000001</v>
      </c>
      <c r="J1438">
        <v>1322.3206786999999</v>
      </c>
      <c r="K1438">
        <v>2750</v>
      </c>
      <c r="L1438">
        <v>0</v>
      </c>
      <c r="M1438">
        <v>0</v>
      </c>
      <c r="N1438">
        <v>2750</v>
      </c>
    </row>
    <row r="1439" spans="1:14" x14ac:dyDescent="0.25">
      <c r="A1439">
        <v>731.24976000000004</v>
      </c>
      <c r="B1439" s="1">
        <f>DATE(2012,5,1) + TIME(5,59,39)</f>
        <v>41030.249756944446</v>
      </c>
      <c r="C1439">
        <v>80</v>
      </c>
      <c r="D1439">
        <v>70.506546021000005</v>
      </c>
      <c r="E1439">
        <v>40</v>
      </c>
      <c r="F1439">
        <v>39.961368561</v>
      </c>
      <c r="G1439">
        <v>1340.1853027</v>
      </c>
      <c r="H1439">
        <v>1337.3387451000001</v>
      </c>
      <c r="I1439">
        <v>1324.8355713000001</v>
      </c>
      <c r="J1439">
        <v>1322.3206786999999</v>
      </c>
      <c r="K1439">
        <v>2750</v>
      </c>
      <c r="L1439">
        <v>0</v>
      </c>
      <c r="M1439">
        <v>0</v>
      </c>
      <c r="N1439">
        <v>2750</v>
      </c>
    </row>
    <row r="1440" spans="1:14" x14ac:dyDescent="0.25">
      <c r="A1440">
        <v>731.27115700000002</v>
      </c>
      <c r="B1440" s="1">
        <f>DATE(2012,5,1) + TIME(6,30,27)</f>
        <v>41030.271145833336</v>
      </c>
      <c r="C1440">
        <v>80</v>
      </c>
      <c r="D1440">
        <v>70.977836608999993</v>
      </c>
      <c r="E1440">
        <v>40</v>
      </c>
      <c r="F1440">
        <v>39.959693909000002</v>
      </c>
      <c r="G1440">
        <v>1340.197876</v>
      </c>
      <c r="H1440">
        <v>1337.3538818</v>
      </c>
      <c r="I1440">
        <v>1324.8356934000001</v>
      </c>
      <c r="J1440">
        <v>1322.3206786999999</v>
      </c>
      <c r="K1440">
        <v>2750</v>
      </c>
      <c r="L1440">
        <v>0</v>
      </c>
      <c r="M1440">
        <v>0</v>
      </c>
      <c r="N1440">
        <v>2750</v>
      </c>
    </row>
    <row r="1441" spans="1:14" x14ac:dyDescent="0.25">
      <c r="A1441">
        <v>731.29308000000003</v>
      </c>
      <c r="B1441" s="1">
        <f>DATE(2012,5,1) + TIME(7,2,2)</f>
        <v>41030.293078703704</v>
      </c>
      <c r="C1441">
        <v>80</v>
      </c>
      <c r="D1441">
        <v>71.438522339000002</v>
      </c>
      <c r="E1441">
        <v>40</v>
      </c>
      <c r="F1441">
        <v>39.957992554</v>
      </c>
      <c r="G1441">
        <v>1340.2121582</v>
      </c>
      <c r="H1441">
        <v>1337.3699951000001</v>
      </c>
      <c r="I1441">
        <v>1324.8356934000001</v>
      </c>
      <c r="J1441">
        <v>1322.3205565999999</v>
      </c>
      <c r="K1441">
        <v>2750</v>
      </c>
      <c r="L1441">
        <v>0</v>
      </c>
      <c r="M1441">
        <v>0</v>
      </c>
      <c r="N1441">
        <v>2750</v>
      </c>
    </row>
    <row r="1442" spans="1:14" x14ac:dyDescent="0.25">
      <c r="A1442">
        <v>731.31555900000001</v>
      </c>
      <c r="B1442" s="1">
        <f>DATE(2012,5,1) + TIME(7,34,24)</f>
        <v>41030.315555555557</v>
      </c>
      <c r="C1442">
        <v>80</v>
      </c>
      <c r="D1442">
        <v>71.888465881000002</v>
      </c>
      <c r="E1442">
        <v>40</v>
      </c>
      <c r="F1442">
        <v>39.956264496000003</v>
      </c>
      <c r="G1442">
        <v>1340.2281493999999</v>
      </c>
      <c r="H1442">
        <v>1337.3869629000001</v>
      </c>
      <c r="I1442">
        <v>1324.8356934000001</v>
      </c>
      <c r="J1442">
        <v>1322.3205565999999</v>
      </c>
      <c r="K1442">
        <v>2750</v>
      </c>
      <c r="L1442">
        <v>0</v>
      </c>
      <c r="M1442">
        <v>0</v>
      </c>
      <c r="N1442">
        <v>2750</v>
      </c>
    </row>
    <row r="1443" spans="1:14" x14ac:dyDescent="0.25">
      <c r="A1443">
        <v>731.33862199999999</v>
      </c>
      <c r="B1443" s="1">
        <f>DATE(2012,5,1) + TIME(8,7,36)</f>
        <v>41030.33861111111</v>
      </c>
      <c r="C1443">
        <v>80</v>
      </c>
      <c r="D1443">
        <v>72.327529906999999</v>
      </c>
      <c r="E1443">
        <v>40</v>
      </c>
      <c r="F1443">
        <v>39.954502106</v>
      </c>
      <c r="G1443">
        <v>1340.2457274999999</v>
      </c>
      <c r="H1443">
        <v>1337.4047852000001</v>
      </c>
      <c r="I1443">
        <v>1324.8356934000001</v>
      </c>
      <c r="J1443">
        <v>1322.3204346</v>
      </c>
      <c r="K1443">
        <v>2750</v>
      </c>
      <c r="L1443">
        <v>0</v>
      </c>
      <c r="M1443">
        <v>0</v>
      </c>
      <c r="N1443">
        <v>2750</v>
      </c>
    </row>
    <row r="1444" spans="1:14" x14ac:dyDescent="0.25">
      <c r="A1444">
        <v>731.362302</v>
      </c>
      <c r="B1444" s="1">
        <f>DATE(2012,5,1) + TIME(8,41,42)</f>
        <v>41030.362291666665</v>
      </c>
      <c r="C1444">
        <v>80</v>
      </c>
      <c r="D1444">
        <v>72.755546570000007</v>
      </c>
      <c r="E1444">
        <v>40</v>
      </c>
      <c r="F1444">
        <v>39.952709198000001</v>
      </c>
      <c r="G1444">
        <v>1340.2648925999999</v>
      </c>
      <c r="H1444">
        <v>1337.4234618999999</v>
      </c>
      <c r="I1444">
        <v>1324.8356934000001</v>
      </c>
      <c r="J1444">
        <v>1322.3204346</v>
      </c>
      <c r="K1444">
        <v>2750</v>
      </c>
      <c r="L1444">
        <v>0</v>
      </c>
      <c r="M1444">
        <v>0</v>
      </c>
      <c r="N1444">
        <v>2750</v>
      </c>
    </row>
    <row r="1445" spans="1:14" x14ac:dyDescent="0.25">
      <c r="A1445">
        <v>731.38663299999996</v>
      </c>
      <c r="B1445" s="1">
        <f>DATE(2012,5,1) + TIME(9,16,45)</f>
        <v>41030.386631944442</v>
      </c>
      <c r="C1445">
        <v>80</v>
      </c>
      <c r="D1445">
        <v>73.172370911000002</v>
      </c>
      <c r="E1445">
        <v>40</v>
      </c>
      <c r="F1445">
        <v>39.950881957999997</v>
      </c>
      <c r="G1445">
        <v>1340.2855225000001</v>
      </c>
      <c r="H1445">
        <v>1337.442749</v>
      </c>
      <c r="I1445">
        <v>1324.8356934000001</v>
      </c>
      <c r="J1445">
        <v>1322.3203125</v>
      </c>
      <c r="K1445">
        <v>2750</v>
      </c>
      <c r="L1445">
        <v>0</v>
      </c>
      <c r="M1445">
        <v>0</v>
      </c>
      <c r="N1445">
        <v>2750</v>
      </c>
    </row>
    <row r="1446" spans="1:14" x14ac:dyDescent="0.25">
      <c r="A1446">
        <v>731.411654</v>
      </c>
      <c r="B1446" s="1">
        <f>DATE(2012,5,1) + TIME(9,52,46)</f>
        <v>41030.411643518521</v>
      </c>
      <c r="C1446">
        <v>80</v>
      </c>
      <c r="D1446">
        <v>73.577827454000001</v>
      </c>
      <c r="E1446">
        <v>40</v>
      </c>
      <c r="F1446">
        <v>39.949016571000001</v>
      </c>
      <c r="G1446">
        <v>1340.3073730000001</v>
      </c>
      <c r="H1446">
        <v>1337.4627685999999</v>
      </c>
      <c r="I1446">
        <v>1324.8356934000001</v>
      </c>
      <c r="J1446">
        <v>1322.3201904</v>
      </c>
      <c r="K1446">
        <v>2750</v>
      </c>
      <c r="L1446">
        <v>0</v>
      </c>
      <c r="M1446">
        <v>0</v>
      </c>
      <c r="N1446">
        <v>2750</v>
      </c>
    </row>
    <row r="1447" spans="1:14" x14ac:dyDescent="0.25">
      <c r="A1447">
        <v>731.43740600000001</v>
      </c>
      <c r="B1447" s="1">
        <f>DATE(2012,5,1) + TIME(10,29,51)</f>
        <v>41030.437395833331</v>
      </c>
      <c r="C1447">
        <v>80</v>
      </c>
      <c r="D1447">
        <v>73.971748352000006</v>
      </c>
      <c r="E1447">
        <v>40</v>
      </c>
      <c r="F1447">
        <v>39.947113037000001</v>
      </c>
      <c r="G1447">
        <v>1340.3306885</v>
      </c>
      <c r="H1447">
        <v>1337.4835204999999</v>
      </c>
      <c r="I1447">
        <v>1324.8356934000001</v>
      </c>
      <c r="J1447">
        <v>1322.3200684000001</v>
      </c>
      <c r="K1447">
        <v>2750</v>
      </c>
      <c r="L1447">
        <v>0</v>
      </c>
      <c r="M1447">
        <v>0</v>
      </c>
      <c r="N1447">
        <v>2750</v>
      </c>
    </row>
    <row r="1448" spans="1:14" x14ac:dyDescent="0.25">
      <c r="A1448">
        <v>731.463932</v>
      </c>
      <c r="B1448" s="1">
        <f>DATE(2012,5,1) + TIME(11,8,3)</f>
        <v>41030.463923611111</v>
      </c>
      <c r="C1448">
        <v>80</v>
      </c>
      <c r="D1448">
        <v>74.353950499999996</v>
      </c>
      <c r="E1448">
        <v>40</v>
      </c>
      <c r="F1448">
        <v>39.945167542</v>
      </c>
      <c r="G1448">
        <v>1340.3551024999999</v>
      </c>
      <c r="H1448">
        <v>1337.5048827999999</v>
      </c>
      <c r="I1448">
        <v>1324.8356934000001</v>
      </c>
      <c r="J1448">
        <v>1322.3199463000001</v>
      </c>
      <c r="K1448">
        <v>2750</v>
      </c>
      <c r="L1448">
        <v>0</v>
      </c>
      <c r="M1448">
        <v>0</v>
      </c>
      <c r="N1448">
        <v>2750</v>
      </c>
    </row>
    <row r="1449" spans="1:14" x14ac:dyDescent="0.25">
      <c r="A1449">
        <v>731.49126699999999</v>
      </c>
      <c r="B1449" s="1">
        <f>DATE(2012,5,1) + TIME(11,47,25)</f>
        <v>41030.491261574076</v>
      </c>
      <c r="C1449">
        <v>80</v>
      </c>
      <c r="D1449">
        <v>74.724075317</v>
      </c>
      <c r="E1449">
        <v>40</v>
      </c>
      <c r="F1449">
        <v>39.943180083999998</v>
      </c>
      <c r="G1449">
        <v>1340.3807373</v>
      </c>
      <c r="H1449">
        <v>1337.5267334</v>
      </c>
      <c r="I1449">
        <v>1324.8356934000001</v>
      </c>
      <c r="J1449">
        <v>1322.3198242000001</v>
      </c>
      <c r="K1449">
        <v>2750</v>
      </c>
      <c r="L1449">
        <v>0</v>
      </c>
      <c r="M1449">
        <v>0</v>
      </c>
      <c r="N1449">
        <v>2750</v>
      </c>
    </row>
    <row r="1450" spans="1:14" x14ac:dyDescent="0.25">
      <c r="A1450">
        <v>731.51941599999998</v>
      </c>
      <c r="B1450" s="1">
        <f>DATE(2012,5,1) + TIME(12,27,57)</f>
        <v>41030.519409722219</v>
      </c>
      <c r="C1450">
        <v>80</v>
      </c>
      <c r="D1450">
        <v>75.081344603999995</v>
      </c>
      <c r="E1450">
        <v>40</v>
      </c>
      <c r="F1450">
        <v>39.941150665000002</v>
      </c>
      <c r="G1450">
        <v>1340.4074707</v>
      </c>
      <c r="H1450">
        <v>1337.5490723</v>
      </c>
      <c r="I1450">
        <v>1324.8355713000001</v>
      </c>
      <c r="J1450">
        <v>1322.3197021000001</v>
      </c>
      <c r="K1450">
        <v>2750</v>
      </c>
      <c r="L1450">
        <v>0</v>
      </c>
      <c r="M1450">
        <v>0</v>
      </c>
      <c r="N1450">
        <v>2750</v>
      </c>
    </row>
    <row r="1451" spans="1:14" x14ac:dyDescent="0.25">
      <c r="A1451">
        <v>731.54842599999995</v>
      </c>
      <c r="B1451" s="1">
        <f>DATE(2012,5,1) + TIME(13,9,43)</f>
        <v>41030.548414351855</v>
      </c>
      <c r="C1451">
        <v>80</v>
      </c>
      <c r="D1451">
        <v>75.425483704000001</v>
      </c>
      <c r="E1451">
        <v>40</v>
      </c>
      <c r="F1451">
        <v>39.939075469999999</v>
      </c>
      <c r="G1451">
        <v>1340.4351807</v>
      </c>
      <c r="H1451">
        <v>1337.5718993999999</v>
      </c>
      <c r="I1451">
        <v>1324.8355713000001</v>
      </c>
      <c r="J1451">
        <v>1322.3195800999999</v>
      </c>
      <c r="K1451">
        <v>2750</v>
      </c>
      <c r="L1451">
        <v>0</v>
      </c>
      <c r="M1451">
        <v>0</v>
      </c>
      <c r="N1451">
        <v>2750</v>
      </c>
    </row>
    <row r="1452" spans="1:14" x14ac:dyDescent="0.25">
      <c r="A1452">
        <v>731.578349</v>
      </c>
      <c r="B1452" s="1">
        <f>DATE(2012,5,1) + TIME(13,52,49)</f>
        <v>41030.578344907408</v>
      </c>
      <c r="C1452">
        <v>80</v>
      </c>
      <c r="D1452">
        <v>75.756538391000007</v>
      </c>
      <c r="E1452">
        <v>40</v>
      </c>
      <c r="F1452">
        <v>39.936954497999999</v>
      </c>
      <c r="G1452">
        <v>1340.4636230000001</v>
      </c>
      <c r="H1452">
        <v>1337.5950928</v>
      </c>
      <c r="I1452">
        <v>1324.8354492000001</v>
      </c>
      <c r="J1452">
        <v>1322.3193358999999</v>
      </c>
      <c r="K1452">
        <v>2750</v>
      </c>
      <c r="L1452">
        <v>0</v>
      </c>
      <c r="M1452">
        <v>0</v>
      </c>
      <c r="N1452">
        <v>2750</v>
      </c>
    </row>
    <row r="1453" spans="1:14" x14ac:dyDescent="0.25">
      <c r="A1453">
        <v>731.609241</v>
      </c>
      <c r="B1453" s="1">
        <f>DATE(2012,5,1) + TIME(14,37,18)</f>
        <v>41030.609236111108</v>
      </c>
      <c r="C1453">
        <v>80</v>
      </c>
      <c r="D1453">
        <v>76.074394225999995</v>
      </c>
      <c r="E1453">
        <v>40</v>
      </c>
      <c r="F1453">
        <v>39.934783936000002</v>
      </c>
      <c r="G1453">
        <v>1340.4927978999999</v>
      </c>
      <c r="H1453">
        <v>1337.6186522999999</v>
      </c>
      <c r="I1453">
        <v>1324.8354492000001</v>
      </c>
      <c r="J1453">
        <v>1322.3192139</v>
      </c>
      <c r="K1453">
        <v>2750</v>
      </c>
      <c r="L1453">
        <v>0</v>
      </c>
      <c r="M1453">
        <v>0</v>
      </c>
      <c r="N1453">
        <v>2750</v>
      </c>
    </row>
    <row r="1454" spans="1:14" x14ac:dyDescent="0.25">
      <c r="A1454">
        <v>731.64116300000001</v>
      </c>
      <c r="B1454" s="1">
        <f>DATE(2012,5,1) + TIME(15,23,16)</f>
        <v>41030.641157407408</v>
      </c>
      <c r="C1454">
        <v>80</v>
      </c>
      <c r="D1454">
        <v>76.378929138000004</v>
      </c>
      <c r="E1454">
        <v>40</v>
      </c>
      <c r="F1454">
        <v>39.932563782000003</v>
      </c>
      <c r="G1454">
        <v>1340.5227050999999</v>
      </c>
      <c r="H1454">
        <v>1337.6423339999999</v>
      </c>
      <c r="I1454">
        <v>1324.8353271000001</v>
      </c>
      <c r="J1454">
        <v>1322.3190918</v>
      </c>
      <c r="K1454">
        <v>2750</v>
      </c>
      <c r="L1454">
        <v>0</v>
      </c>
      <c r="M1454">
        <v>0</v>
      </c>
      <c r="N1454">
        <v>2750</v>
      </c>
    </row>
    <row r="1455" spans="1:14" x14ac:dyDescent="0.25">
      <c r="A1455">
        <v>731.67418299999997</v>
      </c>
      <c r="B1455" s="1">
        <f>DATE(2012,5,1) + TIME(16,10,49)</f>
        <v>41030.674178240741</v>
      </c>
      <c r="C1455">
        <v>80</v>
      </c>
      <c r="D1455">
        <v>76.670082092000001</v>
      </c>
      <c r="E1455">
        <v>40</v>
      </c>
      <c r="F1455">
        <v>39.930282593000001</v>
      </c>
      <c r="G1455">
        <v>1340.5532227000001</v>
      </c>
      <c r="H1455">
        <v>1337.6662598</v>
      </c>
      <c r="I1455">
        <v>1324.8353271000001</v>
      </c>
      <c r="J1455">
        <v>1322.3188477000001</v>
      </c>
      <c r="K1455">
        <v>2750</v>
      </c>
      <c r="L1455">
        <v>0</v>
      </c>
      <c r="M1455">
        <v>0</v>
      </c>
      <c r="N1455">
        <v>2750</v>
      </c>
    </row>
    <row r="1456" spans="1:14" x14ac:dyDescent="0.25">
      <c r="A1456">
        <v>731.70838600000002</v>
      </c>
      <c r="B1456" s="1">
        <f>DATE(2012,5,1) + TIME(17,0,4)</f>
        <v>41030.708379629628</v>
      </c>
      <c r="C1456">
        <v>80</v>
      </c>
      <c r="D1456">
        <v>76.947845459000007</v>
      </c>
      <c r="E1456">
        <v>40</v>
      </c>
      <c r="F1456">
        <v>39.927944183000001</v>
      </c>
      <c r="G1456">
        <v>1340.5842285000001</v>
      </c>
      <c r="H1456">
        <v>1337.6904297000001</v>
      </c>
      <c r="I1456">
        <v>1324.8352050999999</v>
      </c>
      <c r="J1456">
        <v>1322.3186035000001</v>
      </c>
      <c r="K1456">
        <v>2750</v>
      </c>
      <c r="L1456">
        <v>0</v>
      </c>
      <c r="M1456">
        <v>0</v>
      </c>
      <c r="N1456">
        <v>2750</v>
      </c>
    </row>
    <row r="1457" spans="1:14" x14ac:dyDescent="0.25">
      <c r="A1457">
        <v>731.74383899999998</v>
      </c>
      <c r="B1457" s="1">
        <f>DATE(2012,5,1) + TIME(17,51,7)</f>
        <v>41030.743831018517</v>
      </c>
      <c r="C1457">
        <v>80</v>
      </c>
      <c r="D1457">
        <v>77.212059021000002</v>
      </c>
      <c r="E1457">
        <v>40</v>
      </c>
      <c r="F1457">
        <v>39.925540924000003</v>
      </c>
      <c r="G1457">
        <v>1340.6156006000001</v>
      </c>
      <c r="H1457">
        <v>1337.7145995999999</v>
      </c>
      <c r="I1457">
        <v>1324.8350829999999</v>
      </c>
      <c r="J1457">
        <v>1322.3184814000001</v>
      </c>
      <c r="K1457">
        <v>2750</v>
      </c>
      <c r="L1457">
        <v>0</v>
      </c>
      <c r="M1457">
        <v>0</v>
      </c>
      <c r="N1457">
        <v>2750</v>
      </c>
    </row>
    <row r="1458" spans="1:14" x14ac:dyDescent="0.25">
      <c r="A1458">
        <v>731.78062899999998</v>
      </c>
      <c r="B1458" s="1">
        <f>DATE(2012,5,1) + TIME(18,44,6)</f>
        <v>41030.780624999999</v>
      </c>
      <c r="C1458">
        <v>80</v>
      </c>
      <c r="D1458">
        <v>77.462692261000001</v>
      </c>
      <c r="E1458">
        <v>40</v>
      </c>
      <c r="F1458">
        <v>39.923068999999998</v>
      </c>
      <c r="G1458">
        <v>1340.6473389</v>
      </c>
      <c r="H1458">
        <v>1337.7388916</v>
      </c>
      <c r="I1458">
        <v>1324.8349608999999</v>
      </c>
      <c r="J1458">
        <v>1322.3182373</v>
      </c>
      <c r="K1458">
        <v>2750</v>
      </c>
      <c r="L1458">
        <v>0</v>
      </c>
      <c r="M1458">
        <v>0</v>
      </c>
      <c r="N1458">
        <v>2750</v>
      </c>
    </row>
    <row r="1459" spans="1:14" x14ac:dyDescent="0.25">
      <c r="A1459">
        <v>731.81885199999999</v>
      </c>
      <c r="B1459" s="1">
        <f>DATE(2012,5,1) + TIME(19,39,8)</f>
        <v>41030.818842592591</v>
      </c>
      <c r="C1459">
        <v>80</v>
      </c>
      <c r="D1459">
        <v>77.699752808</v>
      </c>
      <c r="E1459">
        <v>40</v>
      </c>
      <c r="F1459">
        <v>39.920524596999996</v>
      </c>
      <c r="G1459">
        <v>1340.6793213000001</v>
      </c>
      <c r="H1459">
        <v>1337.7630615</v>
      </c>
      <c r="I1459">
        <v>1324.8348389</v>
      </c>
      <c r="J1459">
        <v>1322.3179932</v>
      </c>
      <c r="K1459">
        <v>2750</v>
      </c>
      <c r="L1459">
        <v>0</v>
      </c>
      <c r="M1459">
        <v>0</v>
      </c>
      <c r="N1459">
        <v>2750</v>
      </c>
    </row>
    <row r="1460" spans="1:14" x14ac:dyDescent="0.25">
      <c r="A1460">
        <v>731.85861499999999</v>
      </c>
      <c r="B1460" s="1">
        <f>DATE(2012,5,1) + TIME(20,36,24)</f>
        <v>41030.858611111114</v>
      </c>
      <c r="C1460">
        <v>80</v>
      </c>
      <c r="D1460">
        <v>77.923263550000001</v>
      </c>
      <c r="E1460">
        <v>40</v>
      </c>
      <c r="F1460">
        <v>39.917903899999999</v>
      </c>
      <c r="G1460">
        <v>1340.7115478999999</v>
      </c>
      <c r="H1460">
        <v>1337.7873535000001</v>
      </c>
      <c r="I1460">
        <v>1324.8348389</v>
      </c>
      <c r="J1460">
        <v>1322.317749</v>
      </c>
      <c r="K1460">
        <v>2750</v>
      </c>
      <c r="L1460">
        <v>0</v>
      </c>
      <c r="M1460">
        <v>0</v>
      </c>
      <c r="N1460">
        <v>2750</v>
      </c>
    </row>
    <row r="1461" spans="1:14" x14ac:dyDescent="0.25">
      <c r="A1461">
        <v>731.900037</v>
      </c>
      <c r="B1461" s="1">
        <f>DATE(2012,5,1) + TIME(21,36,3)</f>
        <v>41030.900034722225</v>
      </c>
      <c r="C1461">
        <v>80</v>
      </c>
      <c r="D1461">
        <v>78.133285521999994</v>
      </c>
      <c r="E1461">
        <v>40</v>
      </c>
      <c r="F1461">
        <v>39.915195464999996</v>
      </c>
      <c r="G1461">
        <v>1340.7437743999999</v>
      </c>
      <c r="H1461">
        <v>1337.8114014</v>
      </c>
      <c r="I1461">
        <v>1324.8347168</v>
      </c>
      <c r="J1461">
        <v>1322.3175048999999</v>
      </c>
      <c r="K1461">
        <v>2750</v>
      </c>
      <c r="L1461">
        <v>0</v>
      </c>
      <c r="M1461">
        <v>0</v>
      </c>
      <c r="N1461">
        <v>2750</v>
      </c>
    </row>
    <row r="1462" spans="1:14" x14ac:dyDescent="0.25">
      <c r="A1462">
        <v>731.94324800000004</v>
      </c>
      <c r="B1462" s="1">
        <f>DATE(2012,5,1) + TIME(22,38,16)</f>
        <v>41030.943240740744</v>
      </c>
      <c r="C1462">
        <v>80</v>
      </c>
      <c r="D1462">
        <v>78.329925536999994</v>
      </c>
      <c r="E1462">
        <v>40</v>
      </c>
      <c r="F1462">
        <v>39.912403107000003</v>
      </c>
      <c r="G1462">
        <v>1340.776001</v>
      </c>
      <c r="H1462">
        <v>1337.8353271000001</v>
      </c>
      <c r="I1462">
        <v>1324.8345947</v>
      </c>
      <c r="J1462">
        <v>1322.3172606999999</v>
      </c>
      <c r="K1462">
        <v>2750</v>
      </c>
      <c r="L1462">
        <v>0</v>
      </c>
      <c r="M1462">
        <v>0</v>
      </c>
      <c r="N1462">
        <v>2750</v>
      </c>
    </row>
    <row r="1463" spans="1:14" x14ac:dyDescent="0.25">
      <c r="A1463">
        <v>731.98839799999996</v>
      </c>
      <c r="B1463" s="1">
        <f>DATE(2012,5,1) + TIME(23,43,17)</f>
        <v>41030.988391203704</v>
      </c>
      <c r="C1463">
        <v>80</v>
      </c>
      <c r="D1463">
        <v>78.513305664000001</v>
      </c>
      <c r="E1463">
        <v>40</v>
      </c>
      <c r="F1463">
        <v>39.909507751</v>
      </c>
      <c r="G1463">
        <v>1340.8081055</v>
      </c>
      <c r="H1463">
        <v>1337.8590088000001</v>
      </c>
      <c r="I1463">
        <v>1324.8344727000001</v>
      </c>
      <c r="J1463">
        <v>1322.3170166</v>
      </c>
      <c r="K1463">
        <v>2750</v>
      </c>
      <c r="L1463">
        <v>0</v>
      </c>
      <c r="M1463">
        <v>0</v>
      </c>
      <c r="N1463">
        <v>2750</v>
      </c>
    </row>
    <row r="1464" spans="1:14" x14ac:dyDescent="0.25">
      <c r="A1464">
        <v>732.03565200000003</v>
      </c>
      <c r="B1464" s="1">
        <f>DATE(2012,5,2) + TIME(0,51,20)</f>
        <v>41031.03564814815</v>
      </c>
      <c r="C1464">
        <v>80</v>
      </c>
      <c r="D1464">
        <v>78.683616638000004</v>
      </c>
      <c r="E1464">
        <v>40</v>
      </c>
      <c r="F1464">
        <v>39.906513214</v>
      </c>
      <c r="G1464">
        <v>1340.8399658000001</v>
      </c>
      <c r="H1464">
        <v>1337.8824463000001</v>
      </c>
      <c r="I1464">
        <v>1324.8343506000001</v>
      </c>
      <c r="J1464">
        <v>1322.3167725000001</v>
      </c>
      <c r="K1464">
        <v>2750</v>
      </c>
      <c r="L1464">
        <v>0</v>
      </c>
      <c r="M1464">
        <v>0</v>
      </c>
      <c r="N1464">
        <v>2750</v>
      </c>
    </row>
    <row r="1465" spans="1:14" x14ac:dyDescent="0.25">
      <c r="A1465">
        <v>732.08519899999999</v>
      </c>
      <c r="B1465" s="1">
        <f>DATE(2012,5,2) + TIME(2,2,41)</f>
        <v>41031.085196759261</v>
      </c>
      <c r="C1465">
        <v>80</v>
      </c>
      <c r="D1465">
        <v>78.841072083</v>
      </c>
      <c r="E1465">
        <v>40</v>
      </c>
      <c r="F1465">
        <v>39.903400421000001</v>
      </c>
      <c r="G1465">
        <v>1340.8717041</v>
      </c>
      <c r="H1465">
        <v>1337.9056396000001</v>
      </c>
      <c r="I1465">
        <v>1324.8341064000001</v>
      </c>
      <c r="J1465">
        <v>1322.3165283000001</v>
      </c>
      <c r="K1465">
        <v>2750</v>
      </c>
      <c r="L1465">
        <v>0</v>
      </c>
      <c r="M1465">
        <v>0</v>
      </c>
      <c r="N1465">
        <v>2750</v>
      </c>
    </row>
    <row r="1466" spans="1:14" x14ac:dyDescent="0.25">
      <c r="A1466">
        <v>732.13728300000002</v>
      </c>
      <c r="B1466" s="1">
        <f>DATE(2012,5,2) + TIME(3,17,41)</f>
        <v>41031.137280092589</v>
      </c>
      <c r="C1466">
        <v>80</v>
      </c>
      <c r="D1466">
        <v>78.986000060999999</v>
      </c>
      <c r="E1466">
        <v>40</v>
      </c>
      <c r="F1466">
        <v>39.900161742999998</v>
      </c>
      <c r="G1466">
        <v>1340.9029541</v>
      </c>
      <c r="H1466">
        <v>1337.9284668</v>
      </c>
      <c r="I1466">
        <v>1324.8339844</v>
      </c>
      <c r="J1466">
        <v>1322.3162841999999</v>
      </c>
      <c r="K1466">
        <v>2750</v>
      </c>
      <c r="L1466">
        <v>0</v>
      </c>
      <c r="M1466">
        <v>0</v>
      </c>
      <c r="N1466">
        <v>2750</v>
      </c>
    </row>
    <row r="1467" spans="1:14" x14ac:dyDescent="0.25">
      <c r="A1467">
        <v>732.19213500000001</v>
      </c>
      <c r="B1467" s="1">
        <f>DATE(2012,5,2) + TIME(4,36,40)</f>
        <v>41031.192129629628</v>
      </c>
      <c r="C1467">
        <v>80</v>
      </c>
      <c r="D1467">
        <v>79.118644713999998</v>
      </c>
      <c r="E1467">
        <v>40</v>
      </c>
      <c r="F1467">
        <v>39.896789550999998</v>
      </c>
      <c r="G1467">
        <v>1340.9338379000001</v>
      </c>
      <c r="H1467">
        <v>1337.9508057</v>
      </c>
      <c r="I1467">
        <v>1324.8338623</v>
      </c>
      <c r="J1467">
        <v>1322.3160399999999</v>
      </c>
      <c r="K1467">
        <v>2750</v>
      </c>
      <c r="L1467">
        <v>0</v>
      </c>
      <c r="M1467">
        <v>0</v>
      </c>
      <c r="N1467">
        <v>2750</v>
      </c>
    </row>
    <row r="1468" spans="1:14" x14ac:dyDescent="0.25">
      <c r="A1468">
        <v>732.25003000000004</v>
      </c>
      <c r="B1468" s="1">
        <f>DATE(2012,5,2) + TIME(6,0,2)</f>
        <v>41031.250023148146</v>
      </c>
      <c r="C1468">
        <v>80</v>
      </c>
      <c r="D1468">
        <v>79.239341736</v>
      </c>
      <c r="E1468">
        <v>40</v>
      </c>
      <c r="F1468">
        <v>39.893264770999998</v>
      </c>
      <c r="G1468">
        <v>1340.9641113</v>
      </c>
      <c r="H1468">
        <v>1337.9727783000001</v>
      </c>
      <c r="I1468">
        <v>1324.8337402</v>
      </c>
      <c r="J1468">
        <v>1322.3156738</v>
      </c>
      <c r="K1468">
        <v>2750</v>
      </c>
      <c r="L1468">
        <v>0</v>
      </c>
      <c r="M1468">
        <v>0</v>
      </c>
      <c r="N1468">
        <v>2750</v>
      </c>
    </row>
    <row r="1469" spans="1:14" x14ac:dyDescent="0.25">
      <c r="A1469">
        <v>732.31129999999996</v>
      </c>
      <c r="B1469" s="1">
        <f>DATE(2012,5,2) + TIME(7,28,16)</f>
        <v>41031.311296296299</v>
      </c>
      <c r="C1469">
        <v>80</v>
      </c>
      <c r="D1469">
        <v>79.348464965999995</v>
      </c>
      <c r="E1469">
        <v>40</v>
      </c>
      <c r="F1469">
        <v>39.889575958000002</v>
      </c>
      <c r="G1469">
        <v>1340.9938964999999</v>
      </c>
      <c r="H1469">
        <v>1337.9942627</v>
      </c>
      <c r="I1469">
        <v>1324.8334961</v>
      </c>
      <c r="J1469">
        <v>1322.3154297000001</v>
      </c>
      <c r="K1469">
        <v>2750</v>
      </c>
      <c r="L1469">
        <v>0</v>
      </c>
      <c r="M1469">
        <v>0</v>
      </c>
      <c r="N1469">
        <v>2750</v>
      </c>
    </row>
    <row r="1470" spans="1:14" x14ac:dyDescent="0.25">
      <c r="A1470">
        <v>732.37633000000005</v>
      </c>
      <c r="B1470" s="1">
        <f>DATE(2012,5,2) + TIME(9,1,54)</f>
        <v>41031.376319444447</v>
      </c>
      <c r="C1470">
        <v>80</v>
      </c>
      <c r="D1470">
        <v>79.446464539000004</v>
      </c>
      <c r="E1470">
        <v>40</v>
      </c>
      <c r="F1470">
        <v>39.885704040999997</v>
      </c>
      <c r="G1470">
        <v>1341.0229492000001</v>
      </c>
      <c r="H1470">
        <v>1338.0151367000001</v>
      </c>
      <c r="I1470">
        <v>1324.833374</v>
      </c>
      <c r="J1470">
        <v>1322.3150635</v>
      </c>
      <c r="K1470">
        <v>2750</v>
      </c>
      <c r="L1470">
        <v>0</v>
      </c>
      <c r="M1470">
        <v>0</v>
      </c>
      <c r="N1470">
        <v>2750</v>
      </c>
    </row>
    <row r="1471" spans="1:14" x14ac:dyDescent="0.25">
      <c r="A1471">
        <v>732.44199400000002</v>
      </c>
      <c r="B1471" s="1">
        <f>DATE(2012,5,2) + TIME(10,36,28)</f>
        <v>41031.441990740743</v>
      </c>
      <c r="C1471">
        <v>80</v>
      </c>
      <c r="D1471">
        <v>79.529998778999996</v>
      </c>
      <c r="E1471">
        <v>40</v>
      </c>
      <c r="F1471">
        <v>39.881824493000003</v>
      </c>
      <c r="G1471">
        <v>1341.0518798999999</v>
      </c>
      <c r="H1471">
        <v>1338.0357666</v>
      </c>
      <c r="I1471">
        <v>1324.8331298999999</v>
      </c>
      <c r="J1471">
        <v>1322.3148193</v>
      </c>
      <c r="K1471">
        <v>2750</v>
      </c>
      <c r="L1471">
        <v>0</v>
      </c>
      <c r="M1471">
        <v>0</v>
      </c>
      <c r="N1471">
        <v>2750</v>
      </c>
    </row>
    <row r="1472" spans="1:14" x14ac:dyDescent="0.25">
      <c r="A1472">
        <v>732.50855100000001</v>
      </c>
      <c r="B1472" s="1">
        <f>DATE(2012,5,2) + TIME(12,12,18)</f>
        <v>41031.50854166667</v>
      </c>
      <c r="C1472">
        <v>80</v>
      </c>
      <c r="D1472">
        <v>79.601287842000005</v>
      </c>
      <c r="E1472">
        <v>40</v>
      </c>
      <c r="F1472">
        <v>39.877918243000003</v>
      </c>
      <c r="G1472">
        <v>1341.0784911999999</v>
      </c>
      <c r="H1472">
        <v>1338.0546875</v>
      </c>
      <c r="I1472">
        <v>1324.8330077999999</v>
      </c>
      <c r="J1472">
        <v>1322.3144531</v>
      </c>
      <c r="K1472">
        <v>2750</v>
      </c>
      <c r="L1472">
        <v>0</v>
      </c>
      <c r="M1472">
        <v>0</v>
      </c>
      <c r="N1472">
        <v>2750</v>
      </c>
    </row>
    <row r="1473" spans="1:14" x14ac:dyDescent="0.25">
      <c r="A1473">
        <v>732.57620199999997</v>
      </c>
      <c r="B1473" s="1">
        <f>DATE(2012,5,2) + TIME(13,49,43)</f>
        <v>41031.576192129629</v>
      </c>
      <c r="C1473">
        <v>80</v>
      </c>
      <c r="D1473">
        <v>79.662078856999997</v>
      </c>
      <c r="E1473">
        <v>40</v>
      </c>
      <c r="F1473">
        <v>39.873973845999998</v>
      </c>
      <c r="G1473">
        <v>1341.1029053</v>
      </c>
      <c r="H1473">
        <v>1338.0722656</v>
      </c>
      <c r="I1473">
        <v>1324.8327637</v>
      </c>
      <c r="J1473">
        <v>1322.3140868999999</v>
      </c>
      <c r="K1473">
        <v>2750</v>
      </c>
      <c r="L1473">
        <v>0</v>
      </c>
      <c r="M1473">
        <v>0</v>
      </c>
      <c r="N1473">
        <v>2750</v>
      </c>
    </row>
    <row r="1474" spans="1:14" x14ac:dyDescent="0.25">
      <c r="A1474">
        <v>732.64515600000004</v>
      </c>
      <c r="B1474" s="1">
        <f>DATE(2012,5,2) + TIME(15,29,1)</f>
        <v>41031.645150462966</v>
      </c>
      <c r="C1474">
        <v>80</v>
      </c>
      <c r="D1474">
        <v>79.713867187999995</v>
      </c>
      <c r="E1474">
        <v>40</v>
      </c>
      <c r="F1474">
        <v>39.869987488</v>
      </c>
      <c r="G1474">
        <v>1341.1254882999999</v>
      </c>
      <c r="H1474">
        <v>1338.088501</v>
      </c>
      <c r="I1474">
        <v>1324.8326416</v>
      </c>
      <c r="J1474">
        <v>1322.3138428</v>
      </c>
      <c r="K1474">
        <v>2750</v>
      </c>
      <c r="L1474">
        <v>0</v>
      </c>
      <c r="M1474">
        <v>0</v>
      </c>
      <c r="N1474">
        <v>2750</v>
      </c>
    </row>
    <row r="1475" spans="1:14" x14ac:dyDescent="0.25">
      <c r="A1475">
        <v>732.71518600000002</v>
      </c>
      <c r="B1475" s="1">
        <f>DATE(2012,5,2) + TIME(17,9,52)</f>
        <v>41031.715185185189</v>
      </c>
      <c r="C1475">
        <v>80</v>
      </c>
      <c r="D1475">
        <v>79.757705688000001</v>
      </c>
      <c r="E1475">
        <v>40</v>
      </c>
      <c r="F1475">
        <v>39.865962981999999</v>
      </c>
      <c r="G1475">
        <v>1341.1463623</v>
      </c>
      <c r="H1475">
        <v>1338.1033935999999</v>
      </c>
      <c r="I1475">
        <v>1324.8323975000001</v>
      </c>
      <c r="J1475">
        <v>1322.3134766000001</v>
      </c>
      <c r="K1475">
        <v>2750</v>
      </c>
      <c r="L1475">
        <v>0</v>
      </c>
      <c r="M1475">
        <v>0</v>
      </c>
      <c r="N1475">
        <v>2750</v>
      </c>
    </row>
    <row r="1476" spans="1:14" x14ac:dyDescent="0.25">
      <c r="A1476">
        <v>732.78577800000005</v>
      </c>
      <c r="B1476" s="1">
        <f>DATE(2012,5,2) + TIME(18,51,31)</f>
        <v>41031.785775462966</v>
      </c>
      <c r="C1476">
        <v>80</v>
      </c>
      <c r="D1476">
        <v>79.794464110999996</v>
      </c>
      <c r="E1476">
        <v>40</v>
      </c>
      <c r="F1476">
        <v>39.861930846999996</v>
      </c>
      <c r="G1476">
        <v>1341.1655272999999</v>
      </c>
      <c r="H1476">
        <v>1338.1171875</v>
      </c>
      <c r="I1476">
        <v>1324.8322754000001</v>
      </c>
      <c r="J1476">
        <v>1322.3132324000001</v>
      </c>
      <c r="K1476">
        <v>2750</v>
      </c>
      <c r="L1476">
        <v>0</v>
      </c>
      <c r="M1476">
        <v>0</v>
      </c>
      <c r="N1476">
        <v>2750</v>
      </c>
    </row>
    <row r="1477" spans="1:14" x14ac:dyDescent="0.25">
      <c r="A1477">
        <v>732.85709499999996</v>
      </c>
      <c r="B1477" s="1">
        <f>DATE(2012,5,2) + TIME(20,34,13)</f>
        <v>41031.857094907406</v>
      </c>
      <c r="C1477">
        <v>80</v>
      </c>
      <c r="D1477">
        <v>79.825286864999995</v>
      </c>
      <c r="E1477">
        <v>40</v>
      </c>
      <c r="F1477">
        <v>39.857883452999999</v>
      </c>
      <c r="G1477">
        <v>1341.1828613</v>
      </c>
      <c r="H1477">
        <v>1338.1297606999999</v>
      </c>
      <c r="I1477">
        <v>1324.8320312000001</v>
      </c>
      <c r="J1477">
        <v>1322.3128661999999</v>
      </c>
      <c r="K1477">
        <v>2750</v>
      </c>
      <c r="L1477">
        <v>0</v>
      </c>
      <c r="M1477">
        <v>0</v>
      </c>
      <c r="N1477">
        <v>2750</v>
      </c>
    </row>
    <row r="1478" spans="1:14" x14ac:dyDescent="0.25">
      <c r="A1478">
        <v>732.92927699999996</v>
      </c>
      <c r="B1478" s="1">
        <f>DATE(2012,5,2) + TIME(22,18,9)</f>
        <v>41031.929270833331</v>
      </c>
      <c r="C1478">
        <v>80</v>
      </c>
      <c r="D1478">
        <v>79.851127625000004</v>
      </c>
      <c r="E1478">
        <v>40</v>
      </c>
      <c r="F1478">
        <v>39.853809357000003</v>
      </c>
      <c r="G1478">
        <v>1341.1984863</v>
      </c>
      <c r="H1478">
        <v>1338.1412353999999</v>
      </c>
      <c r="I1478">
        <v>1324.8319091999999</v>
      </c>
      <c r="J1478">
        <v>1322.3125</v>
      </c>
      <c r="K1478">
        <v>2750</v>
      </c>
      <c r="L1478">
        <v>0</v>
      </c>
      <c r="M1478">
        <v>0</v>
      </c>
      <c r="N1478">
        <v>2750</v>
      </c>
    </row>
    <row r="1479" spans="1:14" x14ac:dyDescent="0.25">
      <c r="A1479">
        <v>733.002475</v>
      </c>
      <c r="B1479" s="1">
        <f>DATE(2012,5,3) + TIME(0,3,33)</f>
        <v>41032.002465277779</v>
      </c>
      <c r="C1479">
        <v>80</v>
      </c>
      <c r="D1479">
        <v>79.872779846</v>
      </c>
      <c r="E1479">
        <v>40</v>
      </c>
      <c r="F1479">
        <v>39.849700927999997</v>
      </c>
      <c r="G1479">
        <v>1341.2125243999999</v>
      </c>
      <c r="H1479">
        <v>1338.1516113</v>
      </c>
      <c r="I1479">
        <v>1324.8316649999999</v>
      </c>
      <c r="J1479">
        <v>1322.3122559000001</v>
      </c>
      <c r="K1479">
        <v>2750</v>
      </c>
      <c r="L1479">
        <v>0</v>
      </c>
      <c r="M1479">
        <v>0</v>
      </c>
      <c r="N1479">
        <v>2750</v>
      </c>
    </row>
    <row r="1480" spans="1:14" x14ac:dyDescent="0.25">
      <c r="A1480">
        <v>733.07686000000001</v>
      </c>
      <c r="B1480" s="1">
        <f>DATE(2012,5,3) + TIME(1,50,40)</f>
        <v>41032.076851851853</v>
      </c>
      <c r="C1480">
        <v>80</v>
      </c>
      <c r="D1480">
        <v>79.890892029</v>
      </c>
      <c r="E1480">
        <v>40</v>
      </c>
      <c r="F1480">
        <v>39.845550537000001</v>
      </c>
      <c r="G1480">
        <v>1341.2252197</v>
      </c>
      <c r="H1480">
        <v>1338.1611327999999</v>
      </c>
      <c r="I1480">
        <v>1324.8314209</v>
      </c>
      <c r="J1480">
        <v>1322.3118896000001</v>
      </c>
      <c r="K1480">
        <v>2750</v>
      </c>
      <c r="L1480">
        <v>0</v>
      </c>
      <c r="M1480">
        <v>0</v>
      </c>
      <c r="N1480">
        <v>2750</v>
      </c>
    </row>
    <row r="1481" spans="1:14" x14ac:dyDescent="0.25">
      <c r="A1481">
        <v>733.15256599999998</v>
      </c>
      <c r="B1481" s="1">
        <f>DATE(2012,5,3) + TIME(3,39,41)</f>
        <v>41032.152557870373</v>
      </c>
      <c r="C1481">
        <v>80</v>
      </c>
      <c r="D1481">
        <v>79.906036377000007</v>
      </c>
      <c r="E1481">
        <v>40</v>
      </c>
      <c r="F1481">
        <v>39.841354369999998</v>
      </c>
      <c r="G1481">
        <v>1341.2365723</v>
      </c>
      <c r="H1481">
        <v>1338.1696777</v>
      </c>
      <c r="I1481">
        <v>1324.8312988</v>
      </c>
      <c r="J1481">
        <v>1322.3116454999999</v>
      </c>
      <c r="K1481">
        <v>2750</v>
      </c>
      <c r="L1481">
        <v>0</v>
      </c>
      <c r="M1481">
        <v>0</v>
      </c>
      <c r="N1481">
        <v>2750</v>
      </c>
    </row>
    <row r="1482" spans="1:14" x14ac:dyDescent="0.25">
      <c r="A1482">
        <v>733.22975799999995</v>
      </c>
      <c r="B1482" s="1">
        <f>DATE(2012,5,3) + TIME(5,30,51)</f>
        <v>41032.229756944442</v>
      </c>
      <c r="C1482">
        <v>80</v>
      </c>
      <c r="D1482">
        <v>79.918663025000001</v>
      </c>
      <c r="E1482">
        <v>40</v>
      </c>
      <c r="F1482">
        <v>39.837100982999999</v>
      </c>
      <c r="G1482">
        <v>1341.2467041</v>
      </c>
      <c r="H1482">
        <v>1338.1774902</v>
      </c>
      <c r="I1482">
        <v>1324.8310547000001</v>
      </c>
      <c r="J1482">
        <v>1322.3112793</v>
      </c>
      <c r="K1482">
        <v>2750</v>
      </c>
      <c r="L1482">
        <v>0</v>
      </c>
      <c r="M1482">
        <v>0</v>
      </c>
      <c r="N1482">
        <v>2750</v>
      </c>
    </row>
    <row r="1483" spans="1:14" x14ac:dyDescent="0.25">
      <c r="A1483">
        <v>733.30861400000003</v>
      </c>
      <c r="B1483" s="1">
        <f>DATE(2012,5,3) + TIME(7,24,24)</f>
        <v>41032.308611111112</v>
      </c>
      <c r="C1483">
        <v>80</v>
      </c>
      <c r="D1483">
        <v>79.929183960000003</v>
      </c>
      <c r="E1483">
        <v>40</v>
      </c>
      <c r="F1483">
        <v>39.832778931</v>
      </c>
      <c r="G1483">
        <v>1341.2556152</v>
      </c>
      <c r="H1483">
        <v>1338.1844481999999</v>
      </c>
      <c r="I1483">
        <v>1324.8308105000001</v>
      </c>
      <c r="J1483">
        <v>1322.3109131000001</v>
      </c>
      <c r="K1483">
        <v>2750</v>
      </c>
      <c r="L1483">
        <v>0</v>
      </c>
      <c r="M1483">
        <v>0</v>
      </c>
      <c r="N1483">
        <v>2750</v>
      </c>
    </row>
    <row r="1484" spans="1:14" x14ac:dyDescent="0.25">
      <c r="A1484">
        <v>733.38932799999998</v>
      </c>
      <c r="B1484" s="1">
        <f>DATE(2012,5,3) + TIME(9,20,37)</f>
        <v>41032.389317129629</v>
      </c>
      <c r="C1484">
        <v>80</v>
      </c>
      <c r="D1484">
        <v>79.937927246000001</v>
      </c>
      <c r="E1484">
        <v>40</v>
      </c>
      <c r="F1484">
        <v>39.828384399000001</v>
      </c>
      <c r="G1484">
        <v>1341.2634277</v>
      </c>
      <c r="H1484">
        <v>1338.1906738</v>
      </c>
      <c r="I1484">
        <v>1324.8305664</v>
      </c>
      <c r="J1484">
        <v>1322.3106689000001</v>
      </c>
      <c r="K1484">
        <v>2750</v>
      </c>
      <c r="L1484">
        <v>0</v>
      </c>
      <c r="M1484">
        <v>0</v>
      </c>
      <c r="N1484">
        <v>2750</v>
      </c>
    </row>
    <row r="1485" spans="1:14" x14ac:dyDescent="0.25">
      <c r="A1485">
        <v>733.47211600000003</v>
      </c>
      <c r="B1485" s="1">
        <f>DATE(2012,5,3) + TIME(11,19,50)</f>
        <v>41032.47210648148</v>
      </c>
      <c r="C1485">
        <v>80</v>
      </c>
      <c r="D1485">
        <v>79.945175171000002</v>
      </c>
      <c r="E1485">
        <v>40</v>
      </c>
      <c r="F1485">
        <v>39.82390213</v>
      </c>
      <c r="G1485">
        <v>1341.2701416</v>
      </c>
      <c r="H1485">
        <v>1338.1962891000001</v>
      </c>
      <c r="I1485">
        <v>1324.8304443</v>
      </c>
      <c r="J1485">
        <v>1322.3103027</v>
      </c>
      <c r="K1485">
        <v>2750</v>
      </c>
      <c r="L1485">
        <v>0</v>
      </c>
      <c r="M1485">
        <v>0</v>
      </c>
      <c r="N1485">
        <v>2750</v>
      </c>
    </row>
    <row r="1486" spans="1:14" x14ac:dyDescent="0.25">
      <c r="A1486">
        <v>733.55730500000004</v>
      </c>
      <c r="B1486" s="1">
        <f>DATE(2012,5,3) + TIME(13,22,31)</f>
        <v>41032.557303240741</v>
      </c>
      <c r="C1486">
        <v>80</v>
      </c>
      <c r="D1486">
        <v>79.951179503999995</v>
      </c>
      <c r="E1486">
        <v>40</v>
      </c>
      <c r="F1486">
        <v>39.819320679</v>
      </c>
      <c r="G1486">
        <v>1341.276001</v>
      </c>
      <c r="H1486">
        <v>1338.2014160000001</v>
      </c>
      <c r="I1486">
        <v>1324.8302002</v>
      </c>
      <c r="J1486">
        <v>1322.3099365</v>
      </c>
      <c r="K1486">
        <v>2750</v>
      </c>
      <c r="L1486">
        <v>0</v>
      </c>
      <c r="M1486">
        <v>0</v>
      </c>
      <c r="N1486">
        <v>2750</v>
      </c>
    </row>
    <row r="1487" spans="1:14" x14ac:dyDescent="0.25">
      <c r="A1487">
        <v>733.64516400000002</v>
      </c>
      <c r="B1487" s="1">
        <f>DATE(2012,5,3) + TIME(15,29,2)</f>
        <v>41032.645162037035</v>
      </c>
      <c r="C1487">
        <v>80</v>
      </c>
      <c r="D1487">
        <v>79.956130981000001</v>
      </c>
      <c r="E1487">
        <v>40</v>
      </c>
      <c r="F1487">
        <v>39.814628601000003</v>
      </c>
      <c r="G1487">
        <v>1341.2810059000001</v>
      </c>
      <c r="H1487">
        <v>1338.2058105000001</v>
      </c>
      <c r="I1487">
        <v>1324.8299560999999</v>
      </c>
      <c r="J1487">
        <v>1322.3095702999999</v>
      </c>
      <c r="K1487">
        <v>2750</v>
      </c>
      <c r="L1487">
        <v>0</v>
      </c>
      <c r="M1487">
        <v>0</v>
      </c>
      <c r="N1487">
        <v>2750</v>
      </c>
    </row>
    <row r="1488" spans="1:14" x14ac:dyDescent="0.25">
      <c r="A1488">
        <v>733.735996</v>
      </c>
      <c r="B1488" s="1">
        <f>DATE(2012,5,3) + TIME(17,39,50)</f>
        <v>41032.735995370371</v>
      </c>
      <c r="C1488">
        <v>80</v>
      </c>
      <c r="D1488">
        <v>79.960197449000006</v>
      </c>
      <c r="E1488">
        <v>40</v>
      </c>
      <c r="F1488">
        <v>39.809803008999999</v>
      </c>
      <c r="G1488">
        <v>1341.2850341999999</v>
      </c>
      <c r="H1488">
        <v>1338.2098389</v>
      </c>
      <c r="I1488">
        <v>1324.8297118999999</v>
      </c>
      <c r="J1488">
        <v>1322.3092041</v>
      </c>
      <c r="K1488">
        <v>2750</v>
      </c>
      <c r="L1488">
        <v>0</v>
      </c>
      <c r="M1488">
        <v>0</v>
      </c>
      <c r="N1488">
        <v>2750</v>
      </c>
    </row>
    <row r="1489" spans="1:14" x14ac:dyDescent="0.25">
      <c r="A1489">
        <v>733.83002099999999</v>
      </c>
      <c r="B1489" s="1">
        <f>DATE(2012,5,3) + TIME(19,55,13)</f>
        <v>41032.830011574071</v>
      </c>
      <c r="C1489">
        <v>80</v>
      </c>
      <c r="D1489">
        <v>79.963531493999994</v>
      </c>
      <c r="E1489">
        <v>40</v>
      </c>
      <c r="F1489">
        <v>39.804843902999998</v>
      </c>
      <c r="G1489">
        <v>1341.2882079999999</v>
      </c>
      <c r="H1489">
        <v>1338.2131348</v>
      </c>
      <c r="I1489">
        <v>1324.8294678</v>
      </c>
      <c r="J1489">
        <v>1322.3088379000001</v>
      </c>
      <c r="K1489">
        <v>2750</v>
      </c>
      <c r="L1489">
        <v>0</v>
      </c>
      <c r="M1489">
        <v>0</v>
      </c>
      <c r="N1489">
        <v>2750</v>
      </c>
    </row>
    <row r="1490" spans="1:14" x14ac:dyDescent="0.25">
      <c r="A1490">
        <v>733.92580899999996</v>
      </c>
      <c r="B1490" s="1">
        <f>DATE(2012,5,3) + TIME(22,13,9)</f>
        <v>41032.925798611112</v>
      </c>
      <c r="C1490">
        <v>80</v>
      </c>
      <c r="D1490">
        <v>79.966209411999998</v>
      </c>
      <c r="E1490">
        <v>40</v>
      </c>
      <c r="F1490">
        <v>39.799816131999997</v>
      </c>
      <c r="G1490">
        <v>1341.2906493999999</v>
      </c>
      <c r="H1490">
        <v>1338.2159423999999</v>
      </c>
      <c r="I1490">
        <v>1324.8292236</v>
      </c>
      <c r="J1490">
        <v>1322.3084716999999</v>
      </c>
      <c r="K1490">
        <v>2750</v>
      </c>
      <c r="L1490">
        <v>0</v>
      </c>
      <c r="M1490">
        <v>0</v>
      </c>
      <c r="N1490">
        <v>2750</v>
      </c>
    </row>
    <row r="1491" spans="1:14" x14ac:dyDescent="0.25">
      <c r="A1491">
        <v>734.023597</v>
      </c>
      <c r="B1491" s="1">
        <f>DATE(2012,5,4) + TIME(0,33,58)</f>
        <v>41033.023587962962</v>
      </c>
      <c r="C1491">
        <v>80</v>
      </c>
      <c r="D1491">
        <v>79.968353270999998</v>
      </c>
      <c r="E1491">
        <v>40</v>
      </c>
      <c r="F1491">
        <v>39.794708252</v>
      </c>
      <c r="G1491">
        <v>1341.2921143000001</v>
      </c>
      <c r="H1491">
        <v>1338.2183838000001</v>
      </c>
      <c r="I1491">
        <v>1324.8288574000001</v>
      </c>
      <c r="J1491">
        <v>1322.3081055</v>
      </c>
      <c r="K1491">
        <v>2750</v>
      </c>
      <c r="L1491">
        <v>0</v>
      </c>
      <c r="M1491">
        <v>0</v>
      </c>
      <c r="N1491">
        <v>2750</v>
      </c>
    </row>
    <row r="1492" spans="1:14" x14ac:dyDescent="0.25">
      <c r="A1492">
        <v>734.12355000000002</v>
      </c>
      <c r="B1492" s="1">
        <f>DATE(2012,5,4) + TIME(2,57,54)</f>
        <v>41033.123541666668</v>
      </c>
      <c r="C1492">
        <v>80</v>
      </c>
      <c r="D1492">
        <v>79.970077515</v>
      </c>
      <c r="E1492">
        <v>40</v>
      </c>
      <c r="F1492">
        <v>39.789512633999998</v>
      </c>
      <c r="G1492">
        <v>1341.2913818</v>
      </c>
      <c r="H1492">
        <v>1338.2192382999999</v>
      </c>
      <c r="I1492">
        <v>1324.8286132999999</v>
      </c>
      <c r="J1492">
        <v>1322.3077393000001</v>
      </c>
      <c r="K1492">
        <v>2750</v>
      </c>
      <c r="L1492">
        <v>0</v>
      </c>
      <c r="M1492">
        <v>0</v>
      </c>
      <c r="N1492">
        <v>2750</v>
      </c>
    </row>
    <row r="1493" spans="1:14" x14ac:dyDescent="0.25">
      <c r="A1493">
        <v>734.22592099999997</v>
      </c>
      <c r="B1493" s="1">
        <f>DATE(2012,5,4) + TIME(5,25,19)</f>
        <v>41033.225914351853</v>
      </c>
      <c r="C1493">
        <v>80</v>
      </c>
      <c r="D1493">
        <v>79.971450806000007</v>
      </c>
      <c r="E1493">
        <v>40</v>
      </c>
      <c r="F1493">
        <v>39.784217834000003</v>
      </c>
      <c r="G1493">
        <v>1341.2899170000001</v>
      </c>
      <c r="H1493">
        <v>1338.2196045000001</v>
      </c>
      <c r="I1493">
        <v>1324.8283690999999</v>
      </c>
      <c r="J1493">
        <v>1322.3073730000001</v>
      </c>
      <c r="K1493">
        <v>2750</v>
      </c>
      <c r="L1493">
        <v>0</v>
      </c>
      <c r="M1493">
        <v>0</v>
      </c>
      <c r="N1493">
        <v>2750</v>
      </c>
    </row>
    <row r="1494" spans="1:14" x14ac:dyDescent="0.25">
      <c r="A1494">
        <v>734.33093399999996</v>
      </c>
      <c r="B1494" s="1">
        <f>DATE(2012,5,4) + TIME(7,56,32)</f>
        <v>41033.330925925926</v>
      </c>
      <c r="C1494">
        <v>80</v>
      </c>
      <c r="D1494">
        <v>79.972549438000001</v>
      </c>
      <c r="E1494">
        <v>40</v>
      </c>
      <c r="F1494">
        <v>39.778816223</v>
      </c>
      <c r="G1494">
        <v>1341.2878418</v>
      </c>
      <c r="H1494">
        <v>1338.2196045000001</v>
      </c>
      <c r="I1494">
        <v>1324.828125</v>
      </c>
      <c r="J1494">
        <v>1322.3070068</v>
      </c>
      <c r="K1494">
        <v>2750</v>
      </c>
      <c r="L1494">
        <v>0</v>
      </c>
      <c r="M1494">
        <v>0</v>
      </c>
      <c r="N1494">
        <v>2750</v>
      </c>
    </row>
    <row r="1495" spans="1:14" x14ac:dyDescent="0.25">
      <c r="A1495">
        <v>734.43883200000005</v>
      </c>
      <c r="B1495" s="1">
        <f>DATE(2012,5,4) + TIME(10,31,55)</f>
        <v>41033.438831018517</v>
      </c>
      <c r="C1495">
        <v>80</v>
      </c>
      <c r="D1495">
        <v>79.973419188999998</v>
      </c>
      <c r="E1495">
        <v>40</v>
      </c>
      <c r="F1495">
        <v>39.773292542</v>
      </c>
      <c r="G1495">
        <v>1341.2852783000001</v>
      </c>
      <c r="H1495">
        <v>1338.2193603999999</v>
      </c>
      <c r="I1495">
        <v>1324.8277588000001</v>
      </c>
      <c r="J1495">
        <v>1322.3065185999999</v>
      </c>
      <c r="K1495">
        <v>2750</v>
      </c>
      <c r="L1495">
        <v>0</v>
      </c>
      <c r="M1495">
        <v>0</v>
      </c>
      <c r="N1495">
        <v>2750</v>
      </c>
    </row>
    <row r="1496" spans="1:14" x14ac:dyDescent="0.25">
      <c r="A1496">
        <v>734.54988800000001</v>
      </c>
      <c r="B1496" s="1">
        <f>DATE(2012,5,4) + TIME(13,11,50)</f>
        <v>41033.549884259257</v>
      </c>
      <c r="C1496">
        <v>80</v>
      </c>
      <c r="D1496">
        <v>79.974113463999998</v>
      </c>
      <c r="E1496">
        <v>40</v>
      </c>
      <c r="F1496">
        <v>39.767639160000002</v>
      </c>
      <c r="G1496">
        <v>1341.2822266000001</v>
      </c>
      <c r="H1496">
        <v>1338.2188721</v>
      </c>
      <c r="I1496">
        <v>1324.8275146000001</v>
      </c>
      <c r="J1496">
        <v>1322.3061522999999</v>
      </c>
      <c r="K1496">
        <v>2750</v>
      </c>
      <c r="L1496">
        <v>0</v>
      </c>
      <c r="M1496">
        <v>0</v>
      </c>
      <c r="N1496">
        <v>2750</v>
      </c>
    </row>
    <row r="1497" spans="1:14" x14ac:dyDescent="0.25">
      <c r="A1497">
        <v>734.6644</v>
      </c>
      <c r="B1497" s="1">
        <f>DATE(2012,5,4) + TIME(15,56,44)</f>
        <v>41033.664398148147</v>
      </c>
      <c r="C1497">
        <v>80</v>
      </c>
      <c r="D1497">
        <v>79.974662781000006</v>
      </c>
      <c r="E1497">
        <v>40</v>
      </c>
      <c r="F1497">
        <v>39.761844635000003</v>
      </c>
      <c r="G1497">
        <v>1341.2786865</v>
      </c>
      <c r="H1497">
        <v>1338.2181396000001</v>
      </c>
      <c r="I1497">
        <v>1324.8272704999999</v>
      </c>
      <c r="J1497">
        <v>1322.3057861</v>
      </c>
      <c r="K1497">
        <v>2750</v>
      </c>
      <c r="L1497">
        <v>0</v>
      </c>
      <c r="M1497">
        <v>0</v>
      </c>
      <c r="N1497">
        <v>2750</v>
      </c>
    </row>
    <row r="1498" spans="1:14" x14ac:dyDescent="0.25">
      <c r="A1498">
        <v>734.78270299999997</v>
      </c>
      <c r="B1498" s="1">
        <f>DATE(2012,5,4) + TIME(18,47,5)</f>
        <v>41033.782696759263</v>
      </c>
      <c r="C1498">
        <v>80</v>
      </c>
      <c r="D1498">
        <v>79.975097656000003</v>
      </c>
      <c r="E1498">
        <v>40</v>
      </c>
      <c r="F1498">
        <v>39.755893706999998</v>
      </c>
      <c r="G1498">
        <v>1341.2746582</v>
      </c>
      <c r="H1498">
        <v>1338.2170410000001</v>
      </c>
      <c r="I1498">
        <v>1324.8269043</v>
      </c>
      <c r="J1498">
        <v>1322.3052978999999</v>
      </c>
      <c r="K1498">
        <v>2750</v>
      </c>
      <c r="L1498">
        <v>0</v>
      </c>
      <c r="M1498">
        <v>0</v>
      </c>
      <c r="N1498">
        <v>2750</v>
      </c>
    </row>
    <row r="1499" spans="1:14" x14ac:dyDescent="0.25">
      <c r="A1499">
        <v>734.90533300000004</v>
      </c>
      <c r="B1499" s="1">
        <f>DATE(2012,5,4) + TIME(21,43,40)</f>
        <v>41033.905324074076</v>
      </c>
      <c r="C1499">
        <v>80</v>
      </c>
      <c r="D1499">
        <v>79.975440978999998</v>
      </c>
      <c r="E1499">
        <v>40</v>
      </c>
      <c r="F1499">
        <v>39.749763489000003</v>
      </c>
      <c r="G1499">
        <v>1341.2702637</v>
      </c>
      <c r="H1499">
        <v>1338.2156981999999</v>
      </c>
      <c r="I1499">
        <v>1324.8265381000001</v>
      </c>
      <c r="J1499">
        <v>1322.3048096</v>
      </c>
      <c r="K1499">
        <v>2750</v>
      </c>
      <c r="L1499">
        <v>0</v>
      </c>
      <c r="M1499">
        <v>0</v>
      </c>
      <c r="N1499">
        <v>2750</v>
      </c>
    </row>
    <row r="1500" spans="1:14" x14ac:dyDescent="0.25">
      <c r="A1500">
        <v>735.03251299999999</v>
      </c>
      <c r="B1500" s="1">
        <f>DATE(2012,5,5) + TIME(0,46,49)</f>
        <v>41034.032511574071</v>
      </c>
      <c r="C1500">
        <v>80</v>
      </c>
      <c r="D1500">
        <v>79.975715636999993</v>
      </c>
      <c r="E1500">
        <v>40</v>
      </c>
      <c r="F1500">
        <v>39.743442535</v>
      </c>
      <c r="G1500">
        <v>1341.2652588000001</v>
      </c>
      <c r="H1500">
        <v>1338.2142334</v>
      </c>
      <c r="I1500">
        <v>1324.8262939000001</v>
      </c>
      <c r="J1500">
        <v>1322.3043213000001</v>
      </c>
      <c r="K1500">
        <v>2750</v>
      </c>
      <c r="L1500">
        <v>0</v>
      </c>
      <c r="M1500">
        <v>0</v>
      </c>
      <c r="N1500">
        <v>2750</v>
      </c>
    </row>
    <row r="1501" spans="1:14" x14ac:dyDescent="0.25">
      <c r="A1501">
        <v>735.16317800000002</v>
      </c>
      <c r="B1501" s="1">
        <f>DATE(2012,5,5) + TIME(3,54,58)</f>
        <v>41034.163171296299</v>
      </c>
      <c r="C1501">
        <v>80</v>
      </c>
      <c r="D1501">
        <v>79.975921631000006</v>
      </c>
      <c r="E1501">
        <v>40</v>
      </c>
      <c r="F1501">
        <v>39.736980438000003</v>
      </c>
      <c r="G1501">
        <v>1341.2600098</v>
      </c>
      <c r="H1501">
        <v>1338.2124022999999</v>
      </c>
      <c r="I1501">
        <v>1324.8259277</v>
      </c>
      <c r="J1501">
        <v>1322.3039550999999</v>
      </c>
      <c r="K1501">
        <v>2750</v>
      </c>
      <c r="L1501">
        <v>0</v>
      </c>
      <c r="M1501">
        <v>0</v>
      </c>
      <c r="N1501">
        <v>2750</v>
      </c>
    </row>
    <row r="1502" spans="1:14" x14ac:dyDescent="0.25">
      <c r="A1502">
        <v>735.29771700000003</v>
      </c>
      <c r="B1502" s="1">
        <f>DATE(2012,5,5) + TIME(7,8,42)</f>
        <v>41034.297708333332</v>
      </c>
      <c r="C1502">
        <v>80</v>
      </c>
      <c r="D1502">
        <v>79.976081848000007</v>
      </c>
      <c r="E1502">
        <v>40</v>
      </c>
      <c r="F1502">
        <v>39.730361938000001</v>
      </c>
      <c r="G1502">
        <v>1341.2542725000001</v>
      </c>
      <c r="H1502">
        <v>1338.2104492000001</v>
      </c>
      <c r="I1502">
        <v>1324.8255615</v>
      </c>
      <c r="J1502">
        <v>1322.3033447</v>
      </c>
      <c r="K1502">
        <v>2750</v>
      </c>
      <c r="L1502">
        <v>0</v>
      </c>
      <c r="M1502">
        <v>0</v>
      </c>
      <c r="N1502">
        <v>2750</v>
      </c>
    </row>
    <row r="1503" spans="1:14" x14ac:dyDescent="0.25">
      <c r="A1503">
        <v>735.43388300000004</v>
      </c>
      <c r="B1503" s="1">
        <f>DATE(2012,5,5) + TIME(10,24,47)</f>
        <v>41034.433877314812</v>
      </c>
      <c r="C1503">
        <v>80</v>
      </c>
      <c r="D1503">
        <v>79.976196289000001</v>
      </c>
      <c r="E1503">
        <v>40</v>
      </c>
      <c r="F1503">
        <v>39.723674774000003</v>
      </c>
      <c r="G1503">
        <v>1341.2480469</v>
      </c>
      <c r="H1503">
        <v>1338.2082519999999</v>
      </c>
      <c r="I1503">
        <v>1324.8251952999999</v>
      </c>
      <c r="J1503">
        <v>1322.3028564000001</v>
      </c>
      <c r="K1503">
        <v>2750</v>
      </c>
      <c r="L1503">
        <v>0</v>
      </c>
      <c r="M1503">
        <v>0</v>
      </c>
      <c r="N1503">
        <v>2750</v>
      </c>
    </row>
    <row r="1504" spans="1:14" x14ac:dyDescent="0.25">
      <c r="A1504">
        <v>735.57124599999997</v>
      </c>
      <c r="B1504" s="1">
        <f>DATE(2012,5,5) + TIME(13,42,35)</f>
        <v>41034.571238425924</v>
      </c>
      <c r="C1504">
        <v>80</v>
      </c>
      <c r="D1504">
        <v>79.976287842000005</v>
      </c>
      <c r="E1504">
        <v>40</v>
      </c>
      <c r="F1504">
        <v>39.716949462999999</v>
      </c>
      <c r="G1504">
        <v>1341.2416992000001</v>
      </c>
      <c r="H1504">
        <v>1338.2059326000001</v>
      </c>
      <c r="I1504">
        <v>1324.8248291</v>
      </c>
      <c r="J1504">
        <v>1322.3023682</v>
      </c>
      <c r="K1504">
        <v>2750</v>
      </c>
      <c r="L1504">
        <v>0</v>
      </c>
      <c r="M1504">
        <v>0</v>
      </c>
      <c r="N1504">
        <v>2750</v>
      </c>
    </row>
    <row r="1505" spans="1:14" x14ac:dyDescent="0.25">
      <c r="A1505">
        <v>735.71013100000005</v>
      </c>
      <c r="B1505" s="1">
        <f>DATE(2012,5,5) + TIME(17,2,35)</f>
        <v>41034.710127314815</v>
      </c>
      <c r="C1505">
        <v>80</v>
      </c>
      <c r="D1505">
        <v>79.976348877000007</v>
      </c>
      <c r="E1505">
        <v>40</v>
      </c>
      <c r="F1505">
        <v>39.710166931000003</v>
      </c>
      <c r="G1505">
        <v>1341.2352295000001</v>
      </c>
      <c r="H1505">
        <v>1338.2034911999999</v>
      </c>
      <c r="I1505">
        <v>1324.8243408000001</v>
      </c>
      <c r="J1505">
        <v>1322.3018798999999</v>
      </c>
      <c r="K1505">
        <v>2750</v>
      </c>
      <c r="L1505">
        <v>0</v>
      </c>
      <c r="M1505">
        <v>0</v>
      </c>
      <c r="N1505">
        <v>2750</v>
      </c>
    </row>
    <row r="1506" spans="1:14" x14ac:dyDescent="0.25">
      <c r="A1506">
        <v>735.85083499999996</v>
      </c>
      <c r="B1506" s="1">
        <f>DATE(2012,5,5) + TIME(20,25,12)</f>
        <v>41034.85083333333</v>
      </c>
      <c r="C1506">
        <v>80</v>
      </c>
      <c r="D1506">
        <v>79.976402282999999</v>
      </c>
      <c r="E1506">
        <v>40</v>
      </c>
      <c r="F1506">
        <v>39.703315734999997</v>
      </c>
      <c r="G1506">
        <v>1341.2285156</v>
      </c>
      <c r="H1506">
        <v>1338.2009277</v>
      </c>
      <c r="I1506">
        <v>1324.8239745999999</v>
      </c>
      <c r="J1506">
        <v>1322.3012695</v>
      </c>
      <c r="K1506">
        <v>2750</v>
      </c>
      <c r="L1506">
        <v>0</v>
      </c>
      <c r="M1506">
        <v>0</v>
      </c>
      <c r="N1506">
        <v>2750</v>
      </c>
    </row>
    <row r="1507" spans="1:14" x14ac:dyDescent="0.25">
      <c r="A1507">
        <v>735.99368900000002</v>
      </c>
      <c r="B1507" s="1">
        <f>DATE(2012,5,5) + TIME(23,50,54)</f>
        <v>41034.993680555555</v>
      </c>
      <c r="C1507">
        <v>80</v>
      </c>
      <c r="D1507">
        <v>79.976432799999998</v>
      </c>
      <c r="E1507">
        <v>40</v>
      </c>
      <c r="F1507">
        <v>39.696392058999997</v>
      </c>
      <c r="G1507">
        <v>1341.2215576000001</v>
      </c>
      <c r="H1507">
        <v>1338.1982422000001</v>
      </c>
      <c r="I1507">
        <v>1324.8236084</v>
      </c>
      <c r="J1507">
        <v>1322.3007812000001</v>
      </c>
      <c r="K1507">
        <v>2750</v>
      </c>
      <c r="L1507">
        <v>0</v>
      </c>
      <c r="M1507">
        <v>0</v>
      </c>
      <c r="N1507">
        <v>2750</v>
      </c>
    </row>
    <row r="1508" spans="1:14" x14ac:dyDescent="0.25">
      <c r="A1508">
        <v>736.13903800000003</v>
      </c>
      <c r="B1508" s="1">
        <f>DATE(2012,5,6) + TIME(3,20,12)</f>
        <v>41035.139027777775</v>
      </c>
      <c r="C1508">
        <v>80</v>
      </c>
      <c r="D1508">
        <v>79.976448059000006</v>
      </c>
      <c r="E1508">
        <v>40</v>
      </c>
      <c r="F1508">
        <v>39.689376830999997</v>
      </c>
      <c r="G1508">
        <v>1341.2145995999999</v>
      </c>
      <c r="H1508">
        <v>1338.1955565999999</v>
      </c>
      <c r="I1508">
        <v>1324.8232422000001</v>
      </c>
      <c r="J1508">
        <v>1322.300293</v>
      </c>
      <c r="K1508">
        <v>2750</v>
      </c>
      <c r="L1508">
        <v>0</v>
      </c>
      <c r="M1508">
        <v>0</v>
      </c>
      <c r="N1508">
        <v>2750</v>
      </c>
    </row>
    <row r="1509" spans="1:14" x14ac:dyDescent="0.25">
      <c r="A1509">
        <v>736.28724599999998</v>
      </c>
      <c r="B1509" s="1">
        <f>DATE(2012,5,6) + TIME(6,53,38)</f>
        <v>41035.287245370368</v>
      </c>
      <c r="C1509">
        <v>80</v>
      </c>
      <c r="D1509">
        <v>79.976463318</v>
      </c>
      <c r="E1509">
        <v>40</v>
      </c>
      <c r="F1509">
        <v>39.682254790999998</v>
      </c>
      <c r="G1509">
        <v>1341.2073975000001</v>
      </c>
      <c r="H1509">
        <v>1338.192749</v>
      </c>
      <c r="I1509">
        <v>1324.8227539</v>
      </c>
      <c r="J1509">
        <v>1322.2996826000001</v>
      </c>
      <c r="K1509">
        <v>2750</v>
      </c>
      <c r="L1509">
        <v>0</v>
      </c>
      <c r="M1509">
        <v>0</v>
      </c>
      <c r="N1509">
        <v>2750</v>
      </c>
    </row>
    <row r="1510" spans="1:14" x14ac:dyDescent="0.25">
      <c r="A1510">
        <v>736.43869800000004</v>
      </c>
      <c r="B1510" s="1">
        <f>DATE(2012,5,6) + TIME(10,31,43)</f>
        <v>41035.438692129632</v>
      </c>
      <c r="C1510">
        <v>80</v>
      </c>
      <c r="D1510">
        <v>79.976463318</v>
      </c>
      <c r="E1510">
        <v>40</v>
      </c>
      <c r="F1510">
        <v>39.675018311000002</v>
      </c>
      <c r="G1510">
        <v>1341.1999512</v>
      </c>
      <c r="H1510">
        <v>1338.1898193</v>
      </c>
      <c r="I1510">
        <v>1324.8223877</v>
      </c>
      <c r="J1510">
        <v>1322.2990723</v>
      </c>
      <c r="K1510">
        <v>2750</v>
      </c>
      <c r="L1510">
        <v>0</v>
      </c>
      <c r="M1510">
        <v>0</v>
      </c>
      <c r="N1510">
        <v>2750</v>
      </c>
    </row>
    <row r="1511" spans="1:14" x14ac:dyDescent="0.25">
      <c r="A1511">
        <v>736.59422199999995</v>
      </c>
      <c r="B1511" s="1">
        <f>DATE(2012,5,6) + TIME(14,15,40)</f>
        <v>41035.594212962962</v>
      </c>
      <c r="C1511">
        <v>80</v>
      </c>
      <c r="D1511">
        <v>79.976463318</v>
      </c>
      <c r="E1511">
        <v>40</v>
      </c>
      <c r="F1511">
        <v>39.667625426999997</v>
      </c>
      <c r="G1511">
        <v>1341.1925048999999</v>
      </c>
      <c r="H1511">
        <v>1338.1867675999999</v>
      </c>
      <c r="I1511">
        <v>1324.8218993999999</v>
      </c>
      <c r="J1511">
        <v>1322.2985839999999</v>
      </c>
      <c r="K1511">
        <v>2750</v>
      </c>
      <c r="L1511">
        <v>0</v>
      </c>
      <c r="M1511">
        <v>0</v>
      </c>
      <c r="N1511">
        <v>2750</v>
      </c>
    </row>
    <row r="1512" spans="1:14" x14ac:dyDescent="0.25">
      <c r="A1512">
        <v>736.75319500000001</v>
      </c>
      <c r="B1512" s="1">
        <f>DATE(2012,5,6) + TIME(18,4,36)</f>
        <v>41035.753194444442</v>
      </c>
      <c r="C1512">
        <v>80</v>
      </c>
      <c r="D1512">
        <v>79.976448059000006</v>
      </c>
      <c r="E1512">
        <v>40</v>
      </c>
      <c r="F1512">
        <v>39.660110474</v>
      </c>
      <c r="G1512">
        <v>1341.1848144999999</v>
      </c>
      <c r="H1512">
        <v>1338.1837158000001</v>
      </c>
      <c r="I1512">
        <v>1324.8215332</v>
      </c>
      <c r="J1512">
        <v>1322.2979736</v>
      </c>
      <c r="K1512">
        <v>2750</v>
      </c>
      <c r="L1512">
        <v>0</v>
      </c>
      <c r="M1512">
        <v>0</v>
      </c>
      <c r="N1512">
        <v>2750</v>
      </c>
    </row>
    <row r="1513" spans="1:14" x14ac:dyDescent="0.25">
      <c r="A1513">
        <v>736.91554099999996</v>
      </c>
      <c r="B1513" s="1">
        <f>DATE(2012,5,6) + TIME(21,58,22)</f>
        <v>41035.915532407409</v>
      </c>
      <c r="C1513">
        <v>80</v>
      </c>
      <c r="D1513">
        <v>79.976440429999997</v>
      </c>
      <c r="E1513">
        <v>40</v>
      </c>
      <c r="F1513">
        <v>39.652469635000003</v>
      </c>
      <c r="G1513">
        <v>1341.1768798999999</v>
      </c>
      <c r="H1513">
        <v>1338.1806641000001</v>
      </c>
      <c r="I1513">
        <v>1324.8210449000001</v>
      </c>
      <c r="J1513">
        <v>1322.2973632999999</v>
      </c>
      <c r="K1513">
        <v>2750</v>
      </c>
      <c r="L1513">
        <v>0</v>
      </c>
      <c r="M1513">
        <v>0</v>
      </c>
      <c r="N1513">
        <v>2750</v>
      </c>
    </row>
    <row r="1514" spans="1:14" x14ac:dyDescent="0.25">
      <c r="A1514">
        <v>737.08168599999999</v>
      </c>
      <c r="B1514" s="1">
        <f>DATE(2012,5,7) + TIME(1,57,37)</f>
        <v>41036.081678240742</v>
      </c>
      <c r="C1514">
        <v>80</v>
      </c>
      <c r="D1514">
        <v>79.976417541999993</v>
      </c>
      <c r="E1514">
        <v>40</v>
      </c>
      <c r="F1514">
        <v>39.644691467000001</v>
      </c>
      <c r="G1514">
        <v>1341.1689452999999</v>
      </c>
      <c r="H1514">
        <v>1338.1774902</v>
      </c>
      <c r="I1514">
        <v>1324.8205565999999</v>
      </c>
      <c r="J1514">
        <v>1322.2967529</v>
      </c>
      <c r="K1514">
        <v>2750</v>
      </c>
      <c r="L1514">
        <v>0</v>
      </c>
      <c r="M1514">
        <v>0</v>
      </c>
      <c r="N1514">
        <v>2750</v>
      </c>
    </row>
    <row r="1515" spans="1:14" x14ac:dyDescent="0.25">
      <c r="A1515">
        <v>737.25207</v>
      </c>
      <c r="B1515" s="1">
        <f>DATE(2012,5,7) + TIME(6,2,58)</f>
        <v>41036.252060185187</v>
      </c>
      <c r="C1515">
        <v>80</v>
      </c>
      <c r="D1515">
        <v>79.976402282999999</v>
      </c>
      <c r="E1515">
        <v>40</v>
      </c>
      <c r="F1515">
        <v>39.636760711999997</v>
      </c>
      <c r="G1515">
        <v>1341.1608887</v>
      </c>
      <c r="H1515">
        <v>1338.1741943</v>
      </c>
      <c r="I1515">
        <v>1324.8200684000001</v>
      </c>
      <c r="J1515">
        <v>1322.2961425999999</v>
      </c>
      <c r="K1515">
        <v>2750</v>
      </c>
      <c r="L1515">
        <v>0</v>
      </c>
      <c r="M1515">
        <v>0</v>
      </c>
      <c r="N1515">
        <v>2750</v>
      </c>
    </row>
    <row r="1516" spans="1:14" x14ac:dyDescent="0.25">
      <c r="A1516">
        <v>737.424261</v>
      </c>
      <c r="B1516" s="1">
        <f>DATE(2012,5,7) + TIME(10,10,56)</f>
        <v>41036.424259259256</v>
      </c>
      <c r="C1516">
        <v>80</v>
      </c>
      <c r="D1516">
        <v>79.976379394999995</v>
      </c>
      <c r="E1516">
        <v>40</v>
      </c>
      <c r="F1516">
        <v>39.628765106000003</v>
      </c>
      <c r="G1516">
        <v>1341.1525879000001</v>
      </c>
      <c r="H1516">
        <v>1338.1708983999999</v>
      </c>
      <c r="I1516">
        <v>1324.8195800999999</v>
      </c>
      <c r="J1516">
        <v>1322.2954102000001</v>
      </c>
      <c r="K1516">
        <v>2750</v>
      </c>
      <c r="L1516">
        <v>0</v>
      </c>
      <c r="M1516">
        <v>0</v>
      </c>
      <c r="N1516">
        <v>2750</v>
      </c>
    </row>
    <row r="1517" spans="1:14" x14ac:dyDescent="0.25">
      <c r="A1517">
        <v>737.59864900000002</v>
      </c>
      <c r="B1517" s="1">
        <f>DATE(2012,5,7) + TIME(14,22,3)</f>
        <v>41036.598645833335</v>
      </c>
      <c r="C1517">
        <v>80</v>
      </c>
      <c r="D1517">
        <v>79.976348877000007</v>
      </c>
      <c r="E1517">
        <v>40</v>
      </c>
      <c r="F1517">
        <v>39.620697020999998</v>
      </c>
      <c r="G1517">
        <v>1341.1444091999999</v>
      </c>
      <c r="H1517">
        <v>1338.1676024999999</v>
      </c>
      <c r="I1517">
        <v>1324.8190918</v>
      </c>
      <c r="J1517">
        <v>1322.2947998</v>
      </c>
      <c r="K1517">
        <v>2750</v>
      </c>
      <c r="L1517">
        <v>0</v>
      </c>
      <c r="M1517">
        <v>0</v>
      </c>
      <c r="N1517">
        <v>2750</v>
      </c>
    </row>
    <row r="1518" spans="1:14" x14ac:dyDescent="0.25">
      <c r="A1518">
        <v>737.77559499999995</v>
      </c>
      <c r="B1518" s="1">
        <f>DATE(2012,5,7) + TIME(18,36,51)</f>
        <v>41036.775590277779</v>
      </c>
      <c r="C1518">
        <v>80</v>
      </c>
      <c r="D1518">
        <v>79.976318359000004</v>
      </c>
      <c r="E1518">
        <v>40</v>
      </c>
      <c r="F1518">
        <v>39.612541198999999</v>
      </c>
      <c r="G1518">
        <v>1341.1361084</v>
      </c>
      <c r="H1518">
        <v>1338.1643065999999</v>
      </c>
      <c r="I1518">
        <v>1324.8186035000001</v>
      </c>
      <c r="J1518">
        <v>1322.2940673999999</v>
      </c>
      <c r="K1518">
        <v>2750</v>
      </c>
      <c r="L1518">
        <v>0</v>
      </c>
      <c r="M1518">
        <v>0</v>
      </c>
      <c r="N1518">
        <v>2750</v>
      </c>
    </row>
    <row r="1519" spans="1:14" x14ac:dyDescent="0.25">
      <c r="A1519">
        <v>737.95540900000003</v>
      </c>
      <c r="B1519" s="1">
        <f>DATE(2012,5,7) + TIME(22,55,47)</f>
        <v>41036.955405092594</v>
      </c>
      <c r="C1519">
        <v>80</v>
      </c>
      <c r="D1519">
        <v>79.976295471</v>
      </c>
      <c r="E1519">
        <v>40</v>
      </c>
      <c r="F1519">
        <v>39.604293822999999</v>
      </c>
      <c r="G1519">
        <v>1341.1278076000001</v>
      </c>
      <c r="H1519">
        <v>1338.1610106999999</v>
      </c>
      <c r="I1519">
        <v>1324.8181152</v>
      </c>
      <c r="J1519">
        <v>1322.293457</v>
      </c>
      <c r="K1519">
        <v>2750</v>
      </c>
      <c r="L1519">
        <v>0</v>
      </c>
      <c r="M1519">
        <v>0</v>
      </c>
      <c r="N1519">
        <v>2750</v>
      </c>
    </row>
    <row r="1520" spans="1:14" x14ac:dyDescent="0.25">
      <c r="A1520">
        <v>738.13846799999999</v>
      </c>
      <c r="B1520" s="1">
        <f>DATE(2012,5,8) + TIME(3,19,23)</f>
        <v>41037.138460648152</v>
      </c>
      <c r="C1520">
        <v>80</v>
      </c>
      <c r="D1520">
        <v>79.976257324000002</v>
      </c>
      <c r="E1520">
        <v>40</v>
      </c>
      <c r="F1520">
        <v>39.595935822000001</v>
      </c>
      <c r="G1520">
        <v>1341.1195068</v>
      </c>
      <c r="H1520">
        <v>1338.1577147999999</v>
      </c>
      <c r="I1520">
        <v>1324.8176269999999</v>
      </c>
      <c r="J1520">
        <v>1322.2927245999999</v>
      </c>
      <c r="K1520">
        <v>2750</v>
      </c>
      <c r="L1520">
        <v>0</v>
      </c>
      <c r="M1520">
        <v>0</v>
      </c>
      <c r="N1520">
        <v>2750</v>
      </c>
    </row>
    <row r="1521" spans="1:14" x14ac:dyDescent="0.25">
      <c r="A1521">
        <v>738.32517700000005</v>
      </c>
      <c r="B1521" s="1">
        <f>DATE(2012,5,8) + TIME(7,48,15)</f>
        <v>41037.325173611112</v>
      </c>
      <c r="C1521">
        <v>80</v>
      </c>
      <c r="D1521">
        <v>79.976226807000003</v>
      </c>
      <c r="E1521">
        <v>40</v>
      </c>
      <c r="F1521">
        <v>39.587455749999997</v>
      </c>
      <c r="G1521">
        <v>1341.1110839999999</v>
      </c>
      <c r="H1521">
        <v>1338.1544189000001</v>
      </c>
      <c r="I1521">
        <v>1324.8170166</v>
      </c>
      <c r="J1521">
        <v>1322.2919922000001</v>
      </c>
      <c r="K1521">
        <v>2750</v>
      </c>
      <c r="L1521">
        <v>0</v>
      </c>
      <c r="M1521">
        <v>0</v>
      </c>
      <c r="N1521">
        <v>2750</v>
      </c>
    </row>
    <row r="1522" spans="1:14" x14ac:dyDescent="0.25">
      <c r="A1522">
        <v>738.51597100000004</v>
      </c>
      <c r="B1522" s="1">
        <f>DATE(2012,5,8) + TIME(12,22,59)</f>
        <v>41037.515960648147</v>
      </c>
      <c r="C1522">
        <v>80</v>
      </c>
      <c r="D1522">
        <v>79.976196289000001</v>
      </c>
      <c r="E1522">
        <v>40</v>
      </c>
      <c r="F1522">
        <v>39.578838347999998</v>
      </c>
      <c r="G1522">
        <v>1341.1026611</v>
      </c>
      <c r="H1522">
        <v>1338.151001</v>
      </c>
      <c r="I1522">
        <v>1324.8165283000001</v>
      </c>
      <c r="J1522">
        <v>1322.2912598</v>
      </c>
      <c r="K1522">
        <v>2750</v>
      </c>
      <c r="L1522">
        <v>0</v>
      </c>
      <c r="M1522">
        <v>0</v>
      </c>
      <c r="N1522">
        <v>2750</v>
      </c>
    </row>
    <row r="1523" spans="1:14" x14ac:dyDescent="0.25">
      <c r="A1523">
        <v>738.71132</v>
      </c>
      <c r="B1523" s="1">
        <f>DATE(2012,5,8) + TIME(17,4,18)</f>
        <v>41037.711319444446</v>
      </c>
      <c r="C1523">
        <v>80</v>
      </c>
      <c r="D1523">
        <v>79.976158142000003</v>
      </c>
      <c r="E1523">
        <v>40</v>
      </c>
      <c r="F1523">
        <v>39.570068358999997</v>
      </c>
      <c r="G1523">
        <v>1341.0942382999999</v>
      </c>
      <c r="H1523">
        <v>1338.1475829999999</v>
      </c>
      <c r="I1523">
        <v>1324.815918</v>
      </c>
      <c r="J1523">
        <v>1322.2905272999999</v>
      </c>
      <c r="K1523">
        <v>2750</v>
      </c>
      <c r="L1523">
        <v>0</v>
      </c>
      <c r="M1523">
        <v>0</v>
      </c>
      <c r="N1523">
        <v>2750</v>
      </c>
    </row>
    <row r="1524" spans="1:14" x14ac:dyDescent="0.25">
      <c r="A1524">
        <v>738.911743</v>
      </c>
      <c r="B1524" s="1">
        <f>DATE(2012,5,8) + TIME(21,52,54)</f>
        <v>41037.911736111113</v>
      </c>
      <c r="C1524">
        <v>80</v>
      </c>
      <c r="D1524">
        <v>79.976119995000005</v>
      </c>
      <c r="E1524">
        <v>40</v>
      </c>
      <c r="F1524">
        <v>39.561122894</v>
      </c>
      <c r="G1524">
        <v>1341.0855713000001</v>
      </c>
      <c r="H1524">
        <v>1338.1442870999999</v>
      </c>
      <c r="I1524">
        <v>1324.8154297000001</v>
      </c>
      <c r="J1524">
        <v>1322.2897949000001</v>
      </c>
      <c r="K1524">
        <v>2750</v>
      </c>
      <c r="L1524">
        <v>0</v>
      </c>
      <c r="M1524">
        <v>0</v>
      </c>
      <c r="N1524">
        <v>2750</v>
      </c>
    </row>
    <row r="1525" spans="1:14" x14ac:dyDescent="0.25">
      <c r="A1525">
        <v>739.11809300000004</v>
      </c>
      <c r="B1525" s="1">
        <f>DATE(2012,5,9) + TIME(2,50,3)</f>
        <v>41038.118090277778</v>
      </c>
      <c r="C1525">
        <v>80</v>
      </c>
      <c r="D1525">
        <v>79.976081848000007</v>
      </c>
      <c r="E1525">
        <v>40</v>
      </c>
      <c r="F1525">
        <v>39.551975249999998</v>
      </c>
      <c r="G1525">
        <v>1341.0769043</v>
      </c>
      <c r="H1525">
        <v>1338.1407471</v>
      </c>
      <c r="I1525">
        <v>1324.8148193</v>
      </c>
      <c r="J1525">
        <v>1322.2889404</v>
      </c>
      <c r="K1525">
        <v>2750</v>
      </c>
      <c r="L1525">
        <v>0</v>
      </c>
      <c r="M1525">
        <v>0</v>
      </c>
      <c r="N1525">
        <v>2750</v>
      </c>
    </row>
    <row r="1526" spans="1:14" x14ac:dyDescent="0.25">
      <c r="A1526">
        <v>739.32904299999996</v>
      </c>
      <c r="B1526" s="1">
        <f>DATE(2012,5,9) + TIME(7,53,49)</f>
        <v>41038.329039351855</v>
      </c>
      <c r="C1526">
        <v>80</v>
      </c>
      <c r="D1526">
        <v>79.976043700999995</v>
      </c>
      <c r="E1526">
        <v>40</v>
      </c>
      <c r="F1526">
        <v>39.542671204000001</v>
      </c>
      <c r="G1526">
        <v>1341.0681152</v>
      </c>
      <c r="H1526">
        <v>1338.1373291</v>
      </c>
      <c r="I1526">
        <v>1324.8142089999999</v>
      </c>
      <c r="J1526">
        <v>1322.2882079999999</v>
      </c>
      <c r="K1526">
        <v>2750</v>
      </c>
      <c r="L1526">
        <v>0</v>
      </c>
      <c r="M1526">
        <v>0</v>
      </c>
      <c r="N1526">
        <v>2750</v>
      </c>
    </row>
    <row r="1527" spans="1:14" x14ac:dyDescent="0.25">
      <c r="A1527">
        <v>739.544307</v>
      </c>
      <c r="B1527" s="1">
        <f>DATE(2012,5,9) + TIME(13,3,48)</f>
        <v>41038.544305555559</v>
      </c>
      <c r="C1527">
        <v>80</v>
      </c>
      <c r="D1527">
        <v>79.976005553999997</v>
      </c>
      <c r="E1527">
        <v>40</v>
      </c>
      <c r="F1527">
        <v>39.533222197999997</v>
      </c>
      <c r="G1527">
        <v>1341.0593262</v>
      </c>
      <c r="H1527">
        <v>1338.1339111</v>
      </c>
      <c r="I1527">
        <v>1324.8135986</v>
      </c>
      <c r="J1527">
        <v>1322.2873535000001</v>
      </c>
      <c r="K1527">
        <v>2750</v>
      </c>
      <c r="L1527">
        <v>0</v>
      </c>
      <c r="M1527">
        <v>0</v>
      </c>
      <c r="N1527">
        <v>2750</v>
      </c>
    </row>
    <row r="1528" spans="1:14" x14ac:dyDescent="0.25">
      <c r="A1528">
        <v>739.76439000000005</v>
      </c>
      <c r="B1528" s="1">
        <f>DATE(2012,5,9) + TIME(18,20,43)</f>
        <v>41038.764386574076</v>
      </c>
      <c r="C1528">
        <v>80</v>
      </c>
      <c r="D1528">
        <v>79.975967406999999</v>
      </c>
      <c r="E1528">
        <v>40</v>
      </c>
      <c r="F1528">
        <v>39.523609161000003</v>
      </c>
      <c r="G1528">
        <v>1341.0504149999999</v>
      </c>
      <c r="H1528">
        <v>1338.1303711</v>
      </c>
      <c r="I1528">
        <v>1324.8129882999999</v>
      </c>
      <c r="J1528">
        <v>1322.286499</v>
      </c>
      <c r="K1528">
        <v>2750</v>
      </c>
      <c r="L1528">
        <v>0</v>
      </c>
      <c r="M1528">
        <v>0</v>
      </c>
      <c r="N1528">
        <v>2750</v>
      </c>
    </row>
    <row r="1529" spans="1:14" x14ac:dyDescent="0.25">
      <c r="A1529">
        <v>739.98982899999999</v>
      </c>
      <c r="B1529" s="1">
        <f>DATE(2012,5,9) + TIME(23,45,21)</f>
        <v>41038.98982638889</v>
      </c>
      <c r="C1529">
        <v>80</v>
      </c>
      <c r="D1529">
        <v>79.975929260000001</v>
      </c>
      <c r="E1529">
        <v>40</v>
      </c>
      <c r="F1529">
        <v>39.513816833</v>
      </c>
      <c r="G1529">
        <v>1341.0415039</v>
      </c>
      <c r="H1529">
        <v>1338.1269531</v>
      </c>
      <c r="I1529">
        <v>1324.8122559000001</v>
      </c>
      <c r="J1529">
        <v>1322.2856445</v>
      </c>
      <c r="K1529">
        <v>2750</v>
      </c>
      <c r="L1529">
        <v>0</v>
      </c>
      <c r="M1529">
        <v>0</v>
      </c>
      <c r="N1529">
        <v>2750</v>
      </c>
    </row>
    <row r="1530" spans="1:14" x14ac:dyDescent="0.25">
      <c r="A1530">
        <v>740.22046799999998</v>
      </c>
      <c r="B1530" s="1">
        <f>DATE(2012,5,10) + TIME(5,17,28)</f>
        <v>41039.220462962963</v>
      </c>
      <c r="C1530">
        <v>80</v>
      </c>
      <c r="D1530">
        <v>79.975883483999993</v>
      </c>
      <c r="E1530">
        <v>40</v>
      </c>
      <c r="F1530">
        <v>39.503852844000001</v>
      </c>
      <c r="G1530">
        <v>1341.0325928</v>
      </c>
      <c r="H1530">
        <v>1338.1234131000001</v>
      </c>
      <c r="I1530">
        <v>1324.8116454999999</v>
      </c>
      <c r="J1530">
        <v>1322.284668</v>
      </c>
      <c r="K1530">
        <v>2750</v>
      </c>
      <c r="L1530">
        <v>0</v>
      </c>
      <c r="M1530">
        <v>0</v>
      </c>
      <c r="N1530">
        <v>2750</v>
      </c>
    </row>
    <row r="1531" spans="1:14" x14ac:dyDescent="0.25">
      <c r="A1531">
        <v>740.45666800000004</v>
      </c>
      <c r="B1531" s="1">
        <f>DATE(2012,5,10) + TIME(10,57,36)</f>
        <v>41039.456666666665</v>
      </c>
      <c r="C1531">
        <v>80</v>
      </c>
      <c r="D1531">
        <v>79.975845336999996</v>
      </c>
      <c r="E1531">
        <v>40</v>
      </c>
      <c r="F1531">
        <v>39.493705749999997</v>
      </c>
      <c r="G1531">
        <v>1341.0235596</v>
      </c>
      <c r="H1531">
        <v>1338.1198730000001</v>
      </c>
      <c r="I1531">
        <v>1324.8109131000001</v>
      </c>
      <c r="J1531">
        <v>1322.2838135</v>
      </c>
      <c r="K1531">
        <v>2750</v>
      </c>
      <c r="L1531">
        <v>0</v>
      </c>
      <c r="M1531">
        <v>0</v>
      </c>
      <c r="N1531">
        <v>2750</v>
      </c>
    </row>
    <row r="1532" spans="1:14" x14ac:dyDescent="0.25">
      <c r="A1532">
        <v>740.69906000000003</v>
      </c>
      <c r="B1532" s="1">
        <f>DATE(2012,5,10) + TIME(16,46,38)</f>
        <v>41039.699050925927</v>
      </c>
      <c r="C1532">
        <v>80</v>
      </c>
      <c r="D1532">
        <v>79.975799561000002</v>
      </c>
      <c r="E1532">
        <v>40</v>
      </c>
      <c r="F1532">
        <v>39.483356475999997</v>
      </c>
      <c r="G1532">
        <v>1341.0145264</v>
      </c>
      <c r="H1532">
        <v>1338.1164550999999</v>
      </c>
      <c r="I1532">
        <v>1324.8101807</v>
      </c>
      <c r="J1532">
        <v>1322.2828368999999</v>
      </c>
      <c r="K1532">
        <v>2750</v>
      </c>
      <c r="L1532">
        <v>0</v>
      </c>
      <c r="M1532">
        <v>0</v>
      </c>
      <c r="N1532">
        <v>2750</v>
      </c>
    </row>
    <row r="1533" spans="1:14" x14ac:dyDescent="0.25">
      <c r="A1533">
        <v>740.94638199999997</v>
      </c>
      <c r="B1533" s="1">
        <f>DATE(2012,5,10) + TIME(22,42,47)</f>
        <v>41039.946377314816</v>
      </c>
      <c r="C1533">
        <v>80</v>
      </c>
      <c r="D1533">
        <v>79.975761414000004</v>
      </c>
      <c r="E1533">
        <v>40</v>
      </c>
      <c r="F1533">
        <v>39.472846984999997</v>
      </c>
      <c r="G1533">
        <v>1341.0053711</v>
      </c>
      <c r="H1533">
        <v>1338.1129149999999</v>
      </c>
      <c r="I1533">
        <v>1324.8094481999999</v>
      </c>
      <c r="J1533">
        <v>1322.2818603999999</v>
      </c>
      <c r="K1533">
        <v>2750</v>
      </c>
      <c r="L1533">
        <v>0</v>
      </c>
      <c r="M1533">
        <v>0</v>
      </c>
      <c r="N1533">
        <v>2750</v>
      </c>
    </row>
    <row r="1534" spans="1:14" x14ac:dyDescent="0.25">
      <c r="A1534">
        <v>741.19716300000005</v>
      </c>
      <c r="B1534" s="1">
        <f>DATE(2012,5,11) + TIME(4,43,54)</f>
        <v>41040.197152777779</v>
      </c>
      <c r="C1534">
        <v>80</v>
      </c>
      <c r="D1534">
        <v>79.975715636999993</v>
      </c>
      <c r="E1534">
        <v>40</v>
      </c>
      <c r="F1534">
        <v>39.462223053000002</v>
      </c>
      <c r="G1534">
        <v>1340.9962158000001</v>
      </c>
      <c r="H1534">
        <v>1338.109375</v>
      </c>
      <c r="I1534">
        <v>1324.8087158000001</v>
      </c>
      <c r="J1534">
        <v>1322.2808838000001</v>
      </c>
      <c r="K1534">
        <v>2750</v>
      </c>
      <c r="L1534">
        <v>0</v>
      </c>
      <c r="M1534">
        <v>0</v>
      </c>
      <c r="N1534">
        <v>2750</v>
      </c>
    </row>
    <row r="1535" spans="1:14" x14ac:dyDescent="0.25">
      <c r="A1535">
        <v>741.45203500000002</v>
      </c>
      <c r="B1535" s="1">
        <f>DATE(2012,5,11) + TIME(10,50,55)</f>
        <v>41040.452025462961</v>
      </c>
      <c r="C1535">
        <v>80</v>
      </c>
      <c r="D1535">
        <v>79.975669861</v>
      </c>
      <c r="E1535">
        <v>40</v>
      </c>
      <c r="F1535">
        <v>39.451473235999998</v>
      </c>
      <c r="G1535">
        <v>1340.9871826000001</v>
      </c>
      <c r="H1535">
        <v>1338.105957</v>
      </c>
      <c r="I1535">
        <v>1324.8079834</v>
      </c>
      <c r="J1535">
        <v>1322.2797852000001</v>
      </c>
      <c r="K1535">
        <v>2750</v>
      </c>
      <c r="L1535">
        <v>0</v>
      </c>
      <c r="M1535">
        <v>0</v>
      </c>
      <c r="N1535">
        <v>2750</v>
      </c>
    </row>
    <row r="1536" spans="1:14" x14ac:dyDescent="0.25">
      <c r="A1536">
        <v>741.71164599999997</v>
      </c>
      <c r="B1536" s="1">
        <f>DATE(2012,5,11) + TIME(17,4,46)</f>
        <v>41040.711643518516</v>
      </c>
      <c r="C1536">
        <v>80</v>
      </c>
      <c r="D1536">
        <v>79.975624084000003</v>
      </c>
      <c r="E1536">
        <v>40</v>
      </c>
      <c r="F1536">
        <v>39.440582274999997</v>
      </c>
      <c r="G1536">
        <v>1340.9781493999999</v>
      </c>
      <c r="H1536">
        <v>1338.1025391000001</v>
      </c>
      <c r="I1536">
        <v>1324.8071289</v>
      </c>
      <c r="J1536">
        <v>1322.2788086</v>
      </c>
      <c r="K1536">
        <v>2750</v>
      </c>
      <c r="L1536">
        <v>0</v>
      </c>
      <c r="M1536">
        <v>0</v>
      </c>
      <c r="N1536">
        <v>2750</v>
      </c>
    </row>
    <row r="1537" spans="1:14" x14ac:dyDescent="0.25">
      <c r="A1537">
        <v>741.97604799999999</v>
      </c>
      <c r="B1537" s="1">
        <f>DATE(2012,5,11) + TIME(23,25,30)</f>
        <v>41040.976041666669</v>
      </c>
      <c r="C1537">
        <v>80</v>
      </c>
      <c r="D1537">
        <v>79.975585937999995</v>
      </c>
      <c r="E1537">
        <v>40</v>
      </c>
      <c r="F1537">
        <v>39.429550171000002</v>
      </c>
      <c r="G1537">
        <v>1340.9691161999999</v>
      </c>
      <c r="H1537">
        <v>1338.0991211</v>
      </c>
      <c r="I1537">
        <v>1324.8063964999999</v>
      </c>
      <c r="J1537">
        <v>1322.2777100000001</v>
      </c>
      <c r="K1537">
        <v>2750</v>
      </c>
      <c r="L1537">
        <v>0</v>
      </c>
      <c r="M1537">
        <v>0</v>
      </c>
      <c r="N1537">
        <v>2750</v>
      </c>
    </row>
    <row r="1538" spans="1:14" x14ac:dyDescent="0.25">
      <c r="A1538">
        <v>742.24235299999998</v>
      </c>
      <c r="B1538" s="1">
        <f>DATE(2012,5,12) + TIME(5,48,59)</f>
        <v>41041.242349537039</v>
      </c>
      <c r="C1538">
        <v>80</v>
      </c>
      <c r="D1538">
        <v>79.975540160999998</v>
      </c>
      <c r="E1538">
        <v>40</v>
      </c>
      <c r="F1538">
        <v>39.418468474999997</v>
      </c>
      <c r="G1538">
        <v>1340.9600829999999</v>
      </c>
      <c r="H1538">
        <v>1338.0957031</v>
      </c>
      <c r="I1538">
        <v>1324.8055420000001</v>
      </c>
      <c r="J1538">
        <v>1322.2766113</v>
      </c>
      <c r="K1538">
        <v>2750</v>
      </c>
      <c r="L1538">
        <v>0</v>
      </c>
      <c r="M1538">
        <v>0</v>
      </c>
      <c r="N1538">
        <v>2750</v>
      </c>
    </row>
    <row r="1539" spans="1:14" x14ac:dyDescent="0.25">
      <c r="A1539">
        <v>742.511169</v>
      </c>
      <c r="B1539" s="1">
        <f>DATE(2012,5,12) + TIME(12,16,4)</f>
        <v>41041.511157407411</v>
      </c>
      <c r="C1539">
        <v>80</v>
      </c>
      <c r="D1539">
        <v>79.975494385000005</v>
      </c>
      <c r="E1539">
        <v>40</v>
      </c>
      <c r="F1539">
        <v>39.407325745000001</v>
      </c>
      <c r="G1539">
        <v>1340.9511719</v>
      </c>
      <c r="H1539">
        <v>1338.0922852000001</v>
      </c>
      <c r="I1539">
        <v>1324.8046875</v>
      </c>
      <c r="J1539">
        <v>1322.2755127</v>
      </c>
      <c r="K1539">
        <v>2750</v>
      </c>
      <c r="L1539">
        <v>0</v>
      </c>
      <c r="M1539">
        <v>0</v>
      </c>
      <c r="N1539">
        <v>2750</v>
      </c>
    </row>
    <row r="1540" spans="1:14" x14ac:dyDescent="0.25">
      <c r="A1540">
        <v>742.78320599999995</v>
      </c>
      <c r="B1540" s="1">
        <f>DATE(2012,5,12) + TIME(18,47,49)</f>
        <v>41041.783206018517</v>
      </c>
      <c r="C1540">
        <v>80</v>
      </c>
      <c r="D1540">
        <v>79.975456238000007</v>
      </c>
      <c r="E1540">
        <v>40</v>
      </c>
      <c r="F1540">
        <v>39.396102904999999</v>
      </c>
      <c r="G1540">
        <v>1340.9423827999999</v>
      </c>
      <c r="H1540">
        <v>1338.0889893000001</v>
      </c>
      <c r="I1540">
        <v>1324.8038329999999</v>
      </c>
      <c r="J1540">
        <v>1322.2744141000001</v>
      </c>
      <c r="K1540">
        <v>2750</v>
      </c>
      <c r="L1540">
        <v>0</v>
      </c>
      <c r="M1540">
        <v>0</v>
      </c>
      <c r="N1540">
        <v>2750</v>
      </c>
    </row>
    <row r="1541" spans="1:14" x14ac:dyDescent="0.25">
      <c r="A1541">
        <v>743.05897600000003</v>
      </c>
      <c r="B1541" s="1">
        <f>DATE(2012,5,13) + TIME(1,24,55)</f>
        <v>41042.058969907404</v>
      </c>
      <c r="C1541">
        <v>80</v>
      </c>
      <c r="D1541">
        <v>79.975410460999996</v>
      </c>
      <c r="E1541">
        <v>40</v>
      </c>
      <c r="F1541">
        <v>39.384792328000003</v>
      </c>
      <c r="G1541">
        <v>1340.9337158000001</v>
      </c>
      <c r="H1541">
        <v>1338.0856934000001</v>
      </c>
      <c r="I1541">
        <v>1324.8029785000001</v>
      </c>
      <c r="J1541">
        <v>1322.2731934000001</v>
      </c>
      <c r="K1541">
        <v>2750</v>
      </c>
      <c r="L1541">
        <v>0</v>
      </c>
      <c r="M1541">
        <v>0</v>
      </c>
      <c r="N1541">
        <v>2750</v>
      </c>
    </row>
    <row r="1542" spans="1:14" x14ac:dyDescent="0.25">
      <c r="A1542">
        <v>743.33910200000003</v>
      </c>
      <c r="B1542" s="1">
        <f>DATE(2012,5,13) + TIME(8,8,18)</f>
        <v>41042.339097222219</v>
      </c>
      <c r="C1542">
        <v>80</v>
      </c>
      <c r="D1542">
        <v>79.975364685000002</v>
      </c>
      <c r="E1542">
        <v>40</v>
      </c>
      <c r="F1542">
        <v>39.373374939000001</v>
      </c>
      <c r="G1542">
        <v>1340.9250488</v>
      </c>
      <c r="H1542">
        <v>1338.0825195</v>
      </c>
      <c r="I1542">
        <v>1324.802124</v>
      </c>
      <c r="J1542">
        <v>1322.2719727000001</v>
      </c>
      <c r="K1542">
        <v>2750</v>
      </c>
      <c r="L1542">
        <v>0</v>
      </c>
      <c r="M1542">
        <v>0</v>
      </c>
      <c r="N1542">
        <v>2750</v>
      </c>
    </row>
    <row r="1543" spans="1:14" x14ac:dyDescent="0.25">
      <c r="A1543">
        <v>743.62426000000005</v>
      </c>
      <c r="B1543" s="1">
        <f>DATE(2012,5,13) + TIME(14,58,56)</f>
        <v>41042.624259259261</v>
      </c>
      <c r="C1543">
        <v>80</v>
      </c>
      <c r="D1543">
        <v>79.975326538000004</v>
      </c>
      <c r="E1543">
        <v>40</v>
      </c>
      <c r="F1543">
        <v>39.361831664999997</v>
      </c>
      <c r="G1543">
        <v>1340.9163818</v>
      </c>
      <c r="H1543">
        <v>1338.0792236</v>
      </c>
      <c r="I1543">
        <v>1324.8012695</v>
      </c>
      <c r="J1543">
        <v>1322.270874</v>
      </c>
      <c r="K1543">
        <v>2750</v>
      </c>
      <c r="L1543">
        <v>0</v>
      </c>
      <c r="M1543">
        <v>0</v>
      </c>
      <c r="N1543">
        <v>2750</v>
      </c>
    </row>
    <row r="1544" spans="1:14" x14ac:dyDescent="0.25">
      <c r="A1544">
        <v>743.915165</v>
      </c>
      <c r="B1544" s="1">
        <f>DATE(2012,5,13) + TIME(21,57,50)</f>
        <v>41042.915162037039</v>
      </c>
      <c r="C1544">
        <v>80</v>
      </c>
      <c r="D1544">
        <v>79.975280761999997</v>
      </c>
      <c r="E1544">
        <v>40</v>
      </c>
      <c r="F1544">
        <v>39.350135803000001</v>
      </c>
      <c r="G1544">
        <v>1340.9077147999999</v>
      </c>
      <c r="H1544">
        <v>1338.0760498</v>
      </c>
      <c r="I1544">
        <v>1324.8004149999999</v>
      </c>
      <c r="J1544">
        <v>1322.2696533000001</v>
      </c>
      <c r="K1544">
        <v>2750</v>
      </c>
      <c r="L1544">
        <v>0</v>
      </c>
      <c r="M1544">
        <v>0</v>
      </c>
      <c r="N1544">
        <v>2750</v>
      </c>
    </row>
    <row r="1545" spans="1:14" x14ac:dyDescent="0.25">
      <c r="A1545">
        <v>744.21330699999999</v>
      </c>
      <c r="B1545" s="1">
        <f>DATE(2012,5,14) + TIME(5,7,9)</f>
        <v>41043.21329861111</v>
      </c>
      <c r="C1545">
        <v>80</v>
      </c>
      <c r="D1545">
        <v>79.975234985</v>
      </c>
      <c r="E1545">
        <v>40</v>
      </c>
      <c r="F1545">
        <v>39.338245391999997</v>
      </c>
      <c r="G1545">
        <v>1340.8991699000001</v>
      </c>
      <c r="H1545">
        <v>1338.072876</v>
      </c>
      <c r="I1545">
        <v>1324.7994385</v>
      </c>
      <c r="J1545">
        <v>1322.2683105000001</v>
      </c>
      <c r="K1545">
        <v>2750</v>
      </c>
      <c r="L1545">
        <v>0</v>
      </c>
      <c r="M1545">
        <v>0</v>
      </c>
      <c r="N1545">
        <v>2750</v>
      </c>
    </row>
    <row r="1546" spans="1:14" x14ac:dyDescent="0.25">
      <c r="A1546">
        <v>744.51807799999995</v>
      </c>
      <c r="B1546" s="1">
        <f>DATE(2012,5,14) + TIME(12,26,1)</f>
        <v>41043.518067129633</v>
      </c>
      <c r="C1546">
        <v>80</v>
      </c>
      <c r="D1546">
        <v>79.975196838000002</v>
      </c>
      <c r="E1546">
        <v>40</v>
      </c>
      <c r="F1546">
        <v>39.326175689999999</v>
      </c>
      <c r="G1546">
        <v>1340.8905029</v>
      </c>
      <c r="H1546">
        <v>1338.0697021000001</v>
      </c>
      <c r="I1546">
        <v>1324.7984618999999</v>
      </c>
      <c r="J1546">
        <v>1322.2670897999999</v>
      </c>
      <c r="K1546">
        <v>2750</v>
      </c>
      <c r="L1546">
        <v>0</v>
      </c>
      <c r="M1546">
        <v>0</v>
      </c>
      <c r="N1546">
        <v>2750</v>
      </c>
    </row>
    <row r="1547" spans="1:14" x14ac:dyDescent="0.25">
      <c r="A1547">
        <v>744.83098900000005</v>
      </c>
      <c r="B1547" s="1">
        <f>DATE(2012,5,14) + TIME(19,56,37)</f>
        <v>41043.830983796295</v>
      </c>
      <c r="C1547">
        <v>80</v>
      </c>
      <c r="D1547">
        <v>79.975151061999995</v>
      </c>
      <c r="E1547">
        <v>40</v>
      </c>
      <c r="F1547">
        <v>39.313884735000002</v>
      </c>
      <c r="G1547">
        <v>1340.8818358999999</v>
      </c>
      <c r="H1547">
        <v>1338.0665283000001</v>
      </c>
      <c r="I1547">
        <v>1324.7974853999999</v>
      </c>
      <c r="J1547">
        <v>1322.2657471</v>
      </c>
      <c r="K1547">
        <v>2750</v>
      </c>
      <c r="L1547">
        <v>0</v>
      </c>
      <c r="M1547">
        <v>0</v>
      </c>
      <c r="N1547">
        <v>2750</v>
      </c>
    </row>
    <row r="1548" spans="1:14" x14ac:dyDescent="0.25">
      <c r="A1548">
        <v>745.151072</v>
      </c>
      <c r="B1548" s="1">
        <f>DATE(2012,5,15) + TIME(3,37,32)</f>
        <v>41044.151064814818</v>
      </c>
      <c r="C1548">
        <v>80</v>
      </c>
      <c r="D1548">
        <v>79.975105286000002</v>
      </c>
      <c r="E1548">
        <v>40</v>
      </c>
      <c r="F1548">
        <v>39.301387787000003</v>
      </c>
      <c r="G1548">
        <v>1340.8731689000001</v>
      </c>
      <c r="H1548">
        <v>1338.0634766000001</v>
      </c>
      <c r="I1548">
        <v>1324.7965088000001</v>
      </c>
      <c r="J1548">
        <v>1322.2642822</v>
      </c>
      <c r="K1548">
        <v>2750</v>
      </c>
      <c r="L1548">
        <v>0</v>
      </c>
      <c r="M1548">
        <v>0</v>
      </c>
      <c r="N1548">
        <v>2750</v>
      </c>
    </row>
    <row r="1549" spans="1:14" x14ac:dyDescent="0.25">
      <c r="A1549">
        <v>745.47961799999996</v>
      </c>
      <c r="B1549" s="1">
        <f>DATE(2012,5,15) + TIME(11,30,39)</f>
        <v>41044.479618055557</v>
      </c>
      <c r="C1549">
        <v>80</v>
      </c>
      <c r="D1549">
        <v>79.975059509000005</v>
      </c>
      <c r="E1549">
        <v>40</v>
      </c>
      <c r="F1549">
        <v>39.288658142000003</v>
      </c>
      <c r="G1549">
        <v>1340.8645019999999</v>
      </c>
      <c r="H1549">
        <v>1338.0603027</v>
      </c>
      <c r="I1549">
        <v>1324.7954102000001</v>
      </c>
      <c r="J1549">
        <v>1322.2628173999999</v>
      </c>
      <c r="K1549">
        <v>2750</v>
      </c>
      <c r="L1549">
        <v>0</v>
      </c>
      <c r="M1549">
        <v>0</v>
      </c>
      <c r="N1549">
        <v>2750</v>
      </c>
    </row>
    <row r="1550" spans="1:14" x14ac:dyDescent="0.25">
      <c r="A1550">
        <v>745.81493599999999</v>
      </c>
      <c r="B1550" s="1">
        <f>DATE(2012,5,15) + TIME(19,33,30)</f>
        <v>41044.814930555556</v>
      </c>
      <c r="C1550">
        <v>80</v>
      </c>
      <c r="D1550">
        <v>79.975021362000007</v>
      </c>
      <c r="E1550">
        <v>40</v>
      </c>
      <c r="F1550">
        <v>39.275737761999999</v>
      </c>
      <c r="G1550">
        <v>1340.8557129000001</v>
      </c>
      <c r="H1550">
        <v>1338.0571289</v>
      </c>
      <c r="I1550">
        <v>1324.7943115</v>
      </c>
      <c r="J1550">
        <v>1322.2613524999999</v>
      </c>
      <c r="K1550">
        <v>2750</v>
      </c>
      <c r="L1550">
        <v>0</v>
      </c>
      <c r="M1550">
        <v>0</v>
      </c>
      <c r="N1550">
        <v>2750</v>
      </c>
    </row>
    <row r="1551" spans="1:14" x14ac:dyDescent="0.25">
      <c r="A1551">
        <v>746.15507200000002</v>
      </c>
      <c r="B1551" s="1">
        <f>DATE(2012,5,16) + TIME(3,43,18)</f>
        <v>41045.155069444445</v>
      </c>
      <c r="C1551">
        <v>80</v>
      </c>
      <c r="D1551">
        <v>79.974975585999999</v>
      </c>
      <c r="E1551">
        <v>40</v>
      </c>
      <c r="F1551">
        <v>39.262680054</v>
      </c>
      <c r="G1551">
        <v>1340.8469238</v>
      </c>
      <c r="H1551">
        <v>1338.0539550999999</v>
      </c>
      <c r="I1551">
        <v>1324.7932129000001</v>
      </c>
      <c r="J1551">
        <v>1322.2598877</v>
      </c>
      <c r="K1551">
        <v>2750</v>
      </c>
      <c r="L1551">
        <v>0</v>
      </c>
      <c r="M1551">
        <v>0</v>
      </c>
      <c r="N1551">
        <v>2750</v>
      </c>
    </row>
    <row r="1552" spans="1:14" x14ac:dyDescent="0.25">
      <c r="A1552">
        <v>746.50070100000005</v>
      </c>
      <c r="B1552" s="1">
        <f>DATE(2012,5,16) + TIME(12,1,0)</f>
        <v>41045.500694444447</v>
      </c>
      <c r="C1552">
        <v>80</v>
      </c>
      <c r="D1552">
        <v>79.974929810000006</v>
      </c>
      <c r="E1552">
        <v>40</v>
      </c>
      <c r="F1552">
        <v>39.249485016000001</v>
      </c>
      <c r="G1552">
        <v>1340.8382568</v>
      </c>
      <c r="H1552">
        <v>1338.0507812000001</v>
      </c>
      <c r="I1552">
        <v>1324.7921143000001</v>
      </c>
      <c r="J1552">
        <v>1322.2583007999999</v>
      </c>
      <c r="K1552">
        <v>2750</v>
      </c>
      <c r="L1552">
        <v>0</v>
      </c>
      <c r="M1552">
        <v>0</v>
      </c>
      <c r="N1552">
        <v>2750</v>
      </c>
    </row>
    <row r="1553" spans="1:14" x14ac:dyDescent="0.25">
      <c r="A1553">
        <v>746.85263599999996</v>
      </c>
      <c r="B1553" s="1">
        <f>DATE(2012,5,16) + TIME(20,27,47)</f>
        <v>41045.852627314816</v>
      </c>
      <c r="C1553">
        <v>80</v>
      </c>
      <c r="D1553">
        <v>79.974884032999995</v>
      </c>
      <c r="E1553">
        <v>40</v>
      </c>
      <c r="F1553">
        <v>39.236129761000001</v>
      </c>
      <c r="G1553">
        <v>1340.8295897999999</v>
      </c>
      <c r="H1553">
        <v>1338.0477295000001</v>
      </c>
      <c r="I1553">
        <v>1324.7908935999999</v>
      </c>
      <c r="J1553">
        <v>1322.2567139</v>
      </c>
      <c r="K1553">
        <v>2750</v>
      </c>
      <c r="L1553">
        <v>0</v>
      </c>
      <c r="M1553">
        <v>0</v>
      </c>
      <c r="N1553">
        <v>2750</v>
      </c>
    </row>
    <row r="1554" spans="1:14" x14ac:dyDescent="0.25">
      <c r="A1554">
        <v>747.21174299999996</v>
      </c>
      <c r="B1554" s="1">
        <f>DATE(2012,5,17) + TIME(5,4,54)</f>
        <v>41046.211736111109</v>
      </c>
      <c r="C1554">
        <v>80</v>
      </c>
      <c r="D1554">
        <v>79.974838257000002</v>
      </c>
      <c r="E1554">
        <v>40</v>
      </c>
      <c r="F1554">
        <v>39.222602844000001</v>
      </c>
      <c r="G1554">
        <v>1340.8210449000001</v>
      </c>
      <c r="H1554">
        <v>1338.0446777</v>
      </c>
      <c r="I1554">
        <v>1324.7896728999999</v>
      </c>
      <c r="J1554">
        <v>1322.2551269999999</v>
      </c>
      <c r="K1554">
        <v>2750</v>
      </c>
      <c r="L1554">
        <v>0</v>
      </c>
      <c r="M1554">
        <v>0</v>
      </c>
      <c r="N1554">
        <v>2750</v>
      </c>
    </row>
    <row r="1555" spans="1:14" x14ac:dyDescent="0.25">
      <c r="A1555">
        <v>747.57882300000006</v>
      </c>
      <c r="B1555" s="1">
        <f>DATE(2012,5,17) + TIME(13,53,30)</f>
        <v>41046.578819444447</v>
      </c>
      <c r="C1555">
        <v>80</v>
      </c>
      <c r="D1555">
        <v>79.974792480000005</v>
      </c>
      <c r="E1555">
        <v>40</v>
      </c>
      <c r="F1555">
        <v>39.208877563000001</v>
      </c>
      <c r="G1555">
        <v>1340.8123779</v>
      </c>
      <c r="H1555">
        <v>1338.0415039</v>
      </c>
      <c r="I1555">
        <v>1324.7884521000001</v>
      </c>
      <c r="J1555">
        <v>1322.253418</v>
      </c>
      <c r="K1555">
        <v>2750</v>
      </c>
      <c r="L1555">
        <v>0</v>
      </c>
      <c r="M1555">
        <v>0</v>
      </c>
      <c r="N1555">
        <v>2750</v>
      </c>
    </row>
    <row r="1556" spans="1:14" x14ac:dyDescent="0.25">
      <c r="A1556">
        <v>747.95254299999999</v>
      </c>
      <c r="B1556" s="1">
        <f>DATE(2012,5,17) + TIME(22,51,39)</f>
        <v>41046.952534722222</v>
      </c>
      <c r="C1556">
        <v>80</v>
      </c>
      <c r="D1556">
        <v>79.974754333000007</v>
      </c>
      <c r="E1556">
        <v>40</v>
      </c>
      <c r="F1556">
        <v>39.194988250999998</v>
      </c>
      <c r="G1556">
        <v>1340.8038329999999</v>
      </c>
      <c r="H1556">
        <v>1338.0384521000001</v>
      </c>
      <c r="I1556">
        <v>1324.7872314000001</v>
      </c>
      <c r="J1556">
        <v>1322.2515868999999</v>
      </c>
      <c r="K1556">
        <v>2750</v>
      </c>
      <c r="L1556">
        <v>0</v>
      </c>
      <c r="M1556">
        <v>0</v>
      </c>
      <c r="N1556">
        <v>2750</v>
      </c>
    </row>
    <row r="1557" spans="1:14" x14ac:dyDescent="0.25">
      <c r="A1557">
        <v>748.32730800000002</v>
      </c>
      <c r="B1557" s="1">
        <f>DATE(2012,5,18) + TIME(7,51,19)</f>
        <v>41047.327303240738</v>
      </c>
      <c r="C1557">
        <v>80</v>
      </c>
      <c r="D1557">
        <v>79.974708557</v>
      </c>
      <c r="E1557">
        <v>40</v>
      </c>
      <c r="F1557">
        <v>39.181079865000001</v>
      </c>
      <c r="G1557">
        <v>1340.7951660000001</v>
      </c>
      <c r="H1557">
        <v>1338.0354004000001</v>
      </c>
      <c r="I1557">
        <v>1324.7858887</v>
      </c>
      <c r="J1557">
        <v>1322.2498779</v>
      </c>
      <c r="K1557">
        <v>2750</v>
      </c>
      <c r="L1557">
        <v>0</v>
      </c>
      <c r="M1557">
        <v>0</v>
      </c>
      <c r="N1557">
        <v>2750</v>
      </c>
    </row>
    <row r="1558" spans="1:14" x14ac:dyDescent="0.25">
      <c r="A1558">
        <v>748.70407799999998</v>
      </c>
      <c r="B1558" s="1">
        <f>DATE(2012,5,18) + TIME(16,53,52)</f>
        <v>41047.704074074078</v>
      </c>
      <c r="C1558">
        <v>80</v>
      </c>
      <c r="D1558">
        <v>79.974662781000006</v>
      </c>
      <c r="E1558">
        <v>40</v>
      </c>
      <c r="F1558">
        <v>39.167156218999999</v>
      </c>
      <c r="G1558">
        <v>1340.7867432</v>
      </c>
      <c r="H1558">
        <v>1338.0324707</v>
      </c>
      <c r="I1558">
        <v>1324.7845459</v>
      </c>
      <c r="J1558">
        <v>1322.2480469</v>
      </c>
      <c r="K1558">
        <v>2750</v>
      </c>
      <c r="L1558">
        <v>0</v>
      </c>
      <c r="M1558">
        <v>0</v>
      </c>
      <c r="N1558">
        <v>2750</v>
      </c>
    </row>
    <row r="1559" spans="1:14" x14ac:dyDescent="0.25">
      <c r="A1559">
        <v>749.08380399999999</v>
      </c>
      <c r="B1559" s="1">
        <f>DATE(2012,5,19) + TIME(2,0,40)</f>
        <v>41048.083796296298</v>
      </c>
      <c r="C1559">
        <v>80</v>
      </c>
      <c r="D1559">
        <v>79.974624633999994</v>
      </c>
      <c r="E1559">
        <v>40</v>
      </c>
      <c r="F1559">
        <v>39.153202057000001</v>
      </c>
      <c r="G1559">
        <v>1340.7784423999999</v>
      </c>
      <c r="H1559">
        <v>1338.0295410000001</v>
      </c>
      <c r="I1559">
        <v>1324.7832031</v>
      </c>
      <c r="J1559">
        <v>1322.2462158000001</v>
      </c>
      <c r="K1559">
        <v>2750</v>
      </c>
      <c r="L1559">
        <v>0</v>
      </c>
      <c r="M1559">
        <v>0</v>
      </c>
      <c r="N1559">
        <v>2750</v>
      </c>
    </row>
    <row r="1560" spans="1:14" x14ac:dyDescent="0.25">
      <c r="A1560">
        <v>749.46750499999996</v>
      </c>
      <c r="B1560" s="1">
        <f>DATE(2012,5,19) + TIME(11,13,12)</f>
        <v>41048.467499999999</v>
      </c>
      <c r="C1560">
        <v>80</v>
      </c>
      <c r="D1560">
        <v>79.974578856999997</v>
      </c>
      <c r="E1560">
        <v>40</v>
      </c>
      <c r="F1560">
        <v>39.139198303000001</v>
      </c>
      <c r="G1560">
        <v>1340.7702637</v>
      </c>
      <c r="H1560">
        <v>1338.0266113</v>
      </c>
      <c r="I1560">
        <v>1324.7818603999999</v>
      </c>
      <c r="J1560">
        <v>1322.2442627</v>
      </c>
      <c r="K1560">
        <v>2750</v>
      </c>
      <c r="L1560">
        <v>0</v>
      </c>
      <c r="M1560">
        <v>0</v>
      </c>
      <c r="N1560">
        <v>2750</v>
      </c>
    </row>
    <row r="1561" spans="1:14" x14ac:dyDescent="0.25">
      <c r="A1561">
        <v>749.85623799999996</v>
      </c>
      <c r="B1561" s="1">
        <f>DATE(2012,5,19) + TIME(20,32,58)</f>
        <v>41048.856226851851</v>
      </c>
      <c r="C1561">
        <v>80</v>
      </c>
      <c r="D1561">
        <v>79.974540709999999</v>
      </c>
      <c r="E1561">
        <v>40</v>
      </c>
      <c r="F1561">
        <v>39.125122070000003</v>
      </c>
      <c r="G1561">
        <v>1340.762207</v>
      </c>
      <c r="H1561">
        <v>1338.0236815999999</v>
      </c>
      <c r="I1561">
        <v>1324.7803954999999</v>
      </c>
      <c r="J1561">
        <v>1322.2424315999999</v>
      </c>
      <c r="K1561">
        <v>2750</v>
      </c>
      <c r="L1561">
        <v>0</v>
      </c>
      <c r="M1561">
        <v>0</v>
      </c>
      <c r="N1561">
        <v>2750</v>
      </c>
    </row>
    <row r="1562" spans="1:14" x14ac:dyDescent="0.25">
      <c r="A1562">
        <v>750.25091299999997</v>
      </c>
      <c r="B1562" s="1">
        <f>DATE(2012,5,20) + TIME(6,1,18)</f>
        <v>41049.250902777778</v>
      </c>
      <c r="C1562">
        <v>80</v>
      </c>
      <c r="D1562">
        <v>79.974494934000006</v>
      </c>
      <c r="E1562">
        <v>40</v>
      </c>
      <c r="F1562">
        <v>39.110950469999999</v>
      </c>
      <c r="G1562">
        <v>1340.7540283000001</v>
      </c>
      <c r="H1562">
        <v>1338.020874</v>
      </c>
      <c r="I1562">
        <v>1324.7790527</v>
      </c>
      <c r="J1562">
        <v>1322.2404785000001</v>
      </c>
      <c r="K1562">
        <v>2750</v>
      </c>
      <c r="L1562">
        <v>0</v>
      </c>
      <c r="M1562">
        <v>0</v>
      </c>
      <c r="N1562">
        <v>2750</v>
      </c>
    </row>
    <row r="1563" spans="1:14" x14ac:dyDescent="0.25">
      <c r="A1563">
        <v>750.65261299999997</v>
      </c>
      <c r="B1563" s="1">
        <f>DATE(2012,5,20) + TIME(15,39,45)</f>
        <v>41049.652604166666</v>
      </c>
      <c r="C1563">
        <v>80</v>
      </c>
      <c r="D1563">
        <v>79.974456786999994</v>
      </c>
      <c r="E1563">
        <v>40</v>
      </c>
      <c r="F1563">
        <v>39.096649169999999</v>
      </c>
      <c r="G1563">
        <v>1340.7460937999999</v>
      </c>
      <c r="H1563">
        <v>1338.0180664</v>
      </c>
      <c r="I1563">
        <v>1324.7775879000001</v>
      </c>
      <c r="J1563">
        <v>1322.2384033000001</v>
      </c>
      <c r="K1563">
        <v>2750</v>
      </c>
      <c r="L1563">
        <v>0</v>
      </c>
      <c r="M1563">
        <v>0</v>
      </c>
      <c r="N1563">
        <v>2750</v>
      </c>
    </row>
    <row r="1564" spans="1:14" x14ac:dyDescent="0.25">
      <c r="A1564">
        <v>751.06326999999999</v>
      </c>
      <c r="B1564" s="1">
        <f>DATE(2012,5,21) + TIME(1,31,6)</f>
        <v>41050.063263888886</v>
      </c>
      <c r="C1564">
        <v>80</v>
      </c>
      <c r="D1564">
        <v>79.974411011000001</v>
      </c>
      <c r="E1564">
        <v>40</v>
      </c>
      <c r="F1564">
        <v>39.082172393999997</v>
      </c>
      <c r="G1564">
        <v>1340.7380370999999</v>
      </c>
      <c r="H1564">
        <v>1338.0152588000001</v>
      </c>
      <c r="I1564">
        <v>1324.7761230000001</v>
      </c>
      <c r="J1564">
        <v>1322.2363281</v>
      </c>
      <c r="K1564">
        <v>2750</v>
      </c>
      <c r="L1564">
        <v>0</v>
      </c>
      <c r="M1564">
        <v>0</v>
      </c>
      <c r="N1564">
        <v>2750</v>
      </c>
    </row>
    <row r="1565" spans="1:14" x14ac:dyDescent="0.25">
      <c r="A1565">
        <v>751.48729300000002</v>
      </c>
      <c r="B1565" s="1">
        <f>DATE(2012,5,21) + TIME(11,41,42)</f>
        <v>41050.487291666665</v>
      </c>
      <c r="C1565">
        <v>80</v>
      </c>
      <c r="D1565">
        <v>79.974372864000003</v>
      </c>
      <c r="E1565">
        <v>40</v>
      </c>
      <c r="F1565">
        <v>39.067409515000001</v>
      </c>
      <c r="G1565">
        <v>1340.7299805</v>
      </c>
      <c r="H1565">
        <v>1338.0123291</v>
      </c>
      <c r="I1565">
        <v>1324.7745361</v>
      </c>
      <c r="J1565">
        <v>1322.2341309000001</v>
      </c>
      <c r="K1565">
        <v>2750</v>
      </c>
      <c r="L1565">
        <v>0</v>
      </c>
      <c r="M1565">
        <v>0</v>
      </c>
      <c r="N1565">
        <v>2750</v>
      </c>
    </row>
    <row r="1566" spans="1:14" x14ac:dyDescent="0.25">
      <c r="A1566">
        <v>751.92674999999997</v>
      </c>
      <c r="B1566" s="1">
        <f>DATE(2012,5,21) + TIME(22,14,31)</f>
        <v>41050.926747685182</v>
      </c>
      <c r="C1566">
        <v>80</v>
      </c>
      <c r="D1566">
        <v>79.974327087000006</v>
      </c>
      <c r="E1566">
        <v>40</v>
      </c>
      <c r="F1566">
        <v>39.052295684999997</v>
      </c>
      <c r="G1566">
        <v>1340.7219238</v>
      </c>
      <c r="H1566">
        <v>1338.0095214999999</v>
      </c>
      <c r="I1566">
        <v>1324.7729492000001</v>
      </c>
      <c r="J1566">
        <v>1322.2319336</v>
      </c>
      <c r="K1566">
        <v>2750</v>
      </c>
      <c r="L1566">
        <v>0</v>
      </c>
      <c r="M1566">
        <v>0</v>
      </c>
      <c r="N1566">
        <v>2750</v>
      </c>
    </row>
    <row r="1567" spans="1:14" x14ac:dyDescent="0.25">
      <c r="A1567">
        <v>752.38401899999997</v>
      </c>
      <c r="B1567" s="1">
        <f>DATE(2012,5,22) + TIME(9,12,59)</f>
        <v>41051.384016203701</v>
      </c>
      <c r="C1567">
        <v>80</v>
      </c>
      <c r="D1567">
        <v>79.974288939999994</v>
      </c>
      <c r="E1567">
        <v>40</v>
      </c>
      <c r="F1567">
        <v>39.036758423000002</v>
      </c>
      <c r="G1567">
        <v>1340.7136230000001</v>
      </c>
      <c r="H1567">
        <v>1338.0065918</v>
      </c>
      <c r="I1567">
        <v>1324.7712402</v>
      </c>
      <c r="J1567">
        <v>1322.2296143000001</v>
      </c>
      <c r="K1567">
        <v>2750</v>
      </c>
      <c r="L1567">
        <v>0</v>
      </c>
      <c r="M1567">
        <v>0</v>
      </c>
      <c r="N1567">
        <v>2750</v>
      </c>
    </row>
    <row r="1568" spans="1:14" x14ac:dyDescent="0.25">
      <c r="A1568">
        <v>752.86124800000005</v>
      </c>
      <c r="B1568" s="1">
        <f>DATE(2012,5,22) + TIME(20,40,11)</f>
        <v>41051.861238425925</v>
      </c>
      <c r="C1568">
        <v>80</v>
      </c>
      <c r="D1568">
        <v>79.974243164000001</v>
      </c>
      <c r="E1568">
        <v>40</v>
      </c>
      <c r="F1568">
        <v>39.020736694</v>
      </c>
      <c r="G1568">
        <v>1340.7052002</v>
      </c>
      <c r="H1568">
        <v>1338.0035399999999</v>
      </c>
      <c r="I1568">
        <v>1324.7695312000001</v>
      </c>
      <c r="J1568">
        <v>1322.2270507999999</v>
      </c>
      <c r="K1568">
        <v>2750</v>
      </c>
      <c r="L1568">
        <v>0</v>
      </c>
      <c r="M1568">
        <v>0</v>
      </c>
      <c r="N1568">
        <v>2750</v>
      </c>
    </row>
    <row r="1569" spans="1:14" x14ac:dyDescent="0.25">
      <c r="A1569">
        <v>753.34407799999997</v>
      </c>
      <c r="B1569" s="1">
        <f>DATE(2012,5,23) + TIME(8,15,28)</f>
        <v>41052.344074074077</v>
      </c>
      <c r="C1569">
        <v>80</v>
      </c>
      <c r="D1569">
        <v>79.974197387999993</v>
      </c>
      <c r="E1569">
        <v>40</v>
      </c>
      <c r="F1569">
        <v>39.004505156999997</v>
      </c>
      <c r="G1569">
        <v>1340.6965332</v>
      </c>
      <c r="H1569">
        <v>1338.0004882999999</v>
      </c>
      <c r="I1569">
        <v>1324.7675781</v>
      </c>
      <c r="J1569">
        <v>1322.2244873</v>
      </c>
      <c r="K1569">
        <v>2750</v>
      </c>
      <c r="L1569">
        <v>0</v>
      </c>
      <c r="M1569">
        <v>0</v>
      </c>
      <c r="N1569">
        <v>2750</v>
      </c>
    </row>
    <row r="1570" spans="1:14" x14ac:dyDescent="0.25">
      <c r="A1570">
        <v>753.82937100000004</v>
      </c>
      <c r="B1570" s="1">
        <f>DATE(2012,5,23) + TIME(19,54,17)</f>
        <v>41052.829363425924</v>
      </c>
      <c r="C1570">
        <v>80</v>
      </c>
      <c r="D1570">
        <v>79.974159240999995</v>
      </c>
      <c r="E1570">
        <v>40</v>
      </c>
      <c r="F1570">
        <v>38.988185883</v>
      </c>
      <c r="G1570">
        <v>1340.6879882999999</v>
      </c>
      <c r="H1570">
        <v>1337.9975586</v>
      </c>
      <c r="I1570">
        <v>1324.7657471</v>
      </c>
      <c r="J1570">
        <v>1322.2218018000001</v>
      </c>
      <c r="K1570">
        <v>2750</v>
      </c>
      <c r="L1570">
        <v>0</v>
      </c>
      <c r="M1570">
        <v>0</v>
      </c>
      <c r="N1570">
        <v>2750</v>
      </c>
    </row>
    <row r="1571" spans="1:14" x14ac:dyDescent="0.25">
      <c r="A1571">
        <v>754.31837900000005</v>
      </c>
      <c r="B1571" s="1">
        <f>DATE(2012,5,24) + TIME(7,38,27)</f>
        <v>41053.318368055552</v>
      </c>
      <c r="C1571">
        <v>80</v>
      </c>
      <c r="D1571">
        <v>79.974113463999998</v>
      </c>
      <c r="E1571">
        <v>40</v>
      </c>
      <c r="F1571">
        <v>38.971805572999997</v>
      </c>
      <c r="G1571">
        <v>1340.6796875</v>
      </c>
      <c r="H1571">
        <v>1337.9945068</v>
      </c>
      <c r="I1571">
        <v>1324.7637939000001</v>
      </c>
      <c r="J1571">
        <v>1322.2191161999999</v>
      </c>
      <c r="K1571">
        <v>2750</v>
      </c>
      <c r="L1571">
        <v>0</v>
      </c>
      <c r="M1571">
        <v>0</v>
      </c>
      <c r="N1571">
        <v>2750</v>
      </c>
    </row>
    <row r="1572" spans="1:14" x14ac:dyDescent="0.25">
      <c r="A1572">
        <v>754.81237199999998</v>
      </c>
      <c r="B1572" s="1">
        <f>DATE(2012,5,24) + TIME(19,29,48)</f>
        <v>41053.812361111108</v>
      </c>
      <c r="C1572">
        <v>80</v>
      </c>
      <c r="D1572">
        <v>79.974075317</v>
      </c>
      <c r="E1572">
        <v>40</v>
      </c>
      <c r="F1572">
        <v>38.955368042000003</v>
      </c>
      <c r="G1572">
        <v>1340.6713867000001</v>
      </c>
      <c r="H1572">
        <v>1337.9915771000001</v>
      </c>
      <c r="I1572">
        <v>1324.7617187999999</v>
      </c>
      <c r="J1572">
        <v>1322.2163086</v>
      </c>
      <c r="K1572">
        <v>2750</v>
      </c>
      <c r="L1572">
        <v>0</v>
      </c>
      <c r="M1572">
        <v>0</v>
      </c>
      <c r="N1572">
        <v>2750</v>
      </c>
    </row>
    <row r="1573" spans="1:14" x14ac:dyDescent="0.25">
      <c r="A1573">
        <v>755.31274299999995</v>
      </c>
      <c r="B1573" s="1">
        <f>DATE(2012,5,25) + TIME(7,30,21)</f>
        <v>41054.312743055554</v>
      </c>
      <c r="C1573">
        <v>80</v>
      </c>
      <c r="D1573">
        <v>79.974029540999993</v>
      </c>
      <c r="E1573">
        <v>40</v>
      </c>
      <c r="F1573">
        <v>38.938858031999999</v>
      </c>
      <c r="G1573">
        <v>1340.6632079999999</v>
      </c>
      <c r="H1573">
        <v>1337.9886475000001</v>
      </c>
      <c r="I1573">
        <v>1324.7597656</v>
      </c>
      <c r="J1573">
        <v>1322.2133789</v>
      </c>
      <c r="K1573">
        <v>2750</v>
      </c>
      <c r="L1573">
        <v>0</v>
      </c>
      <c r="M1573">
        <v>0</v>
      </c>
      <c r="N1573">
        <v>2750</v>
      </c>
    </row>
    <row r="1574" spans="1:14" x14ac:dyDescent="0.25">
      <c r="A1574">
        <v>755.82093799999996</v>
      </c>
      <c r="B1574" s="1">
        <f>DATE(2012,5,25) + TIME(19,42,9)</f>
        <v>41054.820937500001</v>
      </c>
      <c r="C1574">
        <v>80</v>
      </c>
      <c r="D1574">
        <v>79.973991393999995</v>
      </c>
      <c r="E1574">
        <v>40</v>
      </c>
      <c r="F1574">
        <v>38.922245025999999</v>
      </c>
      <c r="G1574">
        <v>1340.6550293</v>
      </c>
      <c r="H1574">
        <v>1337.9858397999999</v>
      </c>
      <c r="I1574">
        <v>1324.7576904</v>
      </c>
      <c r="J1574">
        <v>1322.2104492000001</v>
      </c>
      <c r="K1574">
        <v>2750</v>
      </c>
      <c r="L1574">
        <v>0</v>
      </c>
      <c r="M1574">
        <v>0</v>
      </c>
      <c r="N1574">
        <v>2750</v>
      </c>
    </row>
    <row r="1575" spans="1:14" x14ac:dyDescent="0.25">
      <c r="A1575">
        <v>756.33375100000001</v>
      </c>
      <c r="B1575" s="1">
        <f>DATE(2012,5,26) + TIME(8,0,36)</f>
        <v>41055.333749999998</v>
      </c>
      <c r="C1575">
        <v>80</v>
      </c>
      <c r="D1575">
        <v>79.973945618000002</v>
      </c>
      <c r="E1575">
        <v>40</v>
      </c>
      <c r="F1575">
        <v>38.905586243000002</v>
      </c>
      <c r="G1575">
        <v>1340.6468506000001</v>
      </c>
      <c r="H1575">
        <v>1337.9829102000001</v>
      </c>
      <c r="I1575">
        <v>1324.7554932</v>
      </c>
      <c r="J1575">
        <v>1322.2073975000001</v>
      </c>
      <c r="K1575">
        <v>2750</v>
      </c>
      <c r="L1575">
        <v>0</v>
      </c>
      <c r="M1575">
        <v>0</v>
      </c>
      <c r="N1575">
        <v>2750</v>
      </c>
    </row>
    <row r="1576" spans="1:14" x14ac:dyDescent="0.25">
      <c r="A1576">
        <v>756.84982300000001</v>
      </c>
      <c r="B1576" s="1">
        <f>DATE(2012,5,26) + TIME(20,23,44)</f>
        <v>41055.849814814814</v>
      </c>
      <c r="C1576">
        <v>80</v>
      </c>
      <c r="D1576">
        <v>79.973907471000004</v>
      </c>
      <c r="E1576">
        <v>40</v>
      </c>
      <c r="F1576">
        <v>38.888927459999998</v>
      </c>
      <c r="G1576">
        <v>1340.6387939000001</v>
      </c>
      <c r="H1576">
        <v>1337.9799805</v>
      </c>
      <c r="I1576">
        <v>1324.7532959</v>
      </c>
      <c r="J1576">
        <v>1322.2042236</v>
      </c>
      <c r="K1576">
        <v>2750</v>
      </c>
      <c r="L1576">
        <v>0</v>
      </c>
      <c r="M1576">
        <v>0</v>
      </c>
      <c r="N1576">
        <v>2750</v>
      </c>
    </row>
    <row r="1577" spans="1:14" x14ac:dyDescent="0.25">
      <c r="A1577">
        <v>757.37074600000005</v>
      </c>
      <c r="B1577" s="1">
        <f>DATE(2012,5,27) + TIME(8,53,52)</f>
        <v>41056.370740740742</v>
      </c>
      <c r="C1577">
        <v>80</v>
      </c>
      <c r="D1577">
        <v>79.973869324000006</v>
      </c>
      <c r="E1577">
        <v>40</v>
      </c>
      <c r="F1577">
        <v>38.872249603</v>
      </c>
      <c r="G1577">
        <v>1340.6308594</v>
      </c>
      <c r="H1577">
        <v>1337.9771728999999</v>
      </c>
      <c r="I1577">
        <v>1324.7510986</v>
      </c>
      <c r="J1577">
        <v>1322.2010498</v>
      </c>
      <c r="K1577">
        <v>2750</v>
      </c>
      <c r="L1577">
        <v>0</v>
      </c>
      <c r="M1577">
        <v>0</v>
      </c>
      <c r="N1577">
        <v>2750</v>
      </c>
    </row>
    <row r="1578" spans="1:14" x14ac:dyDescent="0.25">
      <c r="A1578">
        <v>757.89829799999995</v>
      </c>
      <c r="B1578" s="1">
        <f>DATE(2012,5,27) + TIME(21,33,32)</f>
        <v>41056.898287037038</v>
      </c>
      <c r="C1578">
        <v>80</v>
      </c>
      <c r="D1578">
        <v>79.973831176999994</v>
      </c>
      <c r="E1578">
        <v>40</v>
      </c>
      <c r="F1578">
        <v>38.855525970000002</v>
      </c>
      <c r="G1578">
        <v>1340.6230469</v>
      </c>
      <c r="H1578">
        <v>1337.9743652</v>
      </c>
      <c r="I1578">
        <v>1324.7487793</v>
      </c>
      <c r="J1578">
        <v>1322.197876</v>
      </c>
      <c r="K1578">
        <v>2750</v>
      </c>
      <c r="L1578">
        <v>0</v>
      </c>
      <c r="M1578">
        <v>0</v>
      </c>
      <c r="N1578">
        <v>2750</v>
      </c>
    </row>
    <row r="1579" spans="1:14" x14ac:dyDescent="0.25">
      <c r="A1579">
        <v>758.43429100000003</v>
      </c>
      <c r="B1579" s="1">
        <f>DATE(2012,5,28) + TIME(10,25,22)</f>
        <v>41057.434282407405</v>
      </c>
      <c r="C1579">
        <v>80</v>
      </c>
      <c r="D1579">
        <v>79.973793029999996</v>
      </c>
      <c r="E1579">
        <v>40</v>
      </c>
      <c r="F1579">
        <v>38.838710785000004</v>
      </c>
      <c r="G1579">
        <v>1340.6152344</v>
      </c>
      <c r="H1579">
        <v>1337.9715576000001</v>
      </c>
      <c r="I1579">
        <v>1324.7464600000001</v>
      </c>
      <c r="J1579">
        <v>1322.1944579999999</v>
      </c>
      <c r="K1579">
        <v>2750</v>
      </c>
      <c r="L1579">
        <v>0</v>
      </c>
      <c r="M1579">
        <v>0</v>
      </c>
      <c r="N1579">
        <v>2750</v>
      </c>
    </row>
    <row r="1580" spans="1:14" x14ac:dyDescent="0.25">
      <c r="A1580">
        <v>758.98065699999995</v>
      </c>
      <c r="B1580" s="1">
        <f>DATE(2012,5,28) + TIME(23,32,8)</f>
        <v>41057.98064814815</v>
      </c>
      <c r="C1580">
        <v>80</v>
      </c>
      <c r="D1580">
        <v>79.973754882999998</v>
      </c>
      <c r="E1580">
        <v>40</v>
      </c>
      <c r="F1580">
        <v>38.821762085000003</v>
      </c>
      <c r="G1580">
        <v>1340.6074219</v>
      </c>
      <c r="H1580">
        <v>1337.96875</v>
      </c>
      <c r="I1580">
        <v>1324.7441406</v>
      </c>
      <c r="J1580">
        <v>1322.1910399999999</v>
      </c>
      <c r="K1580">
        <v>2750</v>
      </c>
      <c r="L1580">
        <v>0</v>
      </c>
      <c r="M1580">
        <v>0</v>
      </c>
      <c r="N1580">
        <v>2750</v>
      </c>
    </row>
    <row r="1581" spans="1:14" x14ac:dyDescent="0.25">
      <c r="A1581">
        <v>759.54337099999998</v>
      </c>
      <c r="B1581" s="1">
        <f>DATE(2012,5,29) + TIME(13,2,27)</f>
        <v>41058.543368055558</v>
      </c>
      <c r="C1581">
        <v>80</v>
      </c>
      <c r="D1581">
        <v>79.973716736</v>
      </c>
      <c r="E1581">
        <v>40</v>
      </c>
      <c r="F1581">
        <v>38.804557799999998</v>
      </c>
      <c r="G1581">
        <v>1340.5996094</v>
      </c>
      <c r="H1581">
        <v>1337.9658202999999</v>
      </c>
      <c r="I1581">
        <v>1324.7415771000001</v>
      </c>
      <c r="J1581">
        <v>1322.1873779</v>
      </c>
      <c r="K1581">
        <v>2750</v>
      </c>
      <c r="L1581">
        <v>0</v>
      </c>
      <c r="M1581">
        <v>0</v>
      </c>
      <c r="N1581">
        <v>2750</v>
      </c>
    </row>
    <row r="1582" spans="1:14" x14ac:dyDescent="0.25">
      <c r="A1582">
        <v>760.12080700000001</v>
      </c>
      <c r="B1582" s="1">
        <f>DATE(2012,5,30) + TIME(2,53,57)</f>
        <v>41059.120798611111</v>
      </c>
      <c r="C1582">
        <v>80</v>
      </c>
      <c r="D1582">
        <v>79.973678589000002</v>
      </c>
      <c r="E1582">
        <v>40</v>
      </c>
      <c r="F1582">
        <v>38.787097930999998</v>
      </c>
      <c r="G1582">
        <v>1340.5917969</v>
      </c>
      <c r="H1582">
        <v>1337.9630127</v>
      </c>
      <c r="I1582">
        <v>1324.7390137</v>
      </c>
      <c r="J1582">
        <v>1322.1837158000001</v>
      </c>
      <c r="K1582">
        <v>2750</v>
      </c>
      <c r="L1582">
        <v>0</v>
      </c>
      <c r="M1582">
        <v>0</v>
      </c>
      <c r="N1582">
        <v>2750</v>
      </c>
    </row>
    <row r="1583" spans="1:14" x14ac:dyDescent="0.25">
      <c r="A1583">
        <v>760.709971</v>
      </c>
      <c r="B1583" s="1">
        <f>DATE(2012,5,30) + TIME(17,2,21)</f>
        <v>41059.709965277776</v>
      </c>
      <c r="C1583">
        <v>80</v>
      </c>
      <c r="D1583">
        <v>79.973632812000005</v>
      </c>
      <c r="E1583">
        <v>40</v>
      </c>
      <c r="F1583">
        <v>38.769416808999999</v>
      </c>
      <c r="G1583">
        <v>1340.5838623</v>
      </c>
      <c r="H1583">
        <v>1337.9600829999999</v>
      </c>
      <c r="I1583">
        <v>1324.7363281</v>
      </c>
      <c r="J1583">
        <v>1322.1798096</v>
      </c>
      <c r="K1583">
        <v>2750</v>
      </c>
      <c r="L1583">
        <v>0</v>
      </c>
      <c r="M1583">
        <v>0</v>
      </c>
      <c r="N1583">
        <v>2750</v>
      </c>
    </row>
    <row r="1584" spans="1:14" x14ac:dyDescent="0.25">
      <c r="A1584">
        <v>761.31872699999997</v>
      </c>
      <c r="B1584" s="1">
        <f>DATE(2012,5,31) + TIME(7,38,57)</f>
        <v>41060.318715277775</v>
      </c>
      <c r="C1584">
        <v>80</v>
      </c>
      <c r="D1584">
        <v>79.973594665999997</v>
      </c>
      <c r="E1584">
        <v>40</v>
      </c>
      <c r="F1584">
        <v>38.751403809000003</v>
      </c>
      <c r="G1584">
        <v>1340.5759277</v>
      </c>
      <c r="H1584">
        <v>1337.9571533000001</v>
      </c>
      <c r="I1584">
        <v>1324.7335204999999</v>
      </c>
      <c r="J1584">
        <v>1322.1757812000001</v>
      </c>
      <c r="K1584">
        <v>2750</v>
      </c>
      <c r="L1584">
        <v>0</v>
      </c>
      <c r="M1584">
        <v>0</v>
      </c>
      <c r="N1584">
        <v>2750</v>
      </c>
    </row>
    <row r="1585" spans="1:14" x14ac:dyDescent="0.25">
      <c r="A1585">
        <v>761.95119899999997</v>
      </c>
      <c r="B1585" s="1">
        <f>DATE(2012,5,31) + TIME(22,49,43)</f>
        <v>41060.951192129629</v>
      </c>
      <c r="C1585">
        <v>80</v>
      </c>
      <c r="D1585">
        <v>79.973556518999999</v>
      </c>
      <c r="E1585">
        <v>40</v>
      </c>
      <c r="F1585">
        <v>38.732963562000002</v>
      </c>
      <c r="G1585">
        <v>1340.5678711</v>
      </c>
      <c r="H1585">
        <v>1337.9541016000001</v>
      </c>
      <c r="I1585">
        <v>1324.7307129000001</v>
      </c>
      <c r="J1585">
        <v>1322.1715088000001</v>
      </c>
      <c r="K1585">
        <v>2750</v>
      </c>
      <c r="L1585">
        <v>0</v>
      </c>
      <c r="M1585">
        <v>0</v>
      </c>
      <c r="N1585">
        <v>2750</v>
      </c>
    </row>
    <row r="1586" spans="1:14" x14ac:dyDescent="0.25">
      <c r="A1586">
        <v>762</v>
      </c>
      <c r="B1586" s="1">
        <f>DATE(2012,6,1) + TIME(0,0,0)</f>
        <v>41061</v>
      </c>
      <c r="C1586">
        <v>80</v>
      </c>
      <c r="D1586">
        <v>79.973548889</v>
      </c>
      <c r="E1586">
        <v>40</v>
      </c>
      <c r="F1586">
        <v>38.730518341</v>
      </c>
      <c r="G1586">
        <v>1340.5598144999999</v>
      </c>
      <c r="H1586">
        <v>1337.9511719</v>
      </c>
      <c r="I1586">
        <v>1324.7277832</v>
      </c>
      <c r="J1586">
        <v>1322.1679687999999</v>
      </c>
      <c r="K1586">
        <v>2750</v>
      </c>
      <c r="L1586">
        <v>0</v>
      </c>
      <c r="M1586">
        <v>0</v>
      </c>
      <c r="N1586">
        <v>2750</v>
      </c>
    </row>
    <row r="1587" spans="1:14" x14ac:dyDescent="0.25">
      <c r="A1587">
        <v>762.32768199999998</v>
      </c>
      <c r="B1587" s="1">
        <f>DATE(2012,6,1) + TIME(7,51,51)</f>
        <v>41061.327673611115</v>
      </c>
      <c r="C1587">
        <v>80</v>
      </c>
      <c r="D1587">
        <v>79.973526000999996</v>
      </c>
      <c r="E1587">
        <v>40</v>
      </c>
      <c r="F1587">
        <v>38.718566895000002</v>
      </c>
      <c r="G1587">
        <v>1340.5589600000001</v>
      </c>
      <c r="H1587">
        <v>1337.9508057</v>
      </c>
      <c r="I1587">
        <v>1324.7274170000001</v>
      </c>
      <c r="J1587">
        <v>1322.1669922000001</v>
      </c>
      <c r="K1587">
        <v>2750</v>
      </c>
      <c r="L1587">
        <v>0</v>
      </c>
      <c r="M1587">
        <v>0</v>
      </c>
      <c r="N1587">
        <v>2750</v>
      </c>
    </row>
    <row r="1588" spans="1:14" x14ac:dyDescent="0.25">
      <c r="A1588">
        <v>762.65536499999996</v>
      </c>
      <c r="B1588" s="1">
        <f>DATE(2012,6,1) + TIME(15,43,43)</f>
        <v>41061.655358796299</v>
      </c>
      <c r="C1588">
        <v>80</v>
      </c>
      <c r="D1588">
        <v>79.973495482999994</v>
      </c>
      <c r="E1588">
        <v>40</v>
      </c>
      <c r="F1588">
        <v>38.707324982000003</v>
      </c>
      <c r="G1588">
        <v>1340.5548096</v>
      </c>
      <c r="H1588">
        <v>1337.9492187999999</v>
      </c>
      <c r="I1588">
        <v>1324.7257079999999</v>
      </c>
      <c r="J1588">
        <v>1322.1644286999999</v>
      </c>
      <c r="K1588">
        <v>2750</v>
      </c>
      <c r="L1588">
        <v>0</v>
      </c>
      <c r="M1588">
        <v>0</v>
      </c>
      <c r="N1588">
        <v>2750</v>
      </c>
    </row>
    <row r="1589" spans="1:14" x14ac:dyDescent="0.25">
      <c r="A1589">
        <v>762.98304700000006</v>
      </c>
      <c r="B1589" s="1">
        <f>DATE(2012,6,1) + TIME(23,35,35)</f>
        <v>41061.983043981483</v>
      </c>
      <c r="C1589">
        <v>80</v>
      </c>
      <c r="D1589">
        <v>79.973472595000004</v>
      </c>
      <c r="E1589">
        <v>40</v>
      </c>
      <c r="F1589">
        <v>38.696601868000002</v>
      </c>
      <c r="G1589">
        <v>1340.5506591999999</v>
      </c>
      <c r="H1589">
        <v>1337.9476318</v>
      </c>
      <c r="I1589">
        <v>1324.723999</v>
      </c>
      <c r="J1589">
        <v>1322.1618652</v>
      </c>
      <c r="K1589">
        <v>2750</v>
      </c>
      <c r="L1589">
        <v>0</v>
      </c>
      <c r="M1589">
        <v>0</v>
      </c>
      <c r="N1589">
        <v>2750</v>
      </c>
    </row>
    <row r="1590" spans="1:14" x14ac:dyDescent="0.25">
      <c r="A1590">
        <v>763.63841100000002</v>
      </c>
      <c r="B1590" s="1">
        <f>DATE(2012,6,2) + TIME(15,19,18)</f>
        <v>41062.638402777775</v>
      </c>
      <c r="C1590">
        <v>80</v>
      </c>
      <c r="D1590">
        <v>79.973449707</v>
      </c>
      <c r="E1590">
        <v>40</v>
      </c>
      <c r="F1590">
        <v>38.680660248000002</v>
      </c>
      <c r="G1590">
        <v>1340.5466309000001</v>
      </c>
      <c r="H1590">
        <v>1337.9461670000001</v>
      </c>
      <c r="I1590">
        <v>1324.7222899999999</v>
      </c>
      <c r="J1590">
        <v>1322.1590576000001</v>
      </c>
      <c r="K1590">
        <v>2750</v>
      </c>
      <c r="L1590">
        <v>0</v>
      </c>
      <c r="M1590">
        <v>0</v>
      </c>
      <c r="N1590">
        <v>2750</v>
      </c>
    </row>
    <row r="1591" spans="1:14" x14ac:dyDescent="0.25">
      <c r="A1591">
        <v>764.294715</v>
      </c>
      <c r="B1591" s="1">
        <f>DATE(2012,6,3) + TIME(7,4,23)</f>
        <v>41063.294710648152</v>
      </c>
      <c r="C1591">
        <v>80</v>
      </c>
      <c r="D1591">
        <v>79.973419188999998</v>
      </c>
      <c r="E1591">
        <v>40</v>
      </c>
      <c r="F1591">
        <v>38.663387299</v>
      </c>
      <c r="G1591">
        <v>1340.5384521000001</v>
      </c>
      <c r="H1591">
        <v>1337.9431152</v>
      </c>
      <c r="I1591">
        <v>1324.7191161999999</v>
      </c>
      <c r="J1591">
        <v>1322.1544189000001</v>
      </c>
      <c r="K1591">
        <v>2750</v>
      </c>
      <c r="L1591">
        <v>0</v>
      </c>
      <c r="M1591">
        <v>0</v>
      </c>
      <c r="N1591">
        <v>2750</v>
      </c>
    </row>
    <row r="1592" spans="1:14" x14ac:dyDescent="0.25">
      <c r="A1592">
        <v>764.95703600000002</v>
      </c>
      <c r="B1592" s="1">
        <f>DATE(2012,6,3) + TIME(22,58,7)</f>
        <v>41063.957025462965</v>
      </c>
      <c r="C1592">
        <v>80</v>
      </c>
      <c r="D1592">
        <v>79.973381042</v>
      </c>
      <c r="E1592">
        <v>40</v>
      </c>
      <c r="F1592">
        <v>38.645401001000003</v>
      </c>
      <c r="G1592">
        <v>1340.5305175999999</v>
      </c>
      <c r="H1592">
        <v>1337.9400635</v>
      </c>
      <c r="I1592">
        <v>1324.7158202999999</v>
      </c>
      <c r="J1592">
        <v>1322.1496582</v>
      </c>
      <c r="K1592">
        <v>2750</v>
      </c>
      <c r="L1592">
        <v>0</v>
      </c>
      <c r="M1592">
        <v>0</v>
      </c>
      <c r="N1592">
        <v>2750</v>
      </c>
    </row>
    <row r="1593" spans="1:14" x14ac:dyDescent="0.25">
      <c r="A1593">
        <v>765.62849000000006</v>
      </c>
      <c r="B1593" s="1">
        <f>DATE(2012,6,4) + TIME(15,5,1)</f>
        <v>41064.628483796296</v>
      </c>
      <c r="C1593">
        <v>80</v>
      </c>
      <c r="D1593">
        <v>79.973350525000001</v>
      </c>
      <c r="E1593">
        <v>40</v>
      </c>
      <c r="F1593">
        <v>38.626987456999998</v>
      </c>
      <c r="G1593">
        <v>1340.5225829999999</v>
      </c>
      <c r="H1593">
        <v>1337.9370117000001</v>
      </c>
      <c r="I1593">
        <v>1324.7124022999999</v>
      </c>
      <c r="J1593">
        <v>1322.1446533000001</v>
      </c>
      <c r="K1593">
        <v>2750</v>
      </c>
      <c r="L1593">
        <v>0</v>
      </c>
      <c r="M1593">
        <v>0</v>
      </c>
      <c r="N1593">
        <v>2750</v>
      </c>
    </row>
    <row r="1594" spans="1:14" x14ac:dyDescent="0.25">
      <c r="A1594">
        <v>766.31192299999998</v>
      </c>
      <c r="B1594" s="1">
        <f>DATE(2012,6,5) + TIME(7,29,10)</f>
        <v>41065.311921296299</v>
      </c>
      <c r="C1594">
        <v>80</v>
      </c>
      <c r="D1594">
        <v>79.973312378000003</v>
      </c>
      <c r="E1594">
        <v>40</v>
      </c>
      <c r="F1594">
        <v>38.608283997000001</v>
      </c>
      <c r="G1594">
        <v>1340.5147704999999</v>
      </c>
      <c r="H1594">
        <v>1337.9339600000001</v>
      </c>
      <c r="I1594">
        <v>1324.7088623</v>
      </c>
      <c r="J1594">
        <v>1322.1394043</v>
      </c>
      <c r="K1594">
        <v>2750</v>
      </c>
      <c r="L1594">
        <v>0</v>
      </c>
      <c r="M1594">
        <v>0</v>
      </c>
      <c r="N1594">
        <v>2750</v>
      </c>
    </row>
    <row r="1595" spans="1:14" x14ac:dyDescent="0.25">
      <c r="A1595">
        <v>767.01173600000004</v>
      </c>
      <c r="B1595" s="1">
        <f>DATE(2012,6,6) + TIME(0,16,53)</f>
        <v>41066.011724537035</v>
      </c>
      <c r="C1595">
        <v>80</v>
      </c>
      <c r="D1595">
        <v>79.97328186</v>
      </c>
      <c r="E1595">
        <v>40</v>
      </c>
      <c r="F1595">
        <v>38.589298247999999</v>
      </c>
      <c r="G1595">
        <v>1340.5068358999999</v>
      </c>
      <c r="H1595">
        <v>1337.9309082</v>
      </c>
      <c r="I1595">
        <v>1324.7052002</v>
      </c>
      <c r="J1595">
        <v>1322.1340332</v>
      </c>
      <c r="K1595">
        <v>2750</v>
      </c>
      <c r="L1595">
        <v>0</v>
      </c>
      <c r="M1595">
        <v>0</v>
      </c>
      <c r="N1595">
        <v>2750</v>
      </c>
    </row>
    <row r="1596" spans="1:14" x14ac:dyDescent="0.25">
      <c r="A1596">
        <v>767.71752200000003</v>
      </c>
      <c r="B1596" s="1">
        <f>DATE(2012,6,6) + TIME(17,13,13)</f>
        <v>41066.717511574076</v>
      </c>
      <c r="C1596">
        <v>80</v>
      </c>
      <c r="D1596">
        <v>79.973243713000002</v>
      </c>
      <c r="E1596">
        <v>40</v>
      </c>
      <c r="F1596">
        <v>38.570201873999999</v>
      </c>
      <c r="G1596">
        <v>1340.4989014</v>
      </c>
      <c r="H1596">
        <v>1337.9278564000001</v>
      </c>
      <c r="I1596">
        <v>1324.7014160000001</v>
      </c>
      <c r="J1596">
        <v>1322.128418</v>
      </c>
      <c r="K1596">
        <v>2750</v>
      </c>
      <c r="L1596">
        <v>0</v>
      </c>
      <c r="M1596">
        <v>0</v>
      </c>
      <c r="N1596">
        <v>2750</v>
      </c>
    </row>
    <row r="1597" spans="1:14" x14ac:dyDescent="0.25">
      <c r="A1597">
        <v>768.43086800000003</v>
      </c>
      <c r="B1597" s="1">
        <f>DATE(2012,6,7) + TIME(10,20,26)</f>
        <v>41067.430856481478</v>
      </c>
      <c r="C1597">
        <v>80</v>
      </c>
      <c r="D1597">
        <v>79.973205566000004</v>
      </c>
      <c r="E1597">
        <v>40</v>
      </c>
      <c r="F1597">
        <v>38.551055908000002</v>
      </c>
      <c r="G1597">
        <v>1340.4910889</v>
      </c>
      <c r="H1597">
        <v>1337.9246826000001</v>
      </c>
      <c r="I1597">
        <v>1324.6976318</v>
      </c>
      <c r="J1597">
        <v>1322.1226807</v>
      </c>
      <c r="K1597">
        <v>2750</v>
      </c>
      <c r="L1597">
        <v>0</v>
      </c>
      <c r="M1597">
        <v>0</v>
      </c>
      <c r="N1597">
        <v>2750</v>
      </c>
    </row>
    <row r="1598" spans="1:14" x14ac:dyDescent="0.25">
      <c r="A1598">
        <v>769.15477599999997</v>
      </c>
      <c r="B1598" s="1">
        <f>DATE(2012,6,8) + TIME(3,42,52)</f>
        <v>41068.154768518521</v>
      </c>
      <c r="C1598">
        <v>80</v>
      </c>
      <c r="D1598">
        <v>79.973175049000005</v>
      </c>
      <c r="E1598">
        <v>40</v>
      </c>
      <c r="F1598">
        <v>38.531845093000001</v>
      </c>
      <c r="G1598">
        <v>1340.4833983999999</v>
      </c>
      <c r="H1598">
        <v>1337.9216309000001</v>
      </c>
      <c r="I1598">
        <v>1324.6937256000001</v>
      </c>
      <c r="J1598">
        <v>1322.1166992000001</v>
      </c>
      <c r="K1598">
        <v>2750</v>
      </c>
      <c r="L1598">
        <v>0</v>
      </c>
      <c r="M1598">
        <v>0</v>
      </c>
      <c r="N1598">
        <v>2750</v>
      </c>
    </row>
    <row r="1599" spans="1:14" x14ac:dyDescent="0.25">
      <c r="A1599">
        <v>769.89233999999999</v>
      </c>
      <c r="B1599" s="1">
        <f>DATE(2012,6,8) + TIME(21,24,58)</f>
        <v>41068.892337962963</v>
      </c>
      <c r="C1599">
        <v>80</v>
      </c>
      <c r="D1599">
        <v>79.973144531000003</v>
      </c>
      <c r="E1599">
        <v>40</v>
      </c>
      <c r="F1599">
        <v>38.512538910000004</v>
      </c>
      <c r="G1599">
        <v>1340.4755858999999</v>
      </c>
      <c r="H1599">
        <v>1337.9185791</v>
      </c>
      <c r="I1599">
        <v>1324.6895752</v>
      </c>
      <c r="J1599">
        <v>1322.1105957</v>
      </c>
      <c r="K1599">
        <v>2750</v>
      </c>
      <c r="L1599">
        <v>0</v>
      </c>
      <c r="M1599">
        <v>0</v>
      </c>
      <c r="N1599">
        <v>2750</v>
      </c>
    </row>
    <row r="1600" spans="1:14" x14ac:dyDescent="0.25">
      <c r="A1600">
        <v>770.64635699999997</v>
      </c>
      <c r="B1600" s="1">
        <f>DATE(2012,6,9) + TIME(15,30,45)</f>
        <v>41069.646354166667</v>
      </c>
      <c r="C1600">
        <v>80</v>
      </c>
      <c r="D1600">
        <v>79.973106384000005</v>
      </c>
      <c r="E1600">
        <v>40</v>
      </c>
      <c r="F1600">
        <v>38.493087768999999</v>
      </c>
      <c r="G1600">
        <v>1340.4677733999999</v>
      </c>
      <c r="H1600">
        <v>1337.9154053</v>
      </c>
      <c r="I1600">
        <v>1324.6854248</v>
      </c>
      <c r="J1600">
        <v>1322.1042480000001</v>
      </c>
      <c r="K1600">
        <v>2750</v>
      </c>
      <c r="L1600">
        <v>0</v>
      </c>
      <c r="M1600">
        <v>0</v>
      </c>
      <c r="N1600">
        <v>2750</v>
      </c>
    </row>
    <row r="1601" spans="1:14" x14ac:dyDescent="0.25">
      <c r="A1601">
        <v>771.42977900000005</v>
      </c>
      <c r="B1601" s="1">
        <f>DATE(2012,6,10) + TIME(10,18,52)</f>
        <v>41070.429768518516</v>
      </c>
      <c r="C1601">
        <v>80</v>
      </c>
      <c r="D1601">
        <v>79.973075867000006</v>
      </c>
      <c r="E1601">
        <v>40</v>
      </c>
      <c r="F1601">
        <v>38.473316193000002</v>
      </c>
      <c r="G1601">
        <v>1340.4600829999999</v>
      </c>
      <c r="H1601">
        <v>1337.9122314000001</v>
      </c>
      <c r="I1601">
        <v>1324.6810303</v>
      </c>
      <c r="J1601">
        <v>1322.0976562000001</v>
      </c>
      <c r="K1601">
        <v>2750</v>
      </c>
      <c r="L1601">
        <v>0</v>
      </c>
      <c r="M1601">
        <v>0</v>
      </c>
      <c r="N1601">
        <v>2750</v>
      </c>
    </row>
    <row r="1602" spans="1:14" x14ac:dyDescent="0.25">
      <c r="A1602">
        <v>772.24792000000002</v>
      </c>
      <c r="B1602" s="1">
        <f>DATE(2012,6,11) + TIME(5,57,0)</f>
        <v>41071.247916666667</v>
      </c>
      <c r="C1602">
        <v>80</v>
      </c>
      <c r="D1602">
        <v>79.973045349000003</v>
      </c>
      <c r="E1602">
        <v>40</v>
      </c>
      <c r="F1602">
        <v>38.453083038000003</v>
      </c>
      <c r="G1602">
        <v>1340.4520264</v>
      </c>
      <c r="H1602">
        <v>1337.9090576000001</v>
      </c>
      <c r="I1602">
        <v>1324.6765137</v>
      </c>
      <c r="J1602">
        <v>1322.0906981999999</v>
      </c>
      <c r="K1602">
        <v>2750</v>
      </c>
      <c r="L1602">
        <v>0</v>
      </c>
      <c r="M1602">
        <v>0</v>
      </c>
      <c r="N1602">
        <v>2750</v>
      </c>
    </row>
    <row r="1603" spans="1:14" x14ac:dyDescent="0.25">
      <c r="A1603">
        <v>773.07329500000003</v>
      </c>
      <c r="B1603" s="1">
        <f>DATE(2012,6,12) + TIME(1,45,32)</f>
        <v>41072.073287037034</v>
      </c>
      <c r="C1603">
        <v>80</v>
      </c>
      <c r="D1603">
        <v>79.973007202000005</v>
      </c>
      <c r="E1603">
        <v>40</v>
      </c>
      <c r="F1603">
        <v>38.432659149000003</v>
      </c>
      <c r="G1603">
        <v>1340.4439697</v>
      </c>
      <c r="H1603">
        <v>1337.9057617000001</v>
      </c>
      <c r="I1603">
        <v>1324.6716309000001</v>
      </c>
      <c r="J1603">
        <v>1322.0834961</v>
      </c>
      <c r="K1603">
        <v>2750</v>
      </c>
      <c r="L1603">
        <v>0</v>
      </c>
      <c r="M1603">
        <v>0</v>
      </c>
      <c r="N1603">
        <v>2750</v>
      </c>
    </row>
    <row r="1604" spans="1:14" x14ac:dyDescent="0.25">
      <c r="A1604">
        <v>773.90236100000004</v>
      </c>
      <c r="B1604" s="1">
        <f>DATE(2012,6,12) + TIME(21,39,23)</f>
        <v>41072.902349537035</v>
      </c>
      <c r="C1604">
        <v>80</v>
      </c>
      <c r="D1604">
        <v>79.972976685000006</v>
      </c>
      <c r="E1604">
        <v>40</v>
      </c>
      <c r="F1604">
        <v>38.412239075000002</v>
      </c>
      <c r="G1604">
        <v>1340.4357910000001</v>
      </c>
      <c r="H1604">
        <v>1337.9023437999999</v>
      </c>
      <c r="I1604">
        <v>1324.6667480000001</v>
      </c>
      <c r="J1604">
        <v>1322.0759277</v>
      </c>
      <c r="K1604">
        <v>2750</v>
      </c>
      <c r="L1604">
        <v>0</v>
      </c>
      <c r="M1604">
        <v>0</v>
      </c>
      <c r="N1604">
        <v>2750</v>
      </c>
    </row>
    <row r="1605" spans="1:14" x14ac:dyDescent="0.25">
      <c r="A1605">
        <v>774.73855200000003</v>
      </c>
      <c r="B1605" s="1">
        <f>DATE(2012,6,13) + TIME(17,43,30)</f>
        <v>41073.738541666666</v>
      </c>
      <c r="C1605">
        <v>80</v>
      </c>
      <c r="D1605">
        <v>79.972946167000003</v>
      </c>
      <c r="E1605">
        <v>40</v>
      </c>
      <c r="F1605">
        <v>38.391891479000002</v>
      </c>
      <c r="G1605">
        <v>1340.4278564000001</v>
      </c>
      <c r="H1605">
        <v>1337.8990478999999</v>
      </c>
      <c r="I1605">
        <v>1324.6617432</v>
      </c>
      <c r="J1605">
        <v>1322.0682373</v>
      </c>
      <c r="K1605">
        <v>2750</v>
      </c>
      <c r="L1605">
        <v>0</v>
      </c>
      <c r="M1605">
        <v>0</v>
      </c>
      <c r="N1605">
        <v>2750</v>
      </c>
    </row>
    <row r="1606" spans="1:14" x14ac:dyDescent="0.25">
      <c r="A1606">
        <v>775.58599300000003</v>
      </c>
      <c r="B1606" s="1">
        <f>DATE(2012,6,14) + TIME(14,3,49)</f>
        <v>41074.5859837963</v>
      </c>
      <c r="C1606">
        <v>80</v>
      </c>
      <c r="D1606">
        <v>79.972915649000001</v>
      </c>
      <c r="E1606">
        <v>40</v>
      </c>
      <c r="F1606">
        <v>38.371601105000003</v>
      </c>
      <c r="G1606">
        <v>1340.4200439000001</v>
      </c>
      <c r="H1606">
        <v>1337.8957519999999</v>
      </c>
      <c r="I1606">
        <v>1324.6566161999999</v>
      </c>
      <c r="J1606">
        <v>1322.0603027</v>
      </c>
      <c r="K1606">
        <v>2750</v>
      </c>
      <c r="L1606">
        <v>0</v>
      </c>
      <c r="M1606">
        <v>0</v>
      </c>
      <c r="N1606">
        <v>2750</v>
      </c>
    </row>
    <row r="1607" spans="1:14" x14ac:dyDescent="0.25">
      <c r="A1607">
        <v>776.44894299999999</v>
      </c>
      <c r="B1607" s="1">
        <f>DATE(2012,6,15) + TIME(10,46,28)</f>
        <v>41075.448935185188</v>
      </c>
      <c r="C1607">
        <v>80</v>
      </c>
      <c r="D1607">
        <v>79.972885132000002</v>
      </c>
      <c r="E1607">
        <v>40</v>
      </c>
      <c r="F1607">
        <v>38.351325989000003</v>
      </c>
      <c r="G1607">
        <v>1340.4121094</v>
      </c>
      <c r="H1607">
        <v>1337.8924560999999</v>
      </c>
      <c r="I1607">
        <v>1324.6513672000001</v>
      </c>
      <c r="J1607">
        <v>1322.0522461</v>
      </c>
      <c r="K1607">
        <v>2750</v>
      </c>
      <c r="L1607">
        <v>0</v>
      </c>
      <c r="M1607">
        <v>0</v>
      </c>
      <c r="N1607">
        <v>2750</v>
      </c>
    </row>
    <row r="1608" spans="1:14" x14ac:dyDescent="0.25">
      <c r="A1608">
        <v>777.33189600000003</v>
      </c>
      <c r="B1608" s="1">
        <f>DATE(2012,6,16) + TIME(7,57,55)</f>
        <v>41076.331886574073</v>
      </c>
      <c r="C1608">
        <v>80</v>
      </c>
      <c r="D1608">
        <v>79.972854613999999</v>
      </c>
      <c r="E1608">
        <v>40</v>
      </c>
      <c r="F1608">
        <v>38.330997467000003</v>
      </c>
      <c r="G1608">
        <v>1340.4042969</v>
      </c>
      <c r="H1608">
        <v>1337.8891602000001</v>
      </c>
      <c r="I1608">
        <v>1324.645874</v>
      </c>
      <c r="J1608">
        <v>1322.0438231999999</v>
      </c>
      <c r="K1608">
        <v>2750</v>
      </c>
      <c r="L1608">
        <v>0</v>
      </c>
      <c r="M1608">
        <v>0</v>
      </c>
      <c r="N1608">
        <v>2750</v>
      </c>
    </row>
    <row r="1609" spans="1:14" x14ac:dyDescent="0.25">
      <c r="A1609">
        <v>778.23932100000002</v>
      </c>
      <c r="B1609" s="1">
        <f>DATE(2012,6,17) + TIME(5,44,37)</f>
        <v>41077.239317129628</v>
      </c>
      <c r="C1609">
        <v>80</v>
      </c>
      <c r="D1609">
        <v>79.972824097</v>
      </c>
      <c r="E1609">
        <v>40</v>
      </c>
      <c r="F1609">
        <v>38.310546875</v>
      </c>
      <c r="G1609">
        <v>1340.3963623</v>
      </c>
      <c r="H1609">
        <v>1337.8857422000001</v>
      </c>
      <c r="I1609">
        <v>1324.6402588000001</v>
      </c>
      <c r="J1609">
        <v>1322.0351562000001</v>
      </c>
      <c r="K1609">
        <v>2750</v>
      </c>
      <c r="L1609">
        <v>0</v>
      </c>
      <c r="M1609">
        <v>0</v>
      </c>
      <c r="N1609">
        <v>2750</v>
      </c>
    </row>
    <row r="1610" spans="1:14" x14ac:dyDescent="0.25">
      <c r="A1610">
        <v>779.15342299999998</v>
      </c>
      <c r="B1610" s="1">
        <f>DATE(2012,6,18) + TIME(3,40,55)</f>
        <v>41078.153414351851</v>
      </c>
      <c r="C1610">
        <v>80</v>
      </c>
      <c r="D1610">
        <v>79.972793578999998</v>
      </c>
      <c r="E1610">
        <v>40</v>
      </c>
      <c r="F1610">
        <v>38.290134430000002</v>
      </c>
      <c r="G1610">
        <v>1340.3884277</v>
      </c>
      <c r="H1610">
        <v>1337.8823242000001</v>
      </c>
      <c r="I1610">
        <v>1324.6345214999999</v>
      </c>
      <c r="J1610">
        <v>1322.0261230000001</v>
      </c>
      <c r="K1610">
        <v>2750</v>
      </c>
      <c r="L1610">
        <v>0</v>
      </c>
      <c r="M1610">
        <v>0</v>
      </c>
      <c r="N1610">
        <v>2750</v>
      </c>
    </row>
    <row r="1611" spans="1:14" x14ac:dyDescent="0.25">
      <c r="A1611">
        <v>780.07826999999997</v>
      </c>
      <c r="B1611" s="1">
        <f>DATE(2012,6,19) + TIME(1,52,42)</f>
        <v>41079.078263888892</v>
      </c>
      <c r="C1611">
        <v>80</v>
      </c>
      <c r="D1611">
        <v>79.972770690999994</v>
      </c>
      <c r="E1611">
        <v>40</v>
      </c>
      <c r="F1611">
        <v>38.269840240000001</v>
      </c>
      <c r="G1611">
        <v>1340.3806152</v>
      </c>
      <c r="H1611">
        <v>1337.8789062000001</v>
      </c>
      <c r="I1611">
        <v>1324.6285399999999</v>
      </c>
      <c r="J1611">
        <v>1322.0168457</v>
      </c>
      <c r="K1611">
        <v>2750</v>
      </c>
      <c r="L1611">
        <v>0</v>
      </c>
      <c r="M1611">
        <v>0</v>
      </c>
      <c r="N1611">
        <v>2750</v>
      </c>
    </row>
    <row r="1612" spans="1:14" x14ac:dyDescent="0.25">
      <c r="A1612">
        <v>781.01797899999997</v>
      </c>
      <c r="B1612" s="1">
        <f>DATE(2012,6,20) + TIME(0,25,53)</f>
        <v>41080.017974537041</v>
      </c>
      <c r="C1612">
        <v>80</v>
      </c>
      <c r="D1612">
        <v>79.972740173000005</v>
      </c>
      <c r="E1612">
        <v>40</v>
      </c>
      <c r="F1612">
        <v>38.249664307000003</v>
      </c>
      <c r="G1612">
        <v>1340.3728027</v>
      </c>
      <c r="H1612">
        <v>1337.8754882999999</v>
      </c>
      <c r="I1612">
        <v>1324.6224365</v>
      </c>
      <c r="J1612">
        <v>1322.0073242000001</v>
      </c>
      <c r="K1612">
        <v>2750</v>
      </c>
      <c r="L1612">
        <v>0</v>
      </c>
      <c r="M1612">
        <v>0</v>
      </c>
      <c r="N1612">
        <v>2750</v>
      </c>
    </row>
    <row r="1613" spans="1:14" x14ac:dyDescent="0.25">
      <c r="A1613">
        <v>781.97691699999996</v>
      </c>
      <c r="B1613" s="1">
        <f>DATE(2012,6,20) + TIME(23,26,45)</f>
        <v>41080.976909722223</v>
      </c>
      <c r="C1613">
        <v>80</v>
      </c>
      <c r="D1613">
        <v>79.972709656000006</v>
      </c>
      <c r="E1613">
        <v>40</v>
      </c>
      <c r="F1613">
        <v>38.229572296000001</v>
      </c>
      <c r="G1613">
        <v>1340.3649902</v>
      </c>
      <c r="H1613">
        <v>1337.8719481999999</v>
      </c>
      <c r="I1613">
        <v>1324.6162108999999</v>
      </c>
      <c r="J1613">
        <v>1321.9975586</v>
      </c>
      <c r="K1613">
        <v>2750</v>
      </c>
      <c r="L1613">
        <v>0</v>
      </c>
      <c r="M1613">
        <v>0</v>
      </c>
      <c r="N1613">
        <v>2750</v>
      </c>
    </row>
    <row r="1614" spans="1:14" x14ac:dyDescent="0.25">
      <c r="A1614">
        <v>782.965823</v>
      </c>
      <c r="B1614" s="1">
        <f>DATE(2012,6,21) + TIME(23,10,47)</f>
        <v>41081.965821759259</v>
      </c>
      <c r="C1614">
        <v>80</v>
      </c>
      <c r="D1614">
        <v>79.972686768000003</v>
      </c>
      <c r="E1614">
        <v>40</v>
      </c>
      <c r="F1614">
        <v>38.209476471000002</v>
      </c>
      <c r="G1614">
        <v>1340.3570557</v>
      </c>
      <c r="H1614">
        <v>1337.8685303</v>
      </c>
      <c r="I1614">
        <v>1324.6097411999999</v>
      </c>
      <c r="J1614">
        <v>1321.9873047000001</v>
      </c>
      <c r="K1614">
        <v>2750</v>
      </c>
      <c r="L1614">
        <v>0</v>
      </c>
      <c r="M1614">
        <v>0</v>
      </c>
      <c r="N1614">
        <v>2750</v>
      </c>
    </row>
    <row r="1615" spans="1:14" x14ac:dyDescent="0.25">
      <c r="A1615">
        <v>783.97126200000002</v>
      </c>
      <c r="B1615" s="1">
        <f>DATE(2012,6,22) + TIME(23,18,37)</f>
        <v>41082.971261574072</v>
      </c>
      <c r="C1615">
        <v>80</v>
      </c>
      <c r="D1615">
        <v>79.97265625</v>
      </c>
      <c r="E1615">
        <v>40</v>
      </c>
      <c r="F1615">
        <v>38.189460754000002</v>
      </c>
      <c r="G1615">
        <v>1340.3491211</v>
      </c>
      <c r="H1615">
        <v>1337.8649902</v>
      </c>
      <c r="I1615">
        <v>1324.6031493999999</v>
      </c>
      <c r="J1615">
        <v>1321.9768065999999</v>
      </c>
      <c r="K1615">
        <v>2750</v>
      </c>
      <c r="L1615">
        <v>0</v>
      </c>
      <c r="M1615">
        <v>0</v>
      </c>
      <c r="N1615">
        <v>2750</v>
      </c>
    </row>
    <row r="1616" spans="1:14" x14ac:dyDescent="0.25">
      <c r="A1616">
        <v>784.98722199999997</v>
      </c>
      <c r="B1616" s="1">
        <f>DATE(2012,6,23) + TIME(23,41,35)</f>
        <v>41083.987210648149</v>
      </c>
      <c r="C1616">
        <v>80</v>
      </c>
      <c r="D1616">
        <v>79.972633361999996</v>
      </c>
      <c r="E1616">
        <v>40</v>
      </c>
      <c r="F1616">
        <v>38.169670105000002</v>
      </c>
      <c r="G1616">
        <v>1340.3413086</v>
      </c>
      <c r="H1616">
        <v>1337.8614502</v>
      </c>
      <c r="I1616">
        <v>1324.5963135</v>
      </c>
      <c r="J1616">
        <v>1321.9659423999999</v>
      </c>
      <c r="K1616">
        <v>2750</v>
      </c>
      <c r="L1616">
        <v>0</v>
      </c>
      <c r="M1616">
        <v>0</v>
      </c>
      <c r="N1616">
        <v>2750</v>
      </c>
    </row>
    <row r="1617" spans="1:14" x14ac:dyDescent="0.25">
      <c r="A1617">
        <v>786.01934900000003</v>
      </c>
      <c r="B1617" s="1">
        <f>DATE(2012,6,25) + TIME(0,27,51)</f>
        <v>41085.01934027778</v>
      </c>
      <c r="C1617">
        <v>80</v>
      </c>
      <c r="D1617">
        <v>79.972610474000007</v>
      </c>
      <c r="E1617">
        <v>40</v>
      </c>
      <c r="F1617">
        <v>38.150165557999998</v>
      </c>
      <c r="G1617">
        <v>1340.333374</v>
      </c>
      <c r="H1617">
        <v>1337.8577881000001</v>
      </c>
      <c r="I1617">
        <v>1324.5893555</v>
      </c>
      <c r="J1617">
        <v>1321.9548339999999</v>
      </c>
      <c r="K1617">
        <v>2750</v>
      </c>
      <c r="L1617">
        <v>0</v>
      </c>
      <c r="M1617">
        <v>0</v>
      </c>
      <c r="N1617">
        <v>2750</v>
      </c>
    </row>
    <row r="1618" spans="1:14" x14ac:dyDescent="0.25">
      <c r="A1618">
        <v>787.07393100000002</v>
      </c>
      <c r="B1618" s="1">
        <f>DATE(2012,6,26) + TIME(1,46,27)</f>
        <v>41086.073923611111</v>
      </c>
      <c r="C1618">
        <v>80</v>
      </c>
      <c r="D1618">
        <v>79.972587584999999</v>
      </c>
      <c r="E1618">
        <v>40</v>
      </c>
      <c r="F1618">
        <v>38.130950927999997</v>
      </c>
      <c r="G1618">
        <v>1340.3255615</v>
      </c>
      <c r="H1618">
        <v>1337.8542480000001</v>
      </c>
      <c r="I1618">
        <v>1324.5821533000001</v>
      </c>
      <c r="J1618">
        <v>1321.9433594</v>
      </c>
      <c r="K1618">
        <v>2750</v>
      </c>
      <c r="L1618">
        <v>0</v>
      </c>
      <c r="M1618">
        <v>0</v>
      </c>
      <c r="N1618">
        <v>2750</v>
      </c>
    </row>
    <row r="1619" spans="1:14" x14ac:dyDescent="0.25">
      <c r="A1619">
        <v>788.15758300000005</v>
      </c>
      <c r="B1619" s="1">
        <f>DATE(2012,6,27) + TIME(3,46,55)</f>
        <v>41087.157581018517</v>
      </c>
      <c r="C1619">
        <v>80</v>
      </c>
      <c r="D1619">
        <v>79.972564696999996</v>
      </c>
      <c r="E1619">
        <v>40</v>
      </c>
      <c r="F1619">
        <v>38.111995696999998</v>
      </c>
      <c r="G1619">
        <v>1340.3176269999999</v>
      </c>
      <c r="H1619">
        <v>1337.8505858999999</v>
      </c>
      <c r="I1619">
        <v>1324.5748291</v>
      </c>
      <c r="J1619">
        <v>1321.9315185999999</v>
      </c>
      <c r="K1619">
        <v>2750</v>
      </c>
      <c r="L1619">
        <v>0</v>
      </c>
      <c r="M1619">
        <v>0</v>
      </c>
      <c r="N1619">
        <v>2750</v>
      </c>
    </row>
    <row r="1620" spans="1:14" x14ac:dyDescent="0.25">
      <c r="A1620">
        <v>789.26757899999996</v>
      </c>
      <c r="B1620" s="1">
        <f>DATE(2012,6,28) + TIME(6,25,18)</f>
        <v>41088.267569444448</v>
      </c>
      <c r="C1620">
        <v>80</v>
      </c>
      <c r="D1620">
        <v>79.972541809000006</v>
      </c>
      <c r="E1620">
        <v>40</v>
      </c>
      <c r="F1620">
        <v>38.093349457000002</v>
      </c>
      <c r="G1620">
        <v>1340.3096923999999</v>
      </c>
      <c r="H1620">
        <v>1337.8469238</v>
      </c>
      <c r="I1620">
        <v>1324.5672606999999</v>
      </c>
      <c r="J1620">
        <v>1321.9191894999999</v>
      </c>
      <c r="K1620">
        <v>2750</v>
      </c>
      <c r="L1620">
        <v>0</v>
      </c>
      <c r="M1620">
        <v>0</v>
      </c>
      <c r="N1620">
        <v>2750</v>
      </c>
    </row>
    <row r="1621" spans="1:14" x14ac:dyDescent="0.25">
      <c r="A1621">
        <v>790.40389700000003</v>
      </c>
      <c r="B1621" s="1">
        <f>DATE(2012,6,29) + TIME(9,41,36)</f>
        <v>41089.40388888889</v>
      </c>
      <c r="C1621">
        <v>80</v>
      </c>
      <c r="D1621">
        <v>79.972518921000002</v>
      </c>
      <c r="E1621">
        <v>40</v>
      </c>
      <c r="F1621">
        <v>38.075103759999998</v>
      </c>
      <c r="G1621">
        <v>1340.3017577999999</v>
      </c>
      <c r="H1621">
        <v>1337.8431396000001</v>
      </c>
      <c r="I1621">
        <v>1324.5594481999999</v>
      </c>
      <c r="J1621">
        <v>1321.9064940999999</v>
      </c>
      <c r="K1621">
        <v>2750</v>
      </c>
      <c r="L1621">
        <v>0</v>
      </c>
      <c r="M1621">
        <v>0</v>
      </c>
      <c r="N1621">
        <v>2750</v>
      </c>
    </row>
    <row r="1622" spans="1:14" x14ac:dyDescent="0.25">
      <c r="A1622">
        <v>791.57384200000001</v>
      </c>
      <c r="B1622" s="1">
        <f>DATE(2012,6,30) + TIME(13,46,19)</f>
        <v>41090.573831018519</v>
      </c>
      <c r="C1622">
        <v>80</v>
      </c>
      <c r="D1622">
        <v>79.972496032999999</v>
      </c>
      <c r="E1622">
        <v>40</v>
      </c>
      <c r="F1622">
        <v>38.057319640999999</v>
      </c>
      <c r="G1622">
        <v>1340.2937012</v>
      </c>
      <c r="H1622">
        <v>1337.8393555</v>
      </c>
      <c r="I1622">
        <v>1324.5513916</v>
      </c>
      <c r="J1622">
        <v>1321.8934326000001</v>
      </c>
      <c r="K1622">
        <v>2750</v>
      </c>
      <c r="L1622">
        <v>0</v>
      </c>
      <c r="M1622">
        <v>0</v>
      </c>
      <c r="N1622">
        <v>2750</v>
      </c>
    </row>
    <row r="1623" spans="1:14" x14ac:dyDescent="0.25">
      <c r="A1623">
        <v>792</v>
      </c>
      <c r="B1623" s="1">
        <f>DATE(2012,7,1) + TIME(0,0,0)</f>
        <v>41091</v>
      </c>
      <c r="C1623">
        <v>80</v>
      </c>
      <c r="D1623">
        <v>79.972473144999995</v>
      </c>
      <c r="E1623">
        <v>40</v>
      </c>
      <c r="F1623">
        <v>38.047210692999997</v>
      </c>
      <c r="G1623">
        <v>1340.2856445</v>
      </c>
      <c r="H1623">
        <v>1337.8354492000001</v>
      </c>
      <c r="I1623">
        <v>1324.5439452999999</v>
      </c>
      <c r="J1623">
        <v>1321.8814697</v>
      </c>
      <c r="K1623">
        <v>2750</v>
      </c>
      <c r="L1623">
        <v>0</v>
      </c>
      <c r="M1623">
        <v>0</v>
      </c>
      <c r="N1623">
        <v>2750</v>
      </c>
    </row>
    <row r="1624" spans="1:14" x14ac:dyDescent="0.25">
      <c r="A1624">
        <v>793.19448</v>
      </c>
      <c r="B1624" s="1">
        <f>DATE(2012,7,2) + TIME(4,40,3)</f>
        <v>41092.194479166668</v>
      </c>
      <c r="C1624">
        <v>80</v>
      </c>
      <c r="D1624">
        <v>79.972457886000001</v>
      </c>
      <c r="E1624">
        <v>40</v>
      </c>
      <c r="F1624">
        <v>38.032829284999998</v>
      </c>
      <c r="G1624">
        <v>1340.2827147999999</v>
      </c>
      <c r="H1624">
        <v>1337.8341064000001</v>
      </c>
      <c r="I1624">
        <v>1324.5395507999999</v>
      </c>
      <c r="J1624">
        <v>1321.8736572</v>
      </c>
      <c r="K1624">
        <v>2750</v>
      </c>
      <c r="L1624">
        <v>0</v>
      </c>
      <c r="M1624">
        <v>0</v>
      </c>
      <c r="N1624">
        <v>2750</v>
      </c>
    </row>
    <row r="1625" spans="1:14" x14ac:dyDescent="0.25">
      <c r="A1625">
        <v>794.40997900000002</v>
      </c>
      <c r="B1625" s="1">
        <f>DATE(2012,7,3) + TIME(9,50,22)</f>
        <v>41093.40997685185</v>
      </c>
      <c r="C1625">
        <v>80</v>
      </c>
      <c r="D1625">
        <v>79.972442627000007</v>
      </c>
      <c r="E1625">
        <v>40</v>
      </c>
      <c r="F1625">
        <v>38.017879485999998</v>
      </c>
      <c r="G1625">
        <v>1340.2745361</v>
      </c>
      <c r="H1625">
        <v>1337.8302002</v>
      </c>
      <c r="I1625">
        <v>1324.5313721</v>
      </c>
      <c r="J1625">
        <v>1321.8602295000001</v>
      </c>
      <c r="K1625">
        <v>2750</v>
      </c>
      <c r="L1625">
        <v>0</v>
      </c>
      <c r="M1625">
        <v>0</v>
      </c>
      <c r="N1625">
        <v>2750</v>
      </c>
    </row>
    <row r="1626" spans="1:14" x14ac:dyDescent="0.25">
      <c r="A1626">
        <v>795.63765699999999</v>
      </c>
      <c r="B1626" s="1">
        <f>DATE(2012,7,4) + TIME(15,18,13)</f>
        <v>41094.637650462966</v>
      </c>
      <c r="C1626">
        <v>80</v>
      </c>
      <c r="D1626">
        <v>79.972419739000003</v>
      </c>
      <c r="E1626">
        <v>40</v>
      </c>
      <c r="F1626">
        <v>38.003471374999997</v>
      </c>
      <c r="G1626">
        <v>1340.2664795000001</v>
      </c>
      <c r="H1626">
        <v>1337.8262939000001</v>
      </c>
      <c r="I1626">
        <v>1324.5228271000001</v>
      </c>
      <c r="J1626">
        <v>1321.8460693</v>
      </c>
      <c r="K1626">
        <v>2750</v>
      </c>
      <c r="L1626">
        <v>0</v>
      </c>
      <c r="M1626">
        <v>0</v>
      </c>
      <c r="N1626">
        <v>2750</v>
      </c>
    </row>
    <row r="1627" spans="1:14" x14ac:dyDescent="0.25">
      <c r="A1627">
        <v>796.88110099999994</v>
      </c>
      <c r="B1627" s="1">
        <f>DATE(2012,7,5) + TIME(21,8,47)</f>
        <v>41095.881099537037</v>
      </c>
      <c r="C1627">
        <v>80</v>
      </c>
      <c r="D1627">
        <v>79.972404479999994</v>
      </c>
      <c r="E1627">
        <v>40</v>
      </c>
      <c r="F1627">
        <v>37.990146637000002</v>
      </c>
      <c r="G1627">
        <v>1340.2585449000001</v>
      </c>
      <c r="H1627">
        <v>1337.8222656</v>
      </c>
      <c r="I1627">
        <v>1324.5141602000001</v>
      </c>
      <c r="J1627">
        <v>1321.8314209</v>
      </c>
      <c r="K1627">
        <v>2750</v>
      </c>
      <c r="L1627">
        <v>0</v>
      </c>
      <c r="M1627">
        <v>0</v>
      </c>
      <c r="N1627">
        <v>2750</v>
      </c>
    </row>
    <row r="1628" spans="1:14" x14ac:dyDescent="0.25">
      <c r="A1628">
        <v>798.14757899999995</v>
      </c>
      <c r="B1628" s="1">
        <f>DATE(2012,7,7) + TIME(3,32,30)</f>
        <v>41097.147569444445</v>
      </c>
      <c r="C1628">
        <v>80</v>
      </c>
      <c r="D1628">
        <v>79.972389221</v>
      </c>
      <c r="E1628">
        <v>40</v>
      </c>
      <c r="F1628">
        <v>37.97820282</v>
      </c>
      <c r="G1628">
        <v>1340.2504882999999</v>
      </c>
      <c r="H1628">
        <v>1337.8183594</v>
      </c>
      <c r="I1628">
        <v>1324.5053711</v>
      </c>
      <c r="J1628">
        <v>1321.8164062000001</v>
      </c>
      <c r="K1628">
        <v>2750</v>
      </c>
      <c r="L1628">
        <v>0</v>
      </c>
      <c r="M1628">
        <v>0</v>
      </c>
      <c r="N1628">
        <v>2750</v>
      </c>
    </row>
    <row r="1629" spans="1:14" x14ac:dyDescent="0.25">
      <c r="A1629">
        <v>799.43203100000005</v>
      </c>
      <c r="B1629" s="1">
        <f>DATE(2012,7,8) + TIME(10,22,7)</f>
        <v>41098.432025462964</v>
      </c>
      <c r="C1629">
        <v>80</v>
      </c>
      <c r="D1629">
        <v>79.972366332999997</v>
      </c>
      <c r="E1629">
        <v>40</v>
      </c>
      <c r="F1629">
        <v>37.967914581000002</v>
      </c>
      <c r="G1629">
        <v>1340.2425536999999</v>
      </c>
      <c r="H1629">
        <v>1337.8144531</v>
      </c>
      <c r="I1629">
        <v>1324.4963379000001</v>
      </c>
      <c r="J1629">
        <v>1321.8011475000001</v>
      </c>
      <c r="K1629">
        <v>2750</v>
      </c>
      <c r="L1629">
        <v>0</v>
      </c>
      <c r="M1629">
        <v>0</v>
      </c>
      <c r="N1629">
        <v>2750</v>
      </c>
    </row>
    <row r="1630" spans="1:14" x14ac:dyDescent="0.25">
      <c r="A1630">
        <v>800.74330099999997</v>
      </c>
      <c r="B1630" s="1">
        <f>DATE(2012,7,9) + TIME(17,50,21)</f>
        <v>41099.743298611109</v>
      </c>
      <c r="C1630">
        <v>80</v>
      </c>
      <c r="D1630">
        <v>79.972351074000002</v>
      </c>
      <c r="E1630">
        <v>40</v>
      </c>
      <c r="F1630">
        <v>37.959564209</v>
      </c>
      <c r="G1630">
        <v>1340.2346190999999</v>
      </c>
      <c r="H1630">
        <v>1337.8104248</v>
      </c>
      <c r="I1630">
        <v>1324.4871826000001</v>
      </c>
      <c r="J1630">
        <v>1321.7854004000001</v>
      </c>
      <c r="K1630">
        <v>2750</v>
      </c>
      <c r="L1630">
        <v>0</v>
      </c>
      <c r="M1630">
        <v>0</v>
      </c>
      <c r="N1630">
        <v>2750</v>
      </c>
    </row>
    <row r="1631" spans="1:14" x14ac:dyDescent="0.25">
      <c r="A1631">
        <v>802.063627</v>
      </c>
      <c r="B1631" s="1">
        <f>DATE(2012,7,11) + TIME(1,31,37)</f>
        <v>41101.063622685186</v>
      </c>
      <c r="C1631">
        <v>80</v>
      </c>
      <c r="D1631">
        <v>79.972335814999994</v>
      </c>
      <c r="E1631">
        <v>40</v>
      </c>
      <c r="F1631">
        <v>37.953479766999997</v>
      </c>
      <c r="G1631">
        <v>1340.2265625</v>
      </c>
      <c r="H1631">
        <v>1337.8063964999999</v>
      </c>
      <c r="I1631">
        <v>1324.4780272999999</v>
      </c>
      <c r="J1631">
        <v>1321.7694091999999</v>
      </c>
      <c r="K1631">
        <v>2750</v>
      </c>
      <c r="L1631">
        <v>0</v>
      </c>
      <c r="M1631">
        <v>0</v>
      </c>
      <c r="N1631">
        <v>2750</v>
      </c>
    </row>
    <row r="1632" spans="1:14" x14ac:dyDescent="0.25">
      <c r="A1632">
        <v>802.73299699999995</v>
      </c>
      <c r="B1632" s="1">
        <f>DATE(2012,7,11) + TIME(17,35,30)</f>
        <v>41101.732986111114</v>
      </c>
      <c r="C1632">
        <v>80</v>
      </c>
      <c r="D1632">
        <v>79.972312927000004</v>
      </c>
      <c r="E1632">
        <v>40</v>
      </c>
      <c r="F1632">
        <v>37.950912475999999</v>
      </c>
      <c r="G1632">
        <v>1340.21875</v>
      </c>
      <c r="H1632">
        <v>1337.8023682</v>
      </c>
      <c r="I1632">
        <v>1324.4696045000001</v>
      </c>
      <c r="J1632">
        <v>1321.7546387</v>
      </c>
      <c r="K1632">
        <v>2750</v>
      </c>
      <c r="L1632">
        <v>0</v>
      </c>
      <c r="M1632">
        <v>0</v>
      </c>
      <c r="N1632">
        <v>2750</v>
      </c>
    </row>
    <row r="1633" spans="1:14" x14ac:dyDescent="0.25">
      <c r="A1633">
        <v>803.40236700000003</v>
      </c>
      <c r="B1633" s="1">
        <f>DATE(2012,7,12) + TIME(9,39,24)</f>
        <v>41102.402361111112</v>
      </c>
      <c r="C1633">
        <v>80</v>
      </c>
      <c r="D1633">
        <v>79.972297667999996</v>
      </c>
      <c r="E1633">
        <v>40</v>
      </c>
      <c r="F1633">
        <v>37.949829102000002</v>
      </c>
      <c r="G1633">
        <v>1340.2147216999999</v>
      </c>
      <c r="H1633">
        <v>1337.8004149999999</v>
      </c>
      <c r="I1633">
        <v>1324.4639893000001</v>
      </c>
      <c r="J1633">
        <v>1321.7448730000001</v>
      </c>
      <c r="K1633">
        <v>2750</v>
      </c>
      <c r="L1633">
        <v>0</v>
      </c>
      <c r="M1633">
        <v>0</v>
      </c>
      <c r="N1633">
        <v>2750</v>
      </c>
    </row>
    <row r="1634" spans="1:14" x14ac:dyDescent="0.25">
      <c r="A1634">
        <v>804.07173699999998</v>
      </c>
      <c r="B1634" s="1">
        <f>DATE(2012,7,13) + TIME(1,43,18)</f>
        <v>41103.071736111109</v>
      </c>
      <c r="C1634">
        <v>80</v>
      </c>
      <c r="D1634">
        <v>79.972290039000001</v>
      </c>
      <c r="E1634">
        <v>40</v>
      </c>
      <c r="F1634">
        <v>37.949947356999999</v>
      </c>
      <c r="G1634">
        <v>1340.2108154</v>
      </c>
      <c r="H1634">
        <v>1337.7983397999999</v>
      </c>
      <c r="I1634">
        <v>1324.4589844</v>
      </c>
      <c r="J1634">
        <v>1321.7358397999999</v>
      </c>
      <c r="K1634">
        <v>2750</v>
      </c>
      <c r="L1634">
        <v>0</v>
      </c>
      <c r="M1634">
        <v>0</v>
      </c>
      <c r="N1634">
        <v>2750</v>
      </c>
    </row>
    <row r="1635" spans="1:14" x14ac:dyDescent="0.25">
      <c r="A1635">
        <v>804.74110700000006</v>
      </c>
      <c r="B1635" s="1">
        <f>DATE(2012,7,13) + TIME(17,47,11)</f>
        <v>41103.741099537037</v>
      </c>
      <c r="C1635">
        <v>80</v>
      </c>
      <c r="D1635">
        <v>79.972282410000005</v>
      </c>
      <c r="E1635">
        <v>40</v>
      </c>
      <c r="F1635">
        <v>37.951141356999997</v>
      </c>
      <c r="G1635">
        <v>1340.2070312000001</v>
      </c>
      <c r="H1635">
        <v>1337.7963867000001</v>
      </c>
      <c r="I1635">
        <v>1324.4541016000001</v>
      </c>
      <c r="J1635">
        <v>1321.7272949000001</v>
      </c>
      <c r="K1635">
        <v>2750</v>
      </c>
      <c r="L1635">
        <v>0</v>
      </c>
      <c r="M1635">
        <v>0</v>
      </c>
      <c r="N1635">
        <v>2750</v>
      </c>
    </row>
    <row r="1636" spans="1:14" x14ac:dyDescent="0.25">
      <c r="A1636">
        <v>805.41047600000002</v>
      </c>
      <c r="B1636" s="1">
        <f>DATE(2012,7,14) + TIME(9,51,5)</f>
        <v>41104.410474537035</v>
      </c>
      <c r="C1636">
        <v>80</v>
      </c>
      <c r="D1636">
        <v>79.972274780000006</v>
      </c>
      <c r="E1636">
        <v>40</v>
      </c>
      <c r="F1636">
        <v>37.953369141000003</v>
      </c>
      <c r="G1636">
        <v>1340.203125</v>
      </c>
      <c r="H1636">
        <v>1337.7943115</v>
      </c>
      <c r="I1636">
        <v>1324.4494629000001</v>
      </c>
      <c r="J1636">
        <v>1321.7188721</v>
      </c>
      <c r="K1636">
        <v>2750</v>
      </c>
      <c r="L1636">
        <v>0</v>
      </c>
      <c r="M1636">
        <v>0</v>
      </c>
      <c r="N1636">
        <v>2750</v>
      </c>
    </row>
    <row r="1637" spans="1:14" x14ac:dyDescent="0.25">
      <c r="A1637">
        <v>806.07984599999997</v>
      </c>
      <c r="B1637" s="1">
        <f>DATE(2012,7,15) + TIME(1,54,58)</f>
        <v>41105.079837962963</v>
      </c>
      <c r="C1637">
        <v>80</v>
      </c>
      <c r="D1637">
        <v>79.972267150999997</v>
      </c>
      <c r="E1637">
        <v>40</v>
      </c>
      <c r="F1637">
        <v>37.956634520999998</v>
      </c>
      <c r="G1637">
        <v>1340.1993408000001</v>
      </c>
      <c r="H1637">
        <v>1337.7923584</v>
      </c>
      <c r="I1637">
        <v>1324.4448242000001</v>
      </c>
      <c r="J1637">
        <v>1321.7104492000001</v>
      </c>
      <c r="K1637">
        <v>2750</v>
      </c>
      <c r="L1637">
        <v>0</v>
      </c>
      <c r="M1637">
        <v>0</v>
      </c>
      <c r="N1637">
        <v>2750</v>
      </c>
    </row>
    <row r="1638" spans="1:14" x14ac:dyDescent="0.25">
      <c r="A1638">
        <v>806.74921600000005</v>
      </c>
      <c r="B1638" s="1">
        <f>DATE(2012,7,15) + TIME(17,58,52)</f>
        <v>41105.749212962961</v>
      </c>
      <c r="C1638">
        <v>80</v>
      </c>
      <c r="D1638">
        <v>79.972259520999998</v>
      </c>
      <c r="E1638">
        <v>40</v>
      </c>
      <c r="F1638">
        <v>37.960975646999998</v>
      </c>
      <c r="G1638">
        <v>1340.1955565999999</v>
      </c>
      <c r="H1638">
        <v>1337.7904053</v>
      </c>
      <c r="I1638">
        <v>1324.4403076000001</v>
      </c>
      <c r="J1638">
        <v>1321.7022704999999</v>
      </c>
      <c r="K1638">
        <v>2750</v>
      </c>
      <c r="L1638">
        <v>0</v>
      </c>
      <c r="M1638">
        <v>0</v>
      </c>
      <c r="N1638">
        <v>2750</v>
      </c>
    </row>
    <row r="1639" spans="1:14" x14ac:dyDescent="0.25">
      <c r="A1639">
        <v>807.418586</v>
      </c>
      <c r="B1639" s="1">
        <f>DATE(2012,7,16) + TIME(10,2,45)</f>
        <v>41106.418576388889</v>
      </c>
      <c r="C1639">
        <v>80</v>
      </c>
      <c r="D1639">
        <v>79.972259520999998</v>
      </c>
      <c r="E1639">
        <v>40</v>
      </c>
      <c r="F1639">
        <v>37.966438293000003</v>
      </c>
      <c r="G1639">
        <v>1340.1918945</v>
      </c>
      <c r="H1639">
        <v>1337.7884521000001</v>
      </c>
      <c r="I1639">
        <v>1324.4357910000001</v>
      </c>
      <c r="J1639">
        <v>1321.6940918</v>
      </c>
      <c r="K1639">
        <v>2750</v>
      </c>
      <c r="L1639">
        <v>0</v>
      </c>
      <c r="M1639">
        <v>0</v>
      </c>
      <c r="N1639">
        <v>2750</v>
      </c>
    </row>
    <row r="1640" spans="1:14" x14ac:dyDescent="0.25">
      <c r="A1640">
        <v>808.08795599999996</v>
      </c>
      <c r="B1640" s="1">
        <f>DATE(2012,7,17) + TIME(2,6,39)</f>
        <v>41107.087951388887</v>
      </c>
      <c r="C1640">
        <v>80</v>
      </c>
      <c r="D1640">
        <v>79.972251892000003</v>
      </c>
      <c r="E1640">
        <v>40</v>
      </c>
      <c r="F1640">
        <v>37.973072051999999</v>
      </c>
      <c r="G1640">
        <v>1340.1881103999999</v>
      </c>
      <c r="H1640">
        <v>1337.786499</v>
      </c>
      <c r="I1640">
        <v>1324.4313964999999</v>
      </c>
      <c r="J1640">
        <v>1321.6859131000001</v>
      </c>
      <c r="K1640">
        <v>2750</v>
      </c>
      <c r="L1640">
        <v>0</v>
      </c>
      <c r="M1640">
        <v>0</v>
      </c>
      <c r="N1640">
        <v>2750</v>
      </c>
    </row>
    <row r="1641" spans="1:14" x14ac:dyDescent="0.25">
      <c r="A1641">
        <v>808.75732600000003</v>
      </c>
      <c r="B1641" s="1">
        <f>DATE(2012,7,17) + TIME(18,10,32)</f>
        <v>41107.757314814815</v>
      </c>
      <c r="C1641">
        <v>80</v>
      </c>
      <c r="D1641">
        <v>79.972244262999993</v>
      </c>
      <c r="E1641">
        <v>40</v>
      </c>
      <c r="F1641">
        <v>37.980945587000001</v>
      </c>
      <c r="G1641">
        <v>1340.1844481999999</v>
      </c>
      <c r="H1641">
        <v>1337.7845459</v>
      </c>
      <c r="I1641">
        <v>1324.4270019999999</v>
      </c>
      <c r="J1641">
        <v>1321.6777344</v>
      </c>
      <c r="K1641">
        <v>2750</v>
      </c>
      <c r="L1641">
        <v>0</v>
      </c>
      <c r="M1641">
        <v>0</v>
      </c>
      <c r="N1641">
        <v>2750</v>
      </c>
    </row>
    <row r="1642" spans="1:14" x14ac:dyDescent="0.25">
      <c r="A1642">
        <v>809.42669599999999</v>
      </c>
      <c r="B1642" s="1">
        <f>DATE(2012,7,18) + TIME(10,14,26)</f>
        <v>41108.426689814813</v>
      </c>
      <c r="C1642">
        <v>80</v>
      </c>
      <c r="D1642">
        <v>79.972236632999994</v>
      </c>
      <c r="E1642">
        <v>40</v>
      </c>
      <c r="F1642">
        <v>37.990123748999999</v>
      </c>
      <c r="G1642">
        <v>1340.1807861</v>
      </c>
      <c r="H1642">
        <v>1337.7825928</v>
      </c>
      <c r="I1642">
        <v>1324.4226074000001</v>
      </c>
      <c r="J1642">
        <v>1321.6696777</v>
      </c>
      <c r="K1642">
        <v>2750</v>
      </c>
      <c r="L1642">
        <v>0</v>
      </c>
      <c r="M1642">
        <v>0</v>
      </c>
      <c r="N1642">
        <v>2750</v>
      </c>
    </row>
    <row r="1643" spans="1:14" x14ac:dyDescent="0.25">
      <c r="A1643">
        <v>810.09606599999995</v>
      </c>
      <c r="B1643" s="1">
        <f>DATE(2012,7,19) + TIME(2,18,20)</f>
        <v>41109.096064814818</v>
      </c>
      <c r="C1643">
        <v>80</v>
      </c>
      <c r="D1643">
        <v>79.972236632999994</v>
      </c>
      <c r="E1643">
        <v>40</v>
      </c>
      <c r="F1643">
        <v>38.000682830999999</v>
      </c>
      <c r="G1643">
        <v>1340.177124</v>
      </c>
      <c r="H1643">
        <v>1337.7806396000001</v>
      </c>
      <c r="I1643">
        <v>1324.4183350000001</v>
      </c>
      <c r="J1643">
        <v>1321.6616211</v>
      </c>
      <c r="K1643">
        <v>2750</v>
      </c>
      <c r="L1643">
        <v>0</v>
      </c>
      <c r="M1643">
        <v>0</v>
      </c>
      <c r="N1643">
        <v>2750</v>
      </c>
    </row>
    <row r="1644" spans="1:14" x14ac:dyDescent="0.25">
      <c r="A1644">
        <v>811.43480599999998</v>
      </c>
      <c r="B1644" s="1">
        <f>DATE(2012,7,20) + TIME(10,26,7)</f>
        <v>41110.434803240743</v>
      </c>
      <c r="C1644">
        <v>80</v>
      </c>
      <c r="D1644">
        <v>79.972236632999994</v>
      </c>
      <c r="E1644">
        <v>40</v>
      </c>
      <c r="F1644">
        <v>38.016929626</v>
      </c>
      <c r="G1644">
        <v>1340.1735839999999</v>
      </c>
      <c r="H1644">
        <v>1337.7788086</v>
      </c>
      <c r="I1644">
        <v>1324.4134521000001</v>
      </c>
      <c r="J1644">
        <v>1321.6527100000001</v>
      </c>
      <c r="K1644">
        <v>2750</v>
      </c>
      <c r="L1644">
        <v>0</v>
      </c>
      <c r="M1644">
        <v>0</v>
      </c>
      <c r="N1644">
        <v>2750</v>
      </c>
    </row>
    <row r="1645" spans="1:14" x14ac:dyDescent="0.25">
      <c r="A1645">
        <v>812.78128000000004</v>
      </c>
      <c r="B1645" s="1">
        <f>DATE(2012,7,21) + TIME(18,45,2)</f>
        <v>41111.781273148146</v>
      </c>
      <c r="C1645">
        <v>80</v>
      </c>
      <c r="D1645">
        <v>79.972236632999994</v>
      </c>
      <c r="E1645">
        <v>40</v>
      </c>
      <c r="F1645">
        <v>38.042449951000002</v>
      </c>
      <c r="G1645">
        <v>1340.1663818</v>
      </c>
      <c r="H1645">
        <v>1337.7749022999999</v>
      </c>
      <c r="I1645">
        <v>1324.4063721</v>
      </c>
      <c r="J1645">
        <v>1321.6385498</v>
      </c>
      <c r="K1645">
        <v>2750</v>
      </c>
      <c r="L1645">
        <v>0</v>
      </c>
      <c r="M1645">
        <v>0</v>
      </c>
      <c r="N1645">
        <v>2750</v>
      </c>
    </row>
    <row r="1646" spans="1:14" x14ac:dyDescent="0.25">
      <c r="A1646">
        <v>814.17097799999999</v>
      </c>
      <c r="B1646" s="1">
        <f>DATE(2012,7,23) + TIME(4,6,12)</f>
        <v>41113.170972222222</v>
      </c>
      <c r="C1646">
        <v>80</v>
      </c>
      <c r="D1646">
        <v>79.972229003999999</v>
      </c>
      <c r="E1646">
        <v>40</v>
      </c>
      <c r="F1646">
        <v>38.076221466</v>
      </c>
      <c r="G1646">
        <v>1340.1593018000001</v>
      </c>
      <c r="H1646">
        <v>1337.7711182</v>
      </c>
      <c r="I1646">
        <v>1324.3985596</v>
      </c>
      <c r="J1646">
        <v>1321.6234131000001</v>
      </c>
      <c r="K1646">
        <v>2750</v>
      </c>
      <c r="L1646">
        <v>0</v>
      </c>
      <c r="M1646">
        <v>0</v>
      </c>
      <c r="N1646">
        <v>2750</v>
      </c>
    </row>
    <row r="1647" spans="1:14" x14ac:dyDescent="0.25">
      <c r="A1647">
        <v>815.56687899999997</v>
      </c>
      <c r="B1647" s="1">
        <f>DATE(2012,7,24) + TIME(13,36,18)</f>
        <v>41114.566874999997</v>
      </c>
      <c r="C1647">
        <v>80</v>
      </c>
      <c r="D1647">
        <v>79.972221375000004</v>
      </c>
      <c r="E1647">
        <v>40</v>
      </c>
      <c r="F1647">
        <v>38.118766784999998</v>
      </c>
      <c r="G1647">
        <v>1340.1520995999999</v>
      </c>
      <c r="H1647">
        <v>1337.7672118999999</v>
      </c>
      <c r="I1647">
        <v>1324.3907471</v>
      </c>
      <c r="J1647">
        <v>1321.6076660000001</v>
      </c>
      <c r="K1647">
        <v>2750</v>
      </c>
      <c r="L1647">
        <v>0</v>
      </c>
      <c r="M1647">
        <v>0</v>
      </c>
      <c r="N1647">
        <v>2750</v>
      </c>
    </row>
    <row r="1648" spans="1:14" x14ac:dyDescent="0.25">
      <c r="A1648">
        <v>816.27194299999996</v>
      </c>
      <c r="B1648" s="1">
        <f>DATE(2012,7,25) + TIME(6,31,35)</f>
        <v>41115.271932870368</v>
      </c>
      <c r="C1648">
        <v>80</v>
      </c>
      <c r="D1648">
        <v>79.972198485999996</v>
      </c>
      <c r="E1648">
        <v>40</v>
      </c>
      <c r="F1648">
        <v>38.157726287999999</v>
      </c>
      <c r="G1648">
        <v>1340.1448975000001</v>
      </c>
      <c r="H1648">
        <v>1337.7633057</v>
      </c>
      <c r="I1648">
        <v>1324.3841553</v>
      </c>
      <c r="J1648">
        <v>1321.5932617000001</v>
      </c>
      <c r="K1648">
        <v>2750</v>
      </c>
      <c r="L1648">
        <v>0</v>
      </c>
      <c r="M1648">
        <v>0</v>
      </c>
      <c r="N1648">
        <v>2750</v>
      </c>
    </row>
    <row r="1649" spans="1:14" x14ac:dyDescent="0.25">
      <c r="A1649">
        <v>817.60190599999999</v>
      </c>
      <c r="B1649" s="1">
        <f>DATE(2012,7,26) + TIME(14,26,44)</f>
        <v>41116.601898148147</v>
      </c>
      <c r="C1649">
        <v>80</v>
      </c>
      <c r="D1649">
        <v>79.972206115999995</v>
      </c>
      <c r="E1649">
        <v>40</v>
      </c>
      <c r="F1649">
        <v>38.205589293999999</v>
      </c>
      <c r="G1649">
        <v>1340.1413574000001</v>
      </c>
      <c r="H1649">
        <v>1337.7613524999999</v>
      </c>
      <c r="I1649">
        <v>1324.3782959</v>
      </c>
      <c r="J1649">
        <v>1321.5828856999999</v>
      </c>
      <c r="K1649">
        <v>2750</v>
      </c>
      <c r="L1649">
        <v>0</v>
      </c>
      <c r="M1649">
        <v>0</v>
      </c>
      <c r="N1649">
        <v>2750</v>
      </c>
    </row>
    <row r="1650" spans="1:14" x14ac:dyDescent="0.25">
      <c r="A1650">
        <v>818.97988499999997</v>
      </c>
      <c r="B1650" s="1">
        <f>DATE(2012,7,27) + TIME(23,31,2)</f>
        <v>41117.979884259257</v>
      </c>
      <c r="C1650">
        <v>80</v>
      </c>
      <c r="D1650">
        <v>79.972198485999996</v>
      </c>
      <c r="E1650">
        <v>40</v>
      </c>
      <c r="F1650">
        <v>38.268695831000002</v>
      </c>
      <c r="G1650">
        <v>1340.1347656</v>
      </c>
      <c r="H1650">
        <v>1337.7576904</v>
      </c>
      <c r="I1650">
        <v>1324.3717041</v>
      </c>
      <c r="J1650">
        <v>1321.5688477000001</v>
      </c>
      <c r="K1650">
        <v>2750</v>
      </c>
      <c r="L1650">
        <v>0</v>
      </c>
      <c r="M1650">
        <v>0</v>
      </c>
      <c r="N1650">
        <v>2750</v>
      </c>
    </row>
    <row r="1651" spans="1:14" x14ac:dyDescent="0.25">
      <c r="A1651">
        <v>820.36469699999998</v>
      </c>
      <c r="B1651" s="1">
        <f>DATE(2012,7,29) + TIME(8,45,9)</f>
        <v>41119.364687499998</v>
      </c>
      <c r="C1651">
        <v>80</v>
      </c>
      <c r="D1651">
        <v>79.972190857000001</v>
      </c>
      <c r="E1651">
        <v>40</v>
      </c>
      <c r="F1651">
        <v>38.346237183</v>
      </c>
      <c r="G1651">
        <v>1340.1279297000001</v>
      </c>
      <c r="H1651">
        <v>1337.7539062000001</v>
      </c>
      <c r="I1651">
        <v>1324.3651123</v>
      </c>
      <c r="J1651">
        <v>1321.5545654</v>
      </c>
      <c r="K1651">
        <v>2750</v>
      </c>
      <c r="L1651">
        <v>0</v>
      </c>
      <c r="M1651">
        <v>0</v>
      </c>
      <c r="N1651">
        <v>2750</v>
      </c>
    </row>
    <row r="1652" spans="1:14" x14ac:dyDescent="0.25">
      <c r="A1652">
        <v>821.06545600000004</v>
      </c>
      <c r="B1652" s="1">
        <f>DATE(2012,7,30) + TIME(1,34,15)</f>
        <v>41120.065451388888</v>
      </c>
      <c r="C1652">
        <v>80</v>
      </c>
      <c r="D1652">
        <v>79.972183228000006</v>
      </c>
      <c r="E1652">
        <v>40</v>
      </c>
      <c r="F1652">
        <v>38.415439606</v>
      </c>
      <c r="G1652">
        <v>1340.1212158000001</v>
      </c>
      <c r="H1652">
        <v>1337.7501221</v>
      </c>
      <c r="I1652">
        <v>1324.3601074000001</v>
      </c>
      <c r="J1652">
        <v>1321.541626</v>
      </c>
      <c r="K1652">
        <v>2750</v>
      </c>
      <c r="L1652">
        <v>0</v>
      </c>
      <c r="M1652">
        <v>0</v>
      </c>
      <c r="N1652">
        <v>2750</v>
      </c>
    </row>
    <row r="1653" spans="1:14" x14ac:dyDescent="0.25">
      <c r="A1653">
        <v>822.41234199999997</v>
      </c>
      <c r="B1653" s="1">
        <f>DATE(2012,7,31) + TIME(9,53,46)</f>
        <v>41121.41233796296</v>
      </c>
      <c r="C1653">
        <v>80</v>
      </c>
      <c r="D1653">
        <v>79.972183228000006</v>
      </c>
      <c r="E1653">
        <v>40</v>
      </c>
      <c r="F1653">
        <v>38.499423981</v>
      </c>
      <c r="G1653">
        <v>1340.1177978999999</v>
      </c>
      <c r="H1653">
        <v>1337.7482910000001</v>
      </c>
      <c r="I1653">
        <v>1324.3547363</v>
      </c>
      <c r="J1653">
        <v>1321.5323486</v>
      </c>
      <c r="K1653">
        <v>2750</v>
      </c>
      <c r="L1653">
        <v>0</v>
      </c>
      <c r="M1653">
        <v>0</v>
      </c>
      <c r="N1653">
        <v>2750</v>
      </c>
    </row>
    <row r="1654" spans="1:14" x14ac:dyDescent="0.25">
      <c r="A1654">
        <v>823</v>
      </c>
      <c r="B1654" s="1">
        <f>DATE(2012,8,1) + TIME(0,0,0)</f>
        <v>41122</v>
      </c>
      <c r="C1654">
        <v>80</v>
      </c>
      <c r="D1654">
        <v>79.972167968999997</v>
      </c>
      <c r="E1654">
        <v>40</v>
      </c>
      <c r="F1654">
        <v>38.574481964</v>
      </c>
      <c r="G1654">
        <v>1340.1114502</v>
      </c>
      <c r="H1654">
        <v>1337.7446289</v>
      </c>
      <c r="I1654">
        <v>1324.3513184000001</v>
      </c>
      <c r="J1654">
        <v>1321.5212402</v>
      </c>
      <c r="K1654">
        <v>2750</v>
      </c>
      <c r="L1654">
        <v>0</v>
      </c>
      <c r="M1654">
        <v>0</v>
      </c>
      <c r="N1654">
        <v>2750</v>
      </c>
    </row>
    <row r="1655" spans="1:14" x14ac:dyDescent="0.25">
      <c r="A1655">
        <v>824.37060199999996</v>
      </c>
      <c r="B1655" s="1">
        <f>DATE(2012,8,2) + TIME(8,53,39)</f>
        <v>41123.37059027778</v>
      </c>
      <c r="C1655">
        <v>80</v>
      </c>
      <c r="D1655">
        <v>79.972175598000007</v>
      </c>
      <c r="E1655">
        <v>40</v>
      </c>
      <c r="F1655">
        <v>38.673637390000003</v>
      </c>
      <c r="G1655">
        <v>1340.1086425999999</v>
      </c>
      <c r="H1655">
        <v>1337.7431641000001</v>
      </c>
      <c r="I1655">
        <v>1324.3464355000001</v>
      </c>
      <c r="J1655">
        <v>1321.5134277</v>
      </c>
      <c r="K1655">
        <v>2750</v>
      </c>
      <c r="L1655">
        <v>0</v>
      </c>
      <c r="M1655">
        <v>0</v>
      </c>
      <c r="N1655">
        <v>2750</v>
      </c>
    </row>
    <row r="1656" spans="1:14" x14ac:dyDescent="0.25">
      <c r="A1656">
        <v>825.74851200000001</v>
      </c>
      <c r="B1656" s="1">
        <f>DATE(2012,8,3) + TIME(17,57,51)</f>
        <v>41124.748506944445</v>
      </c>
      <c r="C1656">
        <v>80</v>
      </c>
      <c r="D1656">
        <v>79.972175598000007</v>
      </c>
      <c r="E1656">
        <v>40</v>
      </c>
      <c r="F1656">
        <v>38.806434631000002</v>
      </c>
      <c r="G1656">
        <v>1340.1022949000001</v>
      </c>
      <c r="H1656">
        <v>1337.7395019999999</v>
      </c>
      <c r="I1656">
        <v>1324.3420410000001</v>
      </c>
      <c r="J1656">
        <v>1321.5018310999999</v>
      </c>
      <c r="K1656">
        <v>2750</v>
      </c>
      <c r="L1656">
        <v>0</v>
      </c>
      <c r="M1656">
        <v>0</v>
      </c>
      <c r="N1656">
        <v>2750</v>
      </c>
    </row>
    <row r="1657" spans="1:14" x14ac:dyDescent="0.25">
      <c r="A1657">
        <v>826.44618700000001</v>
      </c>
      <c r="B1657" s="1">
        <f>DATE(2012,8,4) + TIME(10,42,30)</f>
        <v>41125.446180555555</v>
      </c>
      <c r="C1657">
        <v>80</v>
      </c>
      <c r="D1657">
        <v>79.972167968999997</v>
      </c>
      <c r="E1657">
        <v>40</v>
      </c>
      <c r="F1657">
        <v>38.926067351999997</v>
      </c>
      <c r="G1657">
        <v>1340.0959473</v>
      </c>
      <c r="H1657">
        <v>1337.7358397999999</v>
      </c>
      <c r="I1657">
        <v>1324.3393555</v>
      </c>
      <c r="J1657">
        <v>1321.4914550999999</v>
      </c>
      <c r="K1657">
        <v>2750</v>
      </c>
      <c r="L1657">
        <v>0</v>
      </c>
      <c r="M1657">
        <v>0</v>
      </c>
      <c r="N1657">
        <v>2750</v>
      </c>
    </row>
    <row r="1658" spans="1:14" x14ac:dyDescent="0.25">
      <c r="A1658">
        <v>827.77223100000003</v>
      </c>
      <c r="B1658" s="1">
        <f>DATE(2012,8,5) + TIME(18,32,0)</f>
        <v>41126.772222222222</v>
      </c>
      <c r="C1658">
        <v>80</v>
      </c>
      <c r="D1658">
        <v>79.972167968999997</v>
      </c>
      <c r="E1658">
        <v>40</v>
      </c>
      <c r="F1658">
        <v>39.068660735999998</v>
      </c>
      <c r="G1658">
        <v>1340.0927733999999</v>
      </c>
      <c r="H1658">
        <v>1337.7340088000001</v>
      </c>
      <c r="I1658">
        <v>1324.3345947</v>
      </c>
      <c r="J1658">
        <v>1321.4840088000001</v>
      </c>
      <c r="K1658">
        <v>2750</v>
      </c>
      <c r="L1658">
        <v>0</v>
      </c>
      <c r="M1658">
        <v>0</v>
      </c>
      <c r="N1658">
        <v>2750</v>
      </c>
    </row>
    <row r="1659" spans="1:14" x14ac:dyDescent="0.25">
      <c r="A1659">
        <v>829.13517999999999</v>
      </c>
      <c r="B1659" s="1">
        <f>DATE(2012,8,7) + TIME(3,14,39)</f>
        <v>41128.13517361111</v>
      </c>
      <c r="C1659">
        <v>80</v>
      </c>
      <c r="D1659">
        <v>79.972167968999997</v>
      </c>
      <c r="E1659">
        <v>40</v>
      </c>
      <c r="F1659">
        <v>39.250247954999999</v>
      </c>
      <c r="G1659">
        <v>1340.0867920000001</v>
      </c>
      <c r="H1659">
        <v>1337.7305908000001</v>
      </c>
      <c r="I1659">
        <v>1324.3311768000001</v>
      </c>
      <c r="J1659">
        <v>1321.4742432</v>
      </c>
      <c r="K1659">
        <v>2750</v>
      </c>
      <c r="L1659">
        <v>0</v>
      </c>
      <c r="M1659">
        <v>0</v>
      </c>
      <c r="N1659">
        <v>2750</v>
      </c>
    </row>
    <row r="1660" spans="1:14" x14ac:dyDescent="0.25">
      <c r="A1660">
        <v>830.50244399999997</v>
      </c>
      <c r="B1660" s="1">
        <f>DATE(2012,8,8) + TIME(12,3,31)</f>
        <v>41129.502442129633</v>
      </c>
      <c r="C1660">
        <v>80</v>
      </c>
      <c r="D1660">
        <v>79.972167968999997</v>
      </c>
      <c r="E1660">
        <v>40</v>
      </c>
      <c r="F1660">
        <v>39.463691711000003</v>
      </c>
      <c r="G1660">
        <v>1340.0806885</v>
      </c>
      <c r="H1660">
        <v>1337.7270507999999</v>
      </c>
      <c r="I1660">
        <v>1324.3278809000001</v>
      </c>
      <c r="J1660">
        <v>1321.4648437999999</v>
      </c>
      <c r="K1660">
        <v>2750</v>
      </c>
      <c r="L1660">
        <v>0</v>
      </c>
      <c r="M1660">
        <v>0</v>
      </c>
      <c r="N1660">
        <v>2750</v>
      </c>
    </row>
    <row r="1661" spans="1:14" x14ac:dyDescent="0.25">
      <c r="A1661">
        <v>831.88440100000003</v>
      </c>
      <c r="B1661" s="1">
        <f>DATE(2012,8,9) + TIME(21,13,32)</f>
        <v>41130.884398148148</v>
      </c>
      <c r="C1661">
        <v>80</v>
      </c>
      <c r="D1661">
        <v>79.972167968999997</v>
      </c>
      <c r="E1661">
        <v>40</v>
      </c>
      <c r="F1661">
        <v>39.707248688</v>
      </c>
      <c r="G1661">
        <v>1340.074707</v>
      </c>
      <c r="H1661">
        <v>1337.7235106999999</v>
      </c>
      <c r="I1661">
        <v>1324.3249512</v>
      </c>
      <c r="J1661">
        <v>1321.4560547000001</v>
      </c>
      <c r="K1661">
        <v>2750</v>
      </c>
      <c r="L1661">
        <v>0</v>
      </c>
      <c r="M1661">
        <v>0</v>
      </c>
      <c r="N1661">
        <v>2750</v>
      </c>
    </row>
    <row r="1662" spans="1:14" x14ac:dyDescent="0.25">
      <c r="A1662">
        <v>832.58182599999998</v>
      </c>
      <c r="B1662" s="1">
        <f>DATE(2012,8,10) + TIME(13,57,49)</f>
        <v>41131.581817129627</v>
      </c>
      <c r="C1662">
        <v>80</v>
      </c>
      <c r="D1662">
        <v>79.972160338999998</v>
      </c>
      <c r="E1662">
        <v>40</v>
      </c>
      <c r="F1662">
        <v>39.914188385000003</v>
      </c>
      <c r="G1662">
        <v>1340.0686035000001</v>
      </c>
      <c r="H1662">
        <v>1337.7199707</v>
      </c>
      <c r="I1662">
        <v>1324.3248291</v>
      </c>
      <c r="J1662">
        <v>1321.4490966999999</v>
      </c>
      <c r="K1662">
        <v>2750</v>
      </c>
      <c r="L1662">
        <v>0</v>
      </c>
      <c r="M1662">
        <v>0</v>
      </c>
      <c r="N1662">
        <v>2750</v>
      </c>
    </row>
    <row r="1663" spans="1:14" x14ac:dyDescent="0.25">
      <c r="A1663">
        <v>833.84891200000004</v>
      </c>
      <c r="B1663" s="1">
        <f>DATE(2012,8,11) + TIME(20,22,25)</f>
        <v>41132.848900462966</v>
      </c>
      <c r="C1663">
        <v>80</v>
      </c>
      <c r="D1663">
        <v>79.972160338999998</v>
      </c>
      <c r="E1663">
        <v>40</v>
      </c>
      <c r="F1663">
        <v>40.148380279999998</v>
      </c>
      <c r="G1663">
        <v>1340.0655518000001</v>
      </c>
      <c r="H1663">
        <v>1337.7181396000001</v>
      </c>
      <c r="I1663">
        <v>1324.3205565999999</v>
      </c>
      <c r="J1663">
        <v>1321.4444579999999</v>
      </c>
      <c r="K1663">
        <v>2750</v>
      </c>
      <c r="L1663">
        <v>0</v>
      </c>
      <c r="M1663">
        <v>0</v>
      </c>
      <c r="N1663">
        <v>2750</v>
      </c>
    </row>
    <row r="1664" spans="1:14" x14ac:dyDescent="0.25">
      <c r="A1664">
        <v>835.19900800000005</v>
      </c>
      <c r="B1664" s="1">
        <f>DATE(2012,8,13) + TIME(4,46,34)</f>
        <v>41134.199004629627</v>
      </c>
      <c r="C1664">
        <v>80</v>
      </c>
      <c r="D1664">
        <v>79.972167968999997</v>
      </c>
      <c r="E1664">
        <v>40</v>
      </c>
      <c r="F1664">
        <v>40.433654785000002</v>
      </c>
      <c r="G1664">
        <v>1340.0599365</v>
      </c>
      <c r="H1664">
        <v>1337.7148437999999</v>
      </c>
      <c r="I1664">
        <v>1324.3190918</v>
      </c>
      <c r="J1664">
        <v>1321.4385986</v>
      </c>
      <c r="K1664">
        <v>2750</v>
      </c>
      <c r="L1664">
        <v>0</v>
      </c>
      <c r="M1664">
        <v>0</v>
      </c>
      <c r="N1664">
        <v>2750</v>
      </c>
    </row>
    <row r="1665" spans="1:14" x14ac:dyDescent="0.25">
      <c r="A1665">
        <v>836.56732099999999</v>
      </c>
      <c r="B1665" s="1">
        <f>DATE(2012,8,14) + TIME(13,36,56)</f>
        <v>41135.567314814813</v>
      </c>
      <c r="C1665">
        <v>80</v>
      </c>
      <c r="D1665">
        <v>79.972167968999997</v>
      </c>
      <c r="E1665">
        <v>40</v>
      </c>
      <c r="F1665">
        <v>40.766326904000003</v>
      </c>
      <c r="G1665">
        <v>1340.0541992000001</v>
      </c>
      <c r="H1665">
        <v>1337.7114257999999</v>
      </c>
      <c r="I1665">
        <v>1324.3178711</v>
      </c>
      <c r="J1665">
        <v>1321.4333495999999</v>
      </c>
      <c r="K1665">
        <v>2750</v>
      </c>
      <c r="L1665">
        <v>0</v>
      </c>
      <c r="M1665">
        <v>0</v>
      </c>
      <c r="N1665">
        <v>2750</v>
      </c>
    </row>
    <row r="1666" spans="1:14" x14ac:dyDescent="0.25">
      <c r="A1666">
        <v>837.26560099999995</v>
      </c>
      <c r="B1666" s="1">
        <f>DATE(2012,8,15) + TIME(6,22,27)</f>
        <v>41136.265590277777</v>
      </c>
      <c r="C1666">
        <v>80</v>
      </c>
      <c r="D1666">
        <v>79.972160338999998</v>
      </c>
      <c r="E1666">
        <v>40</v>
      </c>
      <c r="F1666">
        <v>41.045875549000002</v>
      </c>
      <c r="G1666">
        <v>1340.0483397999999</v>
      </c>
      <c r="H1666">
        <v>1337.7078856999999</v>
      </c>
      <c r="I1666">
        <v>1324.3198242000001</v>
      </c>
      <c r="J1666">
        <v>1321.4298096</v>
      </c>
      <c r="K1666">
        <v>2750</v>
      </c>
      <c r="L1666">
        <v>0</v>
      </c>
      <c r="M1666">
        <v>0</v>
      </c>
      <c r="N1666">
        <v>2750</v>
      </c>
    </row>
    <row r="1667" spans="1:14" x14ac:dyDescent="0.25">
      <c r="A1667">
        <v>838.52546500000005</v>
      </c>
      <c r="B1667" s="1">
        <f>DATE(2012,8,16) + TIME(12,36,40)</f>
        <v>41137.525462962964</v>
      </c>
      <c r="C1667">
        <v>80</v>
      </c>
      <c r="D1667">
        <v>79.972160338999998</v>
      </c>
      <c r="E1667">
        <v>40</v>
      </c>
      <c r="F1667">
        <v>41.354564666999998</v>
      </c>
      <c r="G1667">
        <v>1340.0452881000001</v>
      </c>
      <c r="H1667">
        <v>1337.7061768000001</v>
      </c>
      <c r="I1667">
        <v>1324.3160399999999</v>
      </c>
      <c r="J1667">
        <v>1321.4276123</v>
      </c>
      <c r="K1667">
        <v>2750</v>
      </c>
      <c r="L1667">
        <v>0</v>
      </c>
      <c r="M1667">
        <v>0</v>
      </c>
      <c r="N1667">
        <v>2750</v>
      </c>
    </row>
    <row r="1668" spans="1:14" x14ac:dyDescent="0.25">
      <c r="A1668">
        <v>839.87231099999997</v>
      </c>
      <c r="B1668" s="1">
        <f>DATE(2012,8,17) + TIME(20,56,7)</f>
        <v>41138.872303240743</v>
      </c>
      <c r="C1668">
        <v>80</v>
      </c>
      <c r="D1668">
        <v>79.972167968999997</v>
      </c>
      <c r="E1668">
        <v>40</v>
      </c>
      <c r="F1668">
        <v>41.734519958</v>
      </c>
      <c r="G1668">
        <v>1340.0400391000001</v>
      </c>
      <c r="H1668">
        <v>1337.7030029</v>
      </c>
      <c r="I1668">
        <v>1324.3155518000001</v>
      </c>
      <c r="J1668">
        <v>1321.4249268000001</v>
      </c>
      <c r="K1668">
        <v>2750</v>
      </c>
      <c r="L1668">
        <v>0</v>
      </c>
      <c r="M1668">
        <v>0</v>
      </c>
      <c r="N1668">
        <v>2750</v>
      </c>
    </row>
    <row r="1669" spans="1:14" x14ac:dyDescent="0.25">
      <c r="A1669">
        <v>841.24666100000002</v>
      </c>
      <c r="B1669" s="1">
        <f>DATE(2012,8,19) + TIME(5,55,11)</f>
        <v>41140.246655092589</v>
      </c>
      <c r="C1669">
        <v>80</v>
      </c>
      <c r="D1669">
        <v>79.972167968999997</v>
      </c>
      <c r="E1669">
        <v>40</v>
      </c>
      <c r="F1669">
        <v>42.146827698000003</v>
      </c>
      <c r="G1669">
        <v>1340.0345459</v>
      </c>
      <c r="H1669">
        <v>1337.6995850000001</v>
      </c>
      <c r="I1669">
        <v>1324.3156738</v>
      </c>
      <c r="J1669">
        <v>1321.4229736</v>
      </c>
      <c r="K1669">
        <v>2750</v>
      </c>
      <c r="L1669">
        <v>0</v>
      </c>
      <c r="M1669">
        <v>0</v>
      </c>
      <c r="N1669">
        <v>2750</v>
      </c>
    </row>
    <row r="1670" spans="1:14" x14ac:dyDescent="0.25">
      <c r="A1670">
        <v>842.65757299999996</v>
      </c>
      <c r="B1670" s="1">
        <f>DATE(2012,8,20) + TIME(15,46,54)</f>
        <v>41141.657569444447</v>
      </c>
      <c r="C1670">
        <v>80</v>
      </c>
      <c r="D1670">
        <v>79.972175598000007</v>
      </c>
      <c r="E1670">
        <v>40</v>
      </c>
      <c r="F1670">
        <v>42.595554352000001</v>
      </c>
      <c r="G1670">
        <v>1340.0289307</v>
      </c>
      <c r="H1670">
        <v>1337.6961670000001</v>
      </c>
      <c r="I1670">
        <v>1324.315918</v>
      </c>
      <c r="J1670">
        <v>1321.421875</v>
      </c>
      <c r="K1670">
        <v>2750</v>
      </c>
      <c r="L1670">
        <v>0</v>
      </c>
      <c r="M1670">
        <v>0</v>
      </c>
      <c r="N1670">
        <v>2750</v>
      </c>
    </row>
    <row r="1671" spans="1:14" x14ac:dyDescent="0.25">
      <c r="A1671">
        <v>844.09422099999995</v>
      </c>
      <c r="B1671" s="1">
        <f>DATE(2012,8,22) + TIME(2,15,40)</f>
        <v>41143.094212962962</v>
      </c>
      <c r="C1671">
        <v>80</v>
      </c>
      <c r="D1671">
        <v>79.972175598000007</v>
      </c>
      <c r="E1671">
        <v>40</v>
      </c>
      <c r="F1671">
        <v>43.082828522</v>
      </c>
      <c r="G1671">
        <v>1340.0231934000001</v>
      </c>
      <c r="H1671">
        <v>1337.692749</v>
      </c>
      <c r="I1671">
        <v>1324.3165283000001</v>
      </c>
      <c r="J1671">
        <v>1321.4217529</v>
      </c>
      <c r="K1671">
        <v>2750</v>
      </c>
      <c r="L1671">
        <v>0</v>
      </c>
      <c r="M1671">
        <v>0</v>
      </c>
      <c r="N1671">
        <v>2750</v>
      </c>
    </row>
    <row r="1672" spans="1:14" x14ac:dyDescent="0.25">
      <c r="A1672">
        <v>845.55523200000005</v>
      </c>
      <c r="B1672" s="1">
        <f>DATE(2012,8,23) + TIME(13,19,32)</f>
        <v>41144.555231481485</v>
      </c>
      <c r="C1672">
        <v>80</v>
      </c>
      <c r="D1672">
        <v>79.972175598000007</v>
      </c>
      <c r="E1672">
        <v>40</v>
      </c>
      <c r="F1672">
        <v>43.603397369</v>
      </c>
      <c r="G1672">
        <v>1340.0174560999999</v>
      </c>
      <c r="H1672">
        <v>1337.6893310999999</v>
      </c>
      <c r="I1672">
        <v>1324.3173827999999</v>
      </c>
      <c r="J1672">
        <v>1321.4226074000001</v>
      </c>
      <c r="K1672">
        <v>2750</v>
      </c>
      <c r="L1672">
        <v>0</v>
      </c>
      <c r="M1672">
        <v>0</v>
      </c>
      <c r="N1672">
        <v>2750</v>
      </c>
    </row>
    <row r="1673" spans="1:14" x14ac:dyDescent="0.25">
      <c r="A1673">
        <v>847.06372099999999</v>
      </c>
      <c r="B1673" s="1">
        <f>DATE(2012,8,25) + TIME(1,31,45)</f>
        <v>41146.063715277778</v>
      </c>
      <c r="C1673">
        <v>80</v>
      </c>
      <c r="D1673">
        <v>79.972183228000006</v>
      </c>
      <c r="E1673">
        <v>40</v>
      </c>
      <c r="F1673">
        <v>44.15202713</v>
      </c>
      <c r="G1673">
        <v>1340.0118408000001</v>
      </c>
      <c r="H1673">
        <v>1337.6857910000001</v>
      </c>
      <c r="I1673">
        <v>1324.3186035000001</v>
      </c>
      <c r="J1673">
        <v>1321.4244385</v>
      </c>
      <c r="K1673">
        <v>2750</v>
      </c>
      <c r="L1673">
        <v>0</v>
      </c>
      <c r="M1673">
        <v>0</v>
      </c>
      <c r="N1673">
        <v>2750</v>
      </c>
    </row>
    <row r="1674" spans="1:14" x14ac:dyDescent="0.25">
      <c r="A1674">
        <v>848.64319</v>
      </c>
      <c r="B1674" s="1">
        <f>DATE(2012,8,26) + TIME(15,26,11)</f>
        <v>41147.643182870372</v>
      </c>
      <c r="C1674">
        <v>80</v>
      </c>
      <c r="D1674">
        <v>79.972190857000001</v>
      </c>
      <c r="E1674">
        <v>40</v>
      </c>
      <c r="F1674">
        <v>44.728973388999997</v>
      </c>
      <c r="G1674">
        <v>1340.0059814000001</v>
      </c>
      <c r="H1674">
        <v>1337.682251</v>
      </c>
      <c r="I1674">
        <v>1324.3199463000001</v>
      </c>
      <c r="J1674">
        <v>1321.4270019999999</v>
      </c>
      <c r="K1674">
        <v>2750</v>
      </c>
      <c r="L1674">
        <v>0</v>
      </c>
      <c r="M1674">
        <v>0</v>
      </c>
      <c r="N1674">
        <v>2750</v>
      </c>
    </row>
    <row r="1675" spans="1:14" x14ac:dyDescent="0.25">
      <c r="A1675">
        <v>850.293904</v>
      </c>
      <c r="B1675" s="1">
        <f>DATE(2012,8,28) + TIME(7,3,13)</f>
        <v>41149.293900462966</v>
      </c>
      <c r="C1675">
        <v>80</v>
      </c>
      <c r="D1675">
        <v>79.972190857000001</v>
      </c>
      <c r="E1675">
        <v>40</v>
      </c>
      <c r="F1675">
        <v>45.333889008</v>
      </c>
      <c r="G1675">
        <v>1340</v>
      </c>
      <c r="H1675">
        <v>1337.6785889</v>
      </c>
      <c r="I1675">
        <v>1324.3218993999999</v>
      </c>
      <c r="J1675">
        <v>1321.4304199000001</v>
      </c>
      <c r="K1675">
        <v>2750</v>
      </c>
      <c r="L1675">
        <v>0</v>
      </c>
      <c r="M1675">
        <v>0</v>
      </c>
      <c r="N1675">
        <v>2750</v>
      </c>
    </row>
    <row r="1676" spans="1:14" x14ac:dyDescent="0.25">
      <c r="A1676">
        <v>851.98145499999998</v>
      </c>
      <c r="B1676" s="1">
        <f>DATE(2012,8,29) + TIME(23,33,17)</f>
        <v>41150.981446759259</v>
      </c>
      <c r="C1676">
        <v>80</v>
      </c>
      <c r="D1676">
        <v>79.972198485999996</v>
      </c>
      <c r="E1676">
        <v>40</v>
      </c>
      <c r="F1676">
        <v>45.959842682000001</v>
      </c>
      <c r="G1676">
        <v>1339.9938964999999</v>
      </c>
      <c r="H1676">
        <v>1337.6748047000001</v>
      </c>
      <c r="I1676">
        <v>1324.3243408000001</v>
      </c>
      <c r="J1676">
        <v>1321.4348144999999</v>
      </c>
      <c r="K1676">
        <v>2750</v>
      </c>
      <c r="L1676">
        <v>0</v>
      </c>
      <c r="M1676">
        <v>0</v>
      </c>
      <c r="N1676">
        <v>2750</v>
      </c>
    </row>
    <row r="1677" spans="1:14" x14ac:dyDescent="0.25">
      <c r="A1677">
        <v>853.72843</v>
      </c>
      <c r="B1677" s="1">
        <f>DATE(2012,8,31) + TIME(17,28,56)</f>
        <v>41152.728425925925</v>
      </c>
      <c r="C1677">
        <v>80</v>
      </c>
      <c r="D1677">
        <v>79.972206115999995</v>
      </c>
      <c r="E1677">
        <v>40</v>
      </c>
      <c r="F1677">
        <v>46.596988678000002</v>
      </c>
      <c r="G1677">
        <v>1339.9876709</v>
      </c>
      <c r="H1677">
        <v>1337.6710204999999</v>
      </c>
      <c r="I1677">
        <v>1324.3270264</v>
      </c>
      <c r="J1677">
        <v>1321.4399414</v>
      </c>
      <c r="K1677">
        <v>2750</v>
      </c>
      <c r="L1677">
        <v>0</v>
      </c>
      <c r="M1677">
        <v>0</v>
      </c>
      <c r="N1677">
        <v>2750</v>
      </c>
    </row>
    <row r="1678" spans="1:14" x14ac:dyDescent="0.25">
      <c r="A1678">
        <v>854</v>
      </c>
      <c r="B1678" s="1">
        <f>DATE(2012,9,1) + TIME(0,0,0)</f>
        <v>41153</v>
      </c>
      <c r="C1678">
        <v>80</v>
      </c>
      <c r="D1678">
        <v>79.972198485999996</v>
      </c>
      <c r="E1678">
        <v>40</v>
      </c>
      <c r="F1678">
        <v>46.869617462000001</v>
      </c>
      <c r="G1678">
        <v>1339.9815673999999</v>
      </c>
      <c r="H1678">
        <v>1337.6672363</v>
      </c>
      <c r="I1678">
        <v>1324.3402100000001</v>
      </c>
      <c r="J1678">
        <v>1321.4462891000001</v>
      </c>
      <c r="K1678">
        <v>2750</v>
      </c>
      <c r="L1678">
        <v>0</v>
      </c>
      <c r="M1678">
        <v>0</v>
      </c>
      <c r="N1678">
        <v>2750</v>
      </c>
    </row>
    <row r="1679" spans="1:14" x14ac:dyDescent="0.25">
      <c r="A1679">
        <v>855.83029399999998</v>
      </c>
      <c r="B1679" s="1">
        <f>DATE(2012,9,2) + TIME(19,55,37)</f>
        <v>41154.830289351848</v>
      </c>
      <c r="C1679">
        <v>80</v>
      </c>
      <c r="D1679">
        <v>79.972213745000005</v>
      </c>
      <c r="E1679">
        <v>40</v>
      </c>
      <c r="F1679">
        <v>47.385753631999997</v>
      </c>
      <c r="G1679">
        <v>1339.9804687999999</v>
      </c>
      <c r="H1679">
        <v>1337.666626</v>
      </c>
      <c r="I1679">
        <v>1324.3306885</v>
      </c>
      <c r="J1679">
        <v>1321.4487305</v>
      </c>
      <c r="K1679">
        <v>2750</v>
      </c>
      <c r="L1679">
        <v>0</v>
      </c>
      <c r="M1679">
        <v>0</v>
      </c>
      <c r="N1679">
        <v>2750</v>
      </c>
    </row>
    <row r="1680" spans="1:14" x14ac:dyDescent="0.25">
      <c r="A1680">
        <v>857.69348400000001</v>
      </c>
      <c r="B1680" s="1">
        <f>DATE(2012,9,4) + TIME(16,38,37)</f>
        <v>41156.693483796298</v>
      </c>
      <c r="C1680">
        <v>80</v>
      </c>
      <c r="D1680">
        <v>79.972221375000004</v>
      </c>
      <c r="E1680">
        <v>40</v>
      </c>
      <c r="F1680">
        <v>48.007675171000002</v>
      </c>
      <c r="G1680">
        <v>1339.9741211</v>
      </c>
      <c r="H1680">
        <v>1337.6625977000001</v>
      </c>
      <c r="I1680">
        <v>1324.3348389</v>
      </c>
      <c r="J1680">
        <v>1321.4539795000001</v>
      </c>
      <c r="K1680">
        <v>2750</v>
      </c>
      <c r="L1680">
        <v>0</v>
      </c>
      <c r="M1680">
        <v>0</v>
      </c>
      <c r="N1680">
        <v>2750</v>
      </c>
    </row>
    <row r="1681" spans="1:14" x14ac:dyDescent="0.25">
      <c r="A1681">
        <v>859.60540100000003</v>
      </c>
      <c r="B1681" s="1">
        <f>DATE(2012,9,6) + TIME(14,31,46)</f>
        <v>41158.605393518519</v>
      </c>
      <c r="C1681">
        <v>80</v>
      </c>
      <c r="D1681">
        <v>79.972236632999994</v>
      </c>
      <c r="E1681">
        <v>40</v>
      </c>
      <c r="F1681">
        <v>48.646812439000001</v>
      </c>
      <c r="G1681">
        <v>1339.9676514</v>
      </c>
      <c r="H1681">
        <v>1337.6586914</v>
      </c>
      <c r="I1681">
        <v>1324.3392334</v>
      </c>
      <c r="J1681">
        <v>1321.4610596</v>
      </c>
      <c r="K1681">
        <v>2750</v>
      </c>
      <c r="L1681">
        <v>0</v>
      </c>
      <c r="M1681">
        <v>0</v>
      </c>
      <c r="N1681">
        <v>2750</v>
      </c>
    </row>
    <row r="1682" spans="1:14" x14ac:dyDescent="0.25">
      <c r="A1682">
        <v>861.58777899999995</v>
      </c>
      <c r="B1682" s="1">
        <f>DATE(2012,9,8) + TIME(14,6,24)</f>
        <v>41160.587777777779</v>
      </c>
      <c r="C1682">
        <v>80</v>
      </c>
      <c r="D1682">
        <v>79.972244262999993</v>
      </c>
      <c r="E1682">
        <v>40</v>
      </c>
      <c r="F1682">
        <v>49.282165526999997</v>
      </c>
      <c r="G1682">
        <v>1339.9613036999999</v>
      </c>
      <c r="H1682">
        <v>1337.6546631000001</v>
      </c>
      <c r="I1682">
        <v>1324.3442382999999</v>
      </c>
      <c r="J1682">
        <v>1321.4691161999999</v>
      </c>
      <c r="K1682">
        <v>2750</v>
      </c>
      <c r="L1682">
        <v>0</v>
      </c>
      <c r="M1682">
        <v>0</v>
      </c>
      <c r="N1682">
        <v>2750</v>
      </c>
    </row>
    <row r="1683" spans="1:14" x14ac:dyDescent="0.25">
      <c r="A1683">
        <v>863.61884899999995</v>
      </c>
      <c r="B1683" s="1">
        <f>DATE(2012,9,10) + TIME(14,51,8)</f>
        <v>41162.618842592594</v>
      </c>
      <c r="C1683">
        <v>80</v>
      </c>
      <c r="D1683">
        <v>79.972251892000003</v>
      </c>
      <c r="E1683">
        <v>40</v>
      </c>
      <c r="F1683">
        <v>49.914119720000002</v>
      </c>
      <c r="G1683">
        <v>1339.9547118999999</v>
      </c>
      <c r="H1683">
        <v>1337.6506348</v>
      </c>
      <c r="I1683">
        <v>1324.3498535000001</v>
      </c>
      <c r="J1683">
        <v>1321.4779053</v>
      </c>
      <c r="K1683">
        <v>2750</v>
      </c>
      <c r="L1683">
        <v>0</v>
      </c>
      <c r="M1683">
        <v>0</v>
      </c>
      <c r="N1683">
        <v>2750</v>
      </c>
    </row>
    <row r="1684" spans="1:14" x14ac:dyDescent="0.25">
      <c r="A1684">
        <v>865.68464300000005</v>
      </c>
      <c r="B1684" s="1">
        <f>DATE(2012,9,12) + TIME(16,25,53)</f>
        <v>41164.684641203705</v>
      </c>
      <c r="C1684">
        <v>80</v>
      </c>
      <c r="D1684">
        <v>79.972267150999997</v>
      </c>
      <c r="E1684">
        <v>40</v>
      </c>
      <c r="F1684">
        <v>50.536804199000002</v>
      </c>
      <c r="G1684">
        <v>1339.9481201000001</v>
      </c>
      <c r="H1684">
        <v>1337.6466064000001</v>
      </c>
      <c r="I1684">
        <v>1324.355957</v>
      </c>
      <c r="J1684">
        <v>1321.4874268000001</v>
      </c>
      <c r="K1684">
        <v>2750</v>
      </c>
      <c r="L1684">
        <v>0</v>
      </c>
      <c r="M1684">
        <v>0</v>
      </c>
      <c r="N1684">
        <v>2750</v>
      </c>
    </row>
    <row r="1685" spans="1:14" x14ac:dyDescent="0.25">
      <c r="A1685">
        <v>867.80679899999996</v>
      </c>
      <c r="B1685" s="1">
        <f>DATE(2012,9,14) + TIME(19,21,47)</f>
        <v>41166.806793981479</v>
      </c>
      <c r="C1685">
        <v>80</v>
      </c>
      <c r="D1685">
        <v>79.972274780000006</v>
      </c>
      <c r="E1685">
        <v>40</v>
      </c>
      <c r="F1685">
        <v>51.148399353000002</v>
      </c>
      <c r="G1685">
        <v>1339.9416504000001</v>
      </c>
      <c r="H1685">
        <v>1337.6425781</v>
      </c>
      <c r="I1685">
        <v>1324.3624268000001</v>
      </c>
      <c r="J1685">
        <v>1321.4974365</v>
      </c>
      <c r="K1685">
        <v>2750</v>
      </c>
      <c r="L1685">
        <v>0</v>
      </c>
      <c r="M1685">
        <v>0</v>
      </c>
      <c r="N1685">
        <v>2750</v>
      </c>
    </row>
    <row r="1686" spans="1:14" x14ac:dyDescent="0.25">
      <c r="A1686">
        <v>870.00775699999997</v>
      </c>
      <c r="B1686" s="1">
        <f>DATE(2012,9,17) + TIME(0,11,10)</f>
        <v>41169.007754629631</v>
      </c>
      <c r="C1686">
        <v>80</v>
      </c>
      <c r="D1686">
        <v>79.972290039000001</v>
      </c>
      <c r="E1686">
        <v>40</v>
      </c>
      <c r="F1686">
        <v>51.752117157000001</v>
      </c>
      <c r="G1686">
        <v>1339.9350586</v>
      </c>
      <c r="H1686">
        <v>1337.6384277</v>
      </c>
      <c r="I1686">
        <v>1324.3693848</v>
      </c>
      <c r="J1686">
        <v>1321.5078125</v>
      </c>
      <c r="K1686">
        <v>2750</v>
      </c>
      <c r="L1686">
        <v>0</v>
      </c>
      <c r="M1686">
        <v>0</v>
      </c>
      <c r="N1686">
        <v>2750</v>
      </c>
    </row>
    <row r="1687" spans="1:14" x14ac:dyDescent="0.25">
      <c r="A1687">
        <v>872.24231299999997</v>
      </c>
      <c r="B1687" s="1">
        <f>DATE(2012,9,19) + TIME(5,48,55)</f>
        <v>41171.242303240739</v>
      </c>
      <c r="C1687">
        <v>80</v>
      </c>
      <c r="D1687">
        <v>79.972305297999995</v>
      </c>
      <c r="E1687">
        <v>40</v>
      </c>
      <c r="F1687">
        <v>52.347873688</v>
      </c>
      <c r="G1687">
        <v>1339.9284668</v>
      </c>
      <c r="H1687">
        <v>1337.6343993999999</v>
      </c>
      <c r="I1687">
        <v>1324.3767089999999</v>
      </c>
      <c r="J1687">
        <v>1321.5185547000001</v>
      </c>
      <c r="K1687">
        <v>2750</v>
      </c>
      <c r="L1687">
        <v>0</v>
      </c>
      <c r="M1687">
        <v>0</v>
      </c>
      <c r="N1687">
        <v>2750</v>
      </c>
    </row>
    <row r="1688" spans="1:14" x14ac:dyDescent="0.25">
      <c r="A1688">
        <v>874.52056900000002</v>
      </c>
      <c r="B1688" s="1">
        <f>DATE(2012,9,21) + TIME(12,29,37)</f>
        <v>41173.520567129628</v>
      </c>
      <c r="C1688">
        <v>80</v>
      </c>
      <c r="D1688">
        <v>79.972320557000003</v>
      </c>
      <c r="E1688">
        <v>40</v>
      </c>
      <c r="F1688">
        <v>52.928588867000002</v>
      </c>
      <c r="G1688">
        <v>1339.921875</v>
      </c>
      <c r="H1688">
        <v>1337.630249</v>
      </c>
      <c r="I1688">
        <v>1324.3841553</v>
      </c>
      <c r="J1688">
        <v>1321.5296631000001</v>
      </c>
      <c r="K1688">
        <v>2750</v>
      </c>
      <c r="L1688">
        <v>0</v>
      </c>
      <c r="M1688">
        <v>0</v>
      </c>
      <c r="N1688">
        <v>2750</v>
      </c>
    </row>
    <row r="1689" spans="1:14" x14ac:dyDescent="0.25">
      <c r="A1689">
        <v>876.86652100000003</v>
      </c>
      <c r="B1689" s="1">
        <f>DATE(2012,9,23) + TIME(20,47,47)</f>
        <v>41175.866516203707</v>
      </c>
      <c r="C1689">
        <v>80</v>
      </c>
      <c r="D1689">
        <v>79.972335814999994</v>
      </c>
      <c r="E1689">
        <v>40</v>
      </c>
      <c r="F1689">
        <v>53.492691039999997</v>
      </c>
      <c r="G1689">
        <v>1339.9152832</v>
      </c>
      <c r="H1689">
        <v>1337.6262207</v>
      </c>
      <c r="I1689">
        <v>1324.3919678</v>
      </c>
      <c r="J1689">
        <v>1321.5407714999999</v>
      </c>
      <c r="K1689">
        <v>2750</v>
      </c>
      <c r="L1689">
        <v>0</v>
      </c>
      <c r="M1689">
        <v>0</v>
      </c>
      <c r="N1689">
        <v>2750</v>
      </c>
    </row>
    <row r="1690" spans="1:14" x14ac:dyDescent="0.25">
      <c r="A1690">
        <v>879.28955599999995</v>
      </c>
      <c r="B1690" s="1">
        <f>DATE(2012,9,26) + TIME(6,56,57)</f>
        <v>41178.289548611108</v>
      </c>
      <c r="C1690">
        <v>80</v>
      </c>
      <c r="D1690">
        <v>79.972351074000002</v>
      </c>
      <c r="E1690">
        <v>40</v>
      </c>
      <c r="F1690">
        <v>54.047477721999996</v>
      </c>
      <c r="G1690">
        <v>1339.9086914</v>
      </c>
      <c r="H1690">
        <v>1337.6220702999999</v>
      </c>
      <c r="I1690">
        <v>1324.3997803</v>
      </c>
      <c r="J1690">
        <v>1321.5520019999999</v>
      </c>
      <c r="K1690">
        <v>2750</v>
      </c>
      <c r="L1690">
        <v>0</v>
      </c>
      <c r="M1690">
        <v>0</v>
      </c>
      <c r="N1690">
        <v>2750</v>
      </c>
    </row>
    <row r="1691" spans="1:14" x14ac:dyDescent="0.25">
      <c r="A1691">
        <v>881.74400800000001</v>
      </c>
      <c r="B1691" s="1">
        <f>DATE(2012,9,28) + TIME(17,51,22)</f>
        <v>41180.744004629632</v>
      </c>
      <c r="C1691">
        <v>80</v>
      </c>
      <c r="D1691">
        <v>79.972366332999997</v>
      </c>
      <c r="E1691">
        <v>40</v>
      </c>
      <c r="F1691">
        <v>54.588169098000002</v>
      </c>
      <c r="G1691">
        <v>1339.9019774999999</v>
      </c>
      <c r="H1691">
        <v>1337.6180420000001</v>
      </c>
      <c r="I1691">
        <v>1324.4080810999999</v>
      </c>
      <c r="J1691">
        <v>1321.5632324000001</v>
      </c>
      <c r="K1691">
        <v>2750</v>
      </c>
      <c r="L1691">
        <v>0</v>
      </c>
      <c r="M1691">
        <v>0</v>
      </c>
      <c r="N1691">
        <v>2750</v>
      </c>
    </row>
    <row r="1692" spans="1:14" x14ac:dyDescent="0.25">
      <c r="A1692">
        <v>884</v>
      </c>
      <c r="B1692" s="1">
        <f>DATE(2012,10,1) + TIME(0,0,0)</f>
        <v>41183</v>
      </c>
      <c r="C1692">
        <v>80</v>
      </c>
      <c r="D1692">
        <v>79.972381592000005</v>
      </c>
      <c r="E1692">
        <v>40</v>
      </c>
      <c r="F1692">
        <v>55.100322722999998</v>
      </c>
      <c r="G1692">
        <v>1339.8953856999999</v>
      </c>
      <c r="H1692">
        <v>1337.6138916</v>
      </c>
      <c r="I1692">
        <v>1324.416626</v>
      </c>
      <c r="J1692">
        <v>1321.5745850000001</v>
      </c>
      <c r="K1692">
        <v>2750</v>
      </c>
      <c r="L1692">
        <v>0</v>
      </c>
      <c r="M1692">
        <v>0</v>
      </c>
      <c r="N1692">
        <v>2750</v>
      </c>
    </row>
    <row r="1693" spans="1:14" x14ac:dyDescent="0.25">
      <c r="A1693">
        <v>886.51181499999996</v>
      </c>
      <c r="B1693" s="1">
        <f>DATE(2012,10,3) + TIME(12,17,0)</f>
        <v>41185.511805555558</v>
      </c>
      <c r="C1693">
        <v>80</v>
      </c>
      <c r="D1693">
        <v>79.972404479999994</v>
      </c>
      <c r="E1693">
        <v>40</v>
      </c>
      <c r="F1693">
        <v>55.571231842000003</v>
      </c>
      <c r="G1693">
        <v>1339.8895264</v>
      </c>
      <c r="H1693">
        <v>1337.6102295000001</v>
      </c>
      <c r="I1693">
        <v>1324.4240723</v>
      </c>
      <c r="J1693">
        <v>1321.5854492000001</v>
      </c>
      <c r="K1693">
        <v>2750</v>
      </c>
      <c r="L1693">
        <v>0</v>
      </c>
      <c r="M1693">
        <v>0</v>
      </c>
      <c r="N1693">
        <v>2750</v>
      </c>
    </row>
    <row r="1694" spans="1:14" x14ac:dyDescent="0.25">
      <c r="A1694">
        <v>889.16061000000002</v>
      </c>
      <c r="B1694" s="1">
        <f>DATE(2012,10,6) + TIME(3,51,16)</f>
        <v>41188.160601851851</v>
      </c>
      <c r="C1694">
        <v>80</v>
      </c>
      <c r="D1694">
        <v>79.972419739000003</v>
      </c>
      <c r="E1694">
        <v>40</v>
      </c>
      <c r="F1694">
        <v>56.050853729000004</v>
      </c>
      <c r="G1694">
        <v>1339.8830565999999</v>
      </c>
      <c r="H1694">
        <v>1337.6063231999999</v>
      </c>
      <c r="I1694">
        <v>1324.4321289</v>
      </c>
      <c r="J1694">
        <v>1321.5957031</v>
      </c>
      <c r="K1694">
        <v>2750</v>
      </c>
      <c r="L1694">
        <v>0</v>
      </c>
      <c r="M1694">
        <v>0</v>
      </c>
      <c r="N1694">
        <v>2750</v>
      </c>
    </row>
    <row r="1695" spans="1:14" x14ac:dyDescent="0.25">
      <c r="A1695">
        <v>891.85353399999997</v>
      </c>
      <c r="B1695" s="1">
        <f>DATE(2012,10,8) + TIME(20,29,5)</f>
        <v>41190.853530092594</v>
      </c>
      <c r="C1695">
        <v>80</v>
      </c>
      <c r="D1695">
        <v>79.972442627000007</v>
      </c>
      <c r="E1695">
        <v>40</v>
      </c>
      <c r="F1695">
        <v>56.530567169000001</v>
      </c>
      <c r="G1695">
        <v>1339.8764647999999</v>
      </c>
      <c r="H1695">
        <v>1337.6021728999999</v>
      </c>
      <c r="I1695">
        <v>1324.4406738</v>
      </c>
      <c r="J1695">
        <v>1321.6065673999999</v>
      </c>
      <c r="K1695">
        <v>2750</v>
      </c>
      <c r="L1695">
        <v>0</v>
      </c>
      <c r="M1695">
        <v>0</v>
      </c>
      <c r="N1695">
        <v>2750</v>
      </c>
    </row>
    <row r="1696" spans="1:14" x14ac:dyDescent="0.25">
      <c r="A1696">
        <v>894.59620099999995</v>
      </c>
      <c r="B1696" s="1">
        <f>DATE(2012,10,11) + TIME(14,18,31)</f>
        <v>41193.596192129633</v>
      </c>
      <c r="C1696">
        <v>80</v>
      </c>
      <c r="D1696">
        <v>79.972465514999996</v>
      </c>
      <c r="E1696">
        <v>40</v>
      </c>
      <c r="F1696">
        <v>56.991809844999999</v>
      </c>
      <c r="G1696">
        <v>1339.8698730000001</v>
      </c>
      <c r="H1696">
        <v>1337.5981445</v>
      </c>
      <c r="I1696">
        <v>1324.4494629000001</v>
      </c>
      <c r="J1696">
        <v>1321.6175536999999</v>
      </c>
      <c r="K1696">
        <v>2750</v>
      </c>
      <c r="L1696">
        <v>0</v>
      </c>
      <c r="M1696">
        <v>0</v>
      </c>
      <c r="N1696">
        <v>2750</v>
      </c>
    </row>
    <row r="1697" spans="1:14" x14ac:dyDescent="0.25">
      <c r="A1697">
        <v>897.40962000000002</v>
      </c>
      <c r="B1697" s="1">
        <f>DATE(2012,10,14) + TIME(9,49,51)</f>
        <v>41196.409618055557</v>
      </c>
      <c r="C1697">
        <v>80</v>
      </c>
      <c r="D1697">
        <v>79.972488403</v>
      </c>
      <c r="E1697">
        <v>40</v>
      </c>
      <c r="F1697">
        <v>57.441017150999997</v>
      </c>
      <c r="G1697">
        <v>1339.8634033000001</v>
      </c>
      <c r="H1697">
        <v>1337.5941161999999</v>
      </c>
      <c r="I1697">
        <v>1324.4582519999999</v>
      </c>
      <c r="J1697">
        <v>1321.6285399999999</v>
      </c>
      <c r="K1697">
        <v>2750</v>
      </c>
      <c r="L1697">
        <v>0</v>
      </c>
      <c r="M1697">
        <v>0</v>
      </c>
      <c r="N1697">
        <v>2750</v>
      </c>
    </row>
    <row r="1698" spans="1:14" x14ac:dyDescent="0.25">
      <c r="A1698">
        <v>900.30997200000002</v>
      </c>
      <c r="B1698" s="1">
        <f>DATE(2012,10,17) + TIME(7,26,21)</f>
        <v>41199.309965277775</v>
      </c>
      <c r="C1698">
        <v>80</v>
      </c>
      <c r="D1698">
        <v>79.972511291999993</v>
      </c>
      <c r="E1698">
        <v>40</v>
      </c>
      <c r="F1698">
        <v>57.870555877999998</v>
      </c>
      <c r="G1698">
        <v>1339.8568115</v>
      </c>
      <c r="H1698">
        <v>1337.5900879000001</v>
      </c>
      <c r="I1698">
        <v>1324.4671631000001</v>
      </c>
      <c r="J1698">
        <v>1321.6394043</v>
      </c>
      <c r="K1698">
        <v>2750</v>
      </c>
      <c r="L1698">
        <v>0</v>
      </c>
      <c r="M1698">
        <v>0</v>
      </c>
      <c r="N1698">
        <v>2750</v>
      </c>
    </row>
    <row r="1699" spans="1:14" x14ac:dyDescent="0.25">
      <c r="A1699">
        <v>903.24427100000003</v>
      </c>
      <c r="B1699" s="1">
        <f>DATE(2012,10,20) + TIME(5,51,45)</f>
        <v>41202.244270833333</v>
      </c>
      <c r="C1699">
        <v>80</v>
      </c>
      <c r="D1699">
        <v>79.972534179999997</v>
      </c>
      <c r="E1699">
        <v>40</v>
      </c>
      <c r="F1699">
        <v>58.293781281000001</v>
      </c>
      <c r="G1699">
        <v>1339.8502197</v>
      </c>
      <c r="H1699">
        <v>1337.5860596</v>
      </c>
      <c r="I1699">
        <v>1324.4761963000001</v>
      </c>
      <c r="J1699">
        <v>1321.6502685999999</v>
      </c>
      <c r="K1699">
        <v>2750</v>
      </c>
      <c r="L1699">
        <v>0</v>
      </c>
      <c r="M1699">
        <v>0</v>
      </c>
      <c r="N1699">
        <v>2750</v>
      </c>
    </row>
    <row r="1700" spans="1:14" x14ac:dyDescent="0.25">
      <c r="A1700">
        <v>906.24465299999997</v>
      </c>
      <c r="B1700" s="1">
        <f>DATE(2012,10,23) + TIME(5,52,18)</f>
        <v>41205.244652777779</v>
      </c>
      <c r="C1700">
        <v>80</v>
      </c>
      <c r="D1700">
        <v>79.972557068</v>
      </c>
      <c r="E1700">
        <v>40</v>
      </c>
      <c r="F1700">
        <v>58.686656952</v>
      </c>
      <c r="G1700">
        <v>1339.84375</v>
      </c>
      <c r="H1700">
        <v>1337.5821533000001</v>
      </c>
      <c r="I1700">
        <v>1324.4853516000001</v>
      </c>
      <c r="J1700">
        <v>1321.6610106999999</v>
      </c>
      <c r="K1700">
        <v>2750</v>
      </c>
      <c r="L1700">
        <v>0</v>
      </c>
      <c r="M1700">
        <v>0</v>
      </c>
      <c r="N1700">
        <v>2750</v>
      </c>
    </row>
    <row r="1701" spans="1:14" x14ac:dyDescent="0.25">
      <c r="A1701">
        <v>909.342716</v>
      </c>
      <c r="B1701" s="1">
        <f>DATE(2012,10,26) + TIME(8,13,30)</f>
        <v>41208.34270833333</v>
      </c>
      <c r="C1701">
        <v>80</v>
      </c>
      <c r="D1701">
        <v>79.972587584999999</v>
      </c>
      <c r="E1701">
        <v>40</v>
      </c>
      <c r="F1701">
        <v>59.090183258000003</v>
      </c>
      <c r="G1701">
        <v>1339.8372803</v>
      </c>
      <c r="H1701">
        <v>1337.578125</v>
      </c>
      <c r="I1701">
        <v>1324.4943848</v>
      </c>
      <c r="J1701">
        <v>1321.6717529</v>
      </c>
      <c r="K1701">
        <v>2750</v>
      </c>
      <c r="L1701">
        <v>0</v>
      </c>
      <c r="M1701">
        <v>0</v>
      </c>
      <c r="N1701">
        <v>2750</v>
      </c>
    </row>
    <row r="1702" spans="1:14" x14ac:dyDescent="0.25">
      <c r="A1702">
        <v>912.49300500000004</v>
      </c>
      <c r="B1702" s="1">
        <f>DATE(2012,10,29) + TIME(11,49,55)</f>
        <v>41211.492997685185</v>
      </c>
      <c r="C1702">
        <v>80</v>
      </c>
      <c r="D1702">
        <v>79.972610474000007</v>
      </c>
      <c r="E1702">
        <v>40</v>
      </c>
      <c r="F1702">
        <v>59.443813323999997</v>
      </c>
      <c r="G1702">
        <v>1339.8308105000001</v>
      </c>
      <c r="H1702">
        <v>1337.5742187999999</v>
      </c>
      <c r="I1702">
        <v>1324.5036620999999</v>
      </c>
      <c r="J1702">
        <v>1321.6821289</v>
      </c>
      <c r="K1702">
        <v>2750</v>
      </c>
      <c r="L1702">
        <v>0</v>
      </c>
      <c r="M1702">
        <v>0</v>
      </c>
      <c r="N1702">
        <v>2750</v>
      </c>
    </row>
    <row r="1703" spans="1:14" x14ac:dyDescent="0.25">
      <c r="A1703">
        <v>915</v>
      </c>
      <c r="B1703" s="1">
        <f>DATE(2012,11,1) + TIME(0,0,0)</f>
        <v>41214</v>
      </c>
      <c r="C1703">
        <v>80</v>
      </c>
      <c r="D1703">
        <v>79.972625731999997</v>
      </c>
      <c r="E1703">
        <v>40</v>
      </c>
      <c r="F1703">
        <v>59.836105347</v>
      </c>
      <c r="G1703">
        <v>1339.8243408000001</v>
      </c>
      <c r="H1703">
        <v>1337.5703125</v>
      </c>
      <c r="I1703">
        <v>1324.5130615</v>
      </c>
      <c r="J1703">
        <v>1321.6928711</v>
      </c>
      <c r="K1703">
        <v>2750</v>
      </c>
      <c r="L1703">
        <v>0</v>
      </c>
      <c r="M1703">
        <v>0</v>
      </c>
      <c r="N1703">
        <v>2750</v>
      </c>
    </row>
    <row r="1704" spans="1:14" x14ac:dyDescent="0.25">
      <c r="A1704">
        <v>915.000001</v>
      </c>
      <c r="B1704" s="1">
        <f>DATE(2012,11,1) + TIME(0,0,0)</f>
        <v>41214</v>
      </c>
      <c r="C1704">
        <v>80</v>
      </c>
      <c r="D1704">
        <v>79.972526549999998</v>
      </c>
      <c r="E1704">
        <v>40</v>
      </c>
      <c r="F1704">
        <v>59.836208343999999</v>
      </c>
      <c r="G1704">
        <v>1336.8649902</v>
      </c>
      <c r="H1704">
        <v>1336.0772704999999</v>
      </c>
      <c r="I1704">
        <v>1328.302124</v>
      </c>
      <c r="J1704">
        <v>1325.5849608999999</v>
      </c>
      <c r="K1704">
        <v>0</v>
      </c>
      <c r="L1704">
        <v>2750</v>
      </c>
      <c r="M1704">
        <v>2750</v>
      </c>
      <c r="N1704">
        <v>0</v>
      </c>
    </row>
    <row r="1705" spans="1:14" x14ac:dyDescent="0.25">
      <c r="A1705">
        <v>915.00000399999999</v>
      </c>
      <c r="B1705" s="1">
        <f>DATE(2012,11,1) + TIME(0,0,0)</f>
        <v>41214</v>
      </c>
      <c r="C1705">
        <v>80</v>
      </c>
      <c r="D1705">
        <v>79.972396850999999</v>
      </c>
      <c r="E1705">
        <v>40</v>
      </c>
      <c r="F1705">
        <v>59.836296081999997</v>
      </c>
      <c r="G1705">
        <v>1335.9230957</v>
      </c>
      <c r="H1705">
        <v>1335.1247559000001</v>
      </c>
      <c r="I1705">
        <v>1329.6875</v>
      </c>
      <c r="J1705">
        <v>1327.104126</v>
      </c>
      <c r="K1705">
        <v>0</v>
      </c>
      <c r="L1705">
        <v>2750</v>
      </c>
      <c r="M1705">
        <v>2750</v>
      </c>
      <c r="N1705">
        <v>0</v>
      </c>
    </row>
    <row r="1706" spans="1:14" x14ac:dyDescent="0.25">
      <c r="A1706">
        <v>915.00001299999997</v>
      </c>
      <c r="B1706" s="1">
        <f>DATE(2012,11,1) + TIME(0,0,1)</f>
        <v>41214.000011574077</v>
      </c>
      <c r="C1706">
        <v>80</v>
      </c>
      <c r="D1706">
        <v>79.972251892000003</v>
      </c>
      <c r="E1706">
        <v>40</v>
      </c>
      <c r="F1706">
        <v>59.836177825999997</v>
      </c>
      <c r="G1706">
        <v>1334.9468993999999</v>
      </c>
      <c r="H1706">
        <v>1334.1157227000001</v>
      </c>
      <c r="I1706">
        <v>1331.3815918</v>
      </c>
      <c r="J1706">
        <v>1328.7808838000001</v>
      </c>
      <c r="K1706">
        <v>0</v>
      </c>
      <c r="L1706">
        <v>2750</v>
      </c>
      <c r="M1706">
        <v>2750</v>
      </c>
      <c r="N1706">
        <v>0</v>
      </c>
    </row>
    <row r="1707" spans="1:14" x14ac:dyDescent="0.25">
      <c r="A1707">
        <v>915.00004000000001</v>
      </c>
      <c r="B1707" s="1">
        <f>DATE(2012,11,1) + TIME(0,0,3)</f>
        <v>41214.000034722223</v>
      </c>
      <c r="C1707">
        <v>80</v>
      </c>
      <c r="D1707">
        <v>79.972114563000005</v>
      </c>
      <c r="E1707">
        <v>40</v>
      </c>
      <c r="F1707">
        <v>59.835357666</v>
      </c>
      <c r="G1707">
        <v>1333.9815673999999</v>
      </c>
      <c r="H1707">
        <v>1333.1024170000001</v>
      </c>
      <c r="I1707">
        <v>1333.1088867000001</v>
      </c>
      <c r="J1707">
        <v>1330.4602050999999</v>
      </c>
      <c r="K1707">
        <v>0</v>
      </c>
      <c r="L1707">
        <v>2750</v>
      </c>
      <c r="M1707">
        <v>2750</v>
      </c>
      <c r="N1707">
        <v>0</v>
      </c>
    </row>
    <row r="1708" spans="1:14" x14ac:dyDescent="0.25">
      <c r="A1708">
        <v>915.00012100000004</v>
      </c>
      <c r="B1708" s="1">
        <f>DATE(2012,11,1) + TIME(0,0,10)</f>
        <v>41214.000115740739</v>
      </c>
      <c r="C1708">
        <v>80</v>
      </c>
      <c r="D1708">
        <v>79.971961974999999</v>
      </c>
      <c r="E1708">
        <v>40</v>
      </c>
      <c r="F1708">
        <v>59.832397460999999</v>
      </c>
      <c r="G1708">
        <v>1332.9782714999999</v>
      </c>
      <c r="H1708">
        <v>1332.0344238</v>
      </c>
      <c r="I1708">
        <v>1334.8173827999999</v>
      </c>
      <c r="J1708">
        <v>1332.1220702999999</v>
      </c>
      <c r="K1708">
        <v>0</v>
      </c>
      <c r="L1708">
        <v>2750</v>
      </c>
      <c r="M1708">
        <v>2750</v>
      </c>
      <c r="N1708">
        <v>0</v>
      </c>
    </row>
    <row r="1709" spans="1:14" x14ac:dyDescent="0.25">
      <c r="A1709">
        <v>915.00036399999999</v>
      </c>
      <c r="B1709" s="1">
        <f>DATE(2012,11,1) + TIME(0,0,31)</f>
        <v>41214.000358796293</v>
      </c>
      <c r="C1709">
        <v>80</v>
      </c>
      <c r="D1709">
        <v>79.971778869999994</v>
      </c>
      <c r="E1709">
        <v>40</v>
      </c>
      <c r="F1709">
        <v>59.822875977000002</v>
      </c>
      <c r="G1709">
        <v>1331.9060059000001</v>
      </c>
      <c r="H1709">
        <v>1330.8879394999999</v>
      </c>
      <c r="I1709">
        <v>1336.5106201000001</v>
      </c>
      <c r="J1709">
        <v>1333.7567139</v>
      </c>
      <c r="K1709">
        <v>0</v>
      </c>
      <c r="L1709">
        <v>2750</v>
      </c>
      <c r="M1709">
        <v>2750</v>
      </c>
      <c r="N1709">
        <v>0</v>
      </c>
    </row>
    <row r="1710" spans="1:14" x14ac:dyDescent="0.25">
      <c r="A1710">
        <v>915.00109299999997</v>
      </c>
      <c r="B1710" s="1">
        <f>DATE(2012,11,1) + TIME(0,1,34)</f>
        <v>41214.001087962963</v>
      </c>
      <c r="C1710">
        <v>80</v>
      </c>
      <c r="D1710">
        <v>79.971519470000004</v>
      </c>
      <c r="E1710">
        <v>40</v>
      </c>
      <c r="F1710">
        <v>59.793197632000002</v>
      </c>
      <c r="G1710">
        <v>1330.8624268000001</v>
      </c>
      <c r="H1710">
        <v>1329.7791748</v>
      </c>
      <c r="I1710">
        <v>1338.0666504000001</v>
      </c>
      <c r="J1710">
        <v>1335.2446289</v>
      </c>
      <c r="K1710">
        <v>0</v>
      </c>
      <c r="L1710">
        <v>2750</v>
      </c>
      <c r="M1710">
        <v>2750</v>
      </c>
      <c r="N1710">
        <v>0</v>
      </c>
    </row>
    <row r="1711" spans="1:14" x14ac:dyDescent="0.25">
      <c r="A1711">
        <v>915.00328000000002</v>
      </c>
      <c r="B1711" s="1">
        <f>DATE(2012,11,1) + TIME(0,4,43)</f>
        <v>41214.003275462965</v>
      </c>
      <c r="C1711">
        <v>80</v>
      </c>
      <c r="D1711">
        <v>79.971092224000003</v>
      </c>
      <c r="E1711">
        <v>40</v>
      </c>
      <c r="F1711">
        <v>59.702598571999999</v>
      </c>
      <c r="G1711">
        <v>1330.0679932</v>
      </c>
      <c r="H1711">
        <v>1328.9486084</v>
      </c>
      <c r="I1711">
        <v>1339.2165527</v>
      </c>
      <c r="J1711">
        <v>1336.3419189000001</v>
      </c>
      <c r="K1711">
        <v>0</v>
      </c>
      <c r="L1711">
        <v>2750</v>
      </c>
      <c r="M1711">
        <v>2750</v>
      </c>
      <c r="N1711">
        <v>0</v>
      </c>
    </row>
    <row r="1712" spans="1:14" x14ac:dyDescent="0.25">
      <c r="A1712">
        <v>915.00984100000005</v>
      </c>
      <c r="B1712" s="1">
        <f>DATE(2012,11,1) + TIME(0,14,10)</f>
        <v>41214.009837962964</v>
      </c>
      <c r="C1712">
        <v>80</v>
      </c>
      <c r="D1712">
        <v>79.970069885000001</v>
      </c>
      <c r="E1712">
        <v>40</v>
      </c>
      <c r="F1712">
        <v>59.432823181000003</v>
      </c>
      <c r="G1712">
        <v>1329.6550293</v>
      </c>
      <c r="H1712">
        <v>1328.5242920000001</v>
      </c>
      <c r="I1712">
        <v>1339.7894286999999</v>
      </c>
      <c r="J1712">
        <v>1336.8885498</v>
      </c>
      <c r="K1712">
        <v>0</v>
      </c>
      <c r="L1712">
        <v>2750</v>
      </c>
      <c r="M1712">
        <v>2750</v>
      </c>
      <c r="N1712">
        <v>0</v>
      </c>
    </row>
    <row r="1713" spans="1:14" x14ac:dyDescent="0.25">
      <c r="A1713">
        <v>915.02952400000004</v>
      </c>
      <c r="B1713" s="1">
        <f>DATE(2012,11,1) + TIME(0,42,30)</f>
        <v>41214.029513888891</v>
      </c>
      <c r="C1713">
        <v>80</v>
      </c>
      <c r="D1713">
        <v>79.967216492000006</v>
      </c>
      <c r="E1713">
        <v>40</v>
      </c>
      <c r="F1713">
        <v>58.660751343000001</v>
      </c>
      <c r="G1713">
        <v>1329.5383300999999</v>
      </c>
      <c r="H1713">
        <v>1328.4046631000001</v>
      </c>
      <c r="I1713">
        <v>1339.9300536999999</v>
      </c>
      <c r="J1713">
        <v>1337.0148925999999</v>
      </c>
      <c r="K1713">
        <v>0</v>
      </c>
      <c r="L1713">
        <v>2750</v>
      </c>
      <c r="M1713">
        <v>2750</v>
      </c>
      <c r="N1713">
        <v>0</v>
      </c>
    </row>
    <row r="1714" spans="1:14" x14ac:dyDescent="0.25">
      <c r="A1714">
        <v>915.05501800000002</v>
      </c>
      <c r="B1714" s="1">
        <f>DATE(2012,11,1) + TIME(1,19,13)</f>
        <v>41214.055011574077</v>
      </c>
      <c r="C1714">
        <v>80</v>
      </c>
      <c r="D1714">
        <v>79.963584900000001</v>
      </c>
      <c r="E1714">
        <v>40</v>
      </c>
      <c r="F1714">
        <v>57.722419739000003</v>
      </c>
      <c r="G1714">
        <v>1329.5219727000001</v>
      </c>
      <c r="H1714">
        <v>1328.3863524999999</v>
      </c>
      <c r="I1714">
        <v>1339.9290771000001</v>
      </c>
      <c r="J1714">
        <v>1337.0062256000001</v>
      </c>
      <c r="K1714">
        <v>0</v>
      </c>
      <c r="L1714">
        <v>2750</v>
      </c>
      <c r="M1714">
        <v>2750</v>
      </c>
      <c r="N1714">
        <v>0</v>
      </c>
    </row>
    <row r="1715" spans="1:14" x14ac:dyDescent="0.25">
      <c r="A1715">
        <v>915.08218699999998</v>
      </c>
      <c r="B1715" s="1">
        <f>DATE(2012,11,1) + TIME(1,58,20)</f>
        <v>41214.082175925927</v>
      </c>
      <c r="C1715">
        <v>80</v>
      </c>
      <c r="D1715">
        <v>79.959739685000002</v>
      </c>
      <c r="E1715">
        <v>40</v>
      </c>
      <c r="F1715">
        <v>56.787387848000002</v>
      </c>
      <c r="G1715">
        <v>1329.5166016000001</v>
      </c>
      <c r="H1715">
        <v>1328.3789062000001</v>
      </c>
      <c r="I1715">
        <v>1339.9122314000001</v>
      </c>
      <c r="J1715">
        <v>1336.9836425999999</v>
      </c>
      <c r="K1715">
        <v>0</v>
      </c>
      <c r="L1715">
        <v>2750</v>
      </c>
      <c r="M1715">
        <v>2750</v>
      </c>
      <c r="N1715">
        <v>0</v>
      </c>
    </row>
    <row r="1716" spans="1:14" x14ac:dyDescent="0.25">
      <c r="A1716">
        <v>915.11124400000006</v>
      </c>
      <c r="B1716" s="1">
        <f>DATE(2012,11,1) + TIME(2,40,11)</f>
        <v>41214.111238425925</v>
      </c>
      <c r="C1716">
        <v>80</v>
      </c>
      <c r="D1716">
        <v>79.955665588000002</v>
      </c>
      <c r="E1716">
        <v>40</v>
      </c>
      <c r="F1716">
        <v>55.855247497999997</v>
      </c>
      <c r="G1716">
        <v>1329.5123291</v>
      </c>
      <c r="H1716">
        <v>1328.3724365</v>
      </c>
      <c r="I1716">
        <v>1339.8942870999999</v>
      </c>
      <c r="J1716">
        <v>1336.9602050999999</v>
      </c>
      <c r="K1716">
        <v>0</v>
      </c>
      <c r="L1716">
        <v>2750</v>
      </c>
      <c r="M1716">
        <v>2750</v>
      </c>
      <c r="N1716">
        <v>0</v>
      </c>
    </row>
    <row r="1717" spans="1:14" x14ac:dyDescent="0.25">
      <c r="A1717">
        <v>915.14241600000003</v>
      </c>
      <c r="B1717" s="1">
        <f>DATE(2012,11,1) + TIME(3,25,4)</f>
        <v>41214.142407407409</v>
      </c>
      <c r="C1717">
        <v>80</v>
      </c>
      <c r="D1717">
        <v>79.951339722</v>
      </c>
      <c r="E1717">
        <v>40</v>
      </c>
      <c r="F1717">
        <v>54.926277161000002</v>
      </c>
      <c r="G1717">
        <v>1329.5078125</v>
      </c>
      <c r="H1717">
        <v>1328.3657227000001</v>
      </c>
      <c r="I1717">
        <v>1339.8760986</v>
      </c>
      <c r="J1717">
        <v>1336.9366454999999</v>
      </c>
      <c r="K1717">
        <v>0</v>
      </c>
      <c r="L1717">
        <v>2750</v>
      </c>
      <c r="M1717">
        <v>2750</v>
      </c>
      <c r="N1717">
        <v>0</v>
      </c>
    </row>
    <row r="1718" spans="1:14" x14ac:dyDescent="0.25">
      <c r="A1718">
        <v>915.175972</v>
      </c>
      <c r="B1718" s="1">
        <f>DATE(2012,11,1) + TIME(4,13,23)</f>
        <v>41214.17596064815</v>
      </c>
      <c r="C1718">
        <v>80</v>
      </c>
      <c r="D1718">
        <v>79.946723938000005</v>
      </c>
      <c r="E1718">
        <v>40</v>
      </c>
      <c r="F1718">
        <v>54.000816344999997</v>
      </c>
      <c r="G1718">
        <v>1329.5031738</v>
      </c>
      <c r="H1718">
        <v>1328.3587646000001</v>
      </c>
      <c r="I1718">
        <v>1339.8577881000001</v>
      </c>
      <c r="J1718">
        <v>1336.9129639</v>
      </c>
      <c r="K1718">
        <v>0</v>
      </c>
      <c r="L1718">
        <v>2750</v>
      </c>
      <c r="M1718">
        <v>2750</v>
      </c>
      <c r="N1718">
        <v>0</v>
      </c>
    </row>
    <row r="1719" spans="1:14" x14ac:dyDescent="0.25">
      <c r="A1719">
        <v>915.21222999999998</v>
      </c>
      <c r="B1719" s="1">
        <f>DATE(2012,11,1) + TIME(5,5,36)</f>
        <v>41214.212222222224</v>
      </c>
      <c r="C1719">
        <v>80</v>
      </c>
      <c r="D1719">
        <v>79.941787719999994</v>
      </c>
      <c r="E1719">
        <v>40</v>
      </c>
      <c r="F1719">
        <v>53.079273223999998</v>
      </c>
      <c r="G1719">
        <v>1329.4982910000001</v>
      </c>
      <c r="H1719">
        <v>1328.3513184000001</v>
      </c>
      <c r="I1719">
        <v>1339.8392334</v>
      </c>
      <c r="J1719">
        <v>1336.8891602000001</v>
      </c>
      <c r="K1719">
        <v>0</v>
      </c>
      <c r="L1719">
        <v>2750</v>
      </c>
      <c r="M1719">
        <v>2750</v>
      </c>
      <c r="N1719">
        <v>0</v>
      </c>
    </row>
    <row r="1720" spans="1:14" x14ac:dyDescent="0.25">
      <c r="A1720">
        <v>915.251576</v>
      </c>
      <c r="B1720" s="1">
        <f>DATE(2012,11,1) + TIME(6,2,16)</f>
        <v>41214.251574074071</v>
      </c>
      <c r="C1720">
        <v>80</v>
      </c>
      <c r="D1720">
        <v>79.936492920000006</v>
      </c>
      <c r="E1720">
        <v>40</v>
      </c>
      <c r="F1720">
        <v>52.162113189999999</v>
      </c>
      <c r="G1720">
        <v>1329.4930420000001</v>
      </c>
      <c r="H1720">
        <v>1328.3435059000001</v>
      </c>
      <c r="I1720">
        <v>1339.8204346</v>
      </c>
      <c r="J1720">
        <v>1336.8652344</v>
      </c>
      <c r="K1720">
        <v>0</v>
      </c>
      <c r="L1720">
        <v>2750</v>
      </c>
      <c r="M1720">
        <v>2750</v>
      </c>
      <c r="N1720">
        <v>0</v>
      </c>
    </row>
    <row r="1721" spans="1:14" x14ac:dyDescent="0.25">
      <c r="A1721">
        <v>915.29447500000003</v>
      </c>
      <c r="B1721" s="1">
        <f>DATE(2012,11,1) + TIME(7,4,2)</f>
        <v>41214.29446759259</v>
      </c>
      <c r="C1721">
        <v>80</v>
      </c>
      <c r="D1721">
        <v>79.930793761999993</v>
      </c>
      <c r="E1721">
        <v>40</v>
      </c>
      <c r="F1721">
        <v>51.249912262000002</v>
      </c>
      <c r="G1721">
        <v>1329.4875488</v>
      </c>
      <c r="H1721">
        <v>1328.3352050999999</v>
      </c>
      <c r="I1721">
        <v>1339.8013916</v>
      </c>
      <c r="J1721">
        <v>1336.8414307</v>
      </c>
      <c r="K1721">
        <v>0</v>
      </c>
      <c r="L1721">
        <v>2750</v>
      </c>
      <c r="M1721">
        <v>2750</v>
      </c>
      <c r="N1721">
        <v>0</v>
      </c>
    </row>
    <row r="1722" spans="1:14" x14ac:dyDescent="0.25">
      <c r="A1722">
        <v>915.34150299999999</v>
      </c>
      <c r="B1722" s="1">
        <f>DATE(2012,11,1) + TIME(8,11,45)</f>
        <v>41214.341493055559</v>
      </c>
      <c r="C1722">
        <v>80</v>
      </c>
      <c r="D1722">
        <v>79.924621582</v>
      </c>
      <c r="E1722">
        <v>40</v>
      </c>
      <c r="F1722">
        <v>50.343353270999998</v>
      </c>
      <c r="G1722">
        <v>1329.4815673999999</v>
      </c>
      <c r="H1722">
        <v>1328.3262939000001</v>
      </c>
      <c r="I1722">
        <v>1339.7821045000001</v>
      </c>
      <c r="J1722">
        <v>1336.8173827999999</v>
      </c>
      <c r="K1722">
        <v>0</v>
      </c>
      <c r="L1722">
        <v>2750</v>
      </c>
      <c r="M1722">
        <v>2750</v>
      </c>
      <c r="N1722">
        <v>0</v>
      </c>
    </row>
    <row r="1723" spans="1:14" x14ac:dyDescent="0.25">
      <c r="A1723">
        <v>915.39337799999998</v>
      </c>
      <c r="B1723" s="1">
        <f>DATE(2012,11,1) + TIME(9,26,27)</f>
        <v>41214.393368055556</v>
      </c>
      <c r="C1723">
        <v>80</v>
      </c>
      <c r="D1723">
        <v>79.917915343999994</v>
      </c>
      <c r="E1723">
        <v>40</v>
      </c>
      <c r="F1723">
        <v>49.442996979</v>
      </c>
      <c r="G1723">
        <v>1329.4753418</v>
      </c>
      <c r="H1723">
        <v>1328.3167725000001</v>
      </c>
      <c r="I1723">
        <v>1339.7626952999999</v>
      </c>
      <c r="J1723">
        <v>1336.793457</v>
      </c>
      <c r="K1723">
        <v>0</v>
      </c>
      <c r="L1723">
        <v>2750</v>
      </c>
      <c r="M1723">
        <v>2750</v>
      </c>
      <c r="N1723">
        <v>0</v>
      </c>
    </row>
    <row r="1724" spans="1:14" x14ac:dyDescent="0.25">
      <c r="A1724">
        <v>915.45099500000003</v>
      </c>
      <c r="B1724" s="1">
        <f>DATE(2012,11,1) + TIME(10,49,25)</f>
        <v>41214.450983796298</v>
      </c>
      <c r="C1724">
        <v>80</v>
      </c>
      <c r="D1724">
        <v>79.910583496000001</v>
      </c>
      <c r="E1724">
        <v>40</v>
      </c>
      <c r="F1724">
        <v>48.550216675000001</v>
      </c>
      <c r="G1724">
        <v>1329.4685059000001</v>
      </c>
      <c r="H1724">
        <v>1328.3066406</v>
      </c>
      <c r="I1724">
        <v>1339.7429199000001</v>
      </c>
      <c r="J1724">
        <v>1336.7694091999999</v>
      </c>
      <c r="K1724">
        <v>0</v>
      </c>
      <c r="L1724">
        <v>2750</v>
      </c>
      <c r="M1724">
        <v>2750</v>
      </c>
      <c r="N1724">
        <v>0</v>
      </c>
    </row>
    <row r="1725" spans="1:14" x14ac:dyDescent="0.25">
      <c r="A1725">
        <v>915.51378899999997</v>
      </c>
      <c r="B1725" s="1">
        <f>DATE(2012,11,1) + TIME(12,19,51)</f>
        <v>41214.513784722221</v>
      </c>
      <c r="C1725">
        <v>80</v>
      </c>
      <c r="D1725">
        <v>79.902717589999995</v>
      </c>
      <c r="E1725">
        <v>40</v>
      </c>
      <c r="F1725">
        <v>47.687610626000001</v>
      </c>
      <c r="G1725">
        <v>1329.4611815999999</v>
      </c>
      <c r="H1725">
        <v>1328.2957764</v>
      </c>
      <c r="I1725">
        <v>1339.7233887</v>
      </c>
      <c r="J1725">
        <v>1336.7459716999999</v>
      </c>
      <c r="K1725">
        <v>0</v>
      </c>
      <c r="L1725">
        <v>2750</v>
      </c>
      <c r="M1725">
        <v>2750</v>
      </c>
      <c r="N1725">
        <v>0</v>
      </c>
    </row>
    <row r="1726" spans="1:14" x14ac:dyDescent="0.25">
      <c r="A1726">
        <v>915.57938899999999</v>
      </c>
      <c r="B1726" s="1">
        <f>DATE(2012,11,1) + TIME(13,54,19)</f>
        <v>41214.579386574071</v>
      </c>
      <c r="C1726">
        <v>80</v>
      </c>
      <c r="D1726">
        <v>79.894607543999996</v>
      </c>
      <c r="E1726">
        <v>40</v>
      </c>
      <c r="F1726">
        <v>46.890598296999997</v>
      </c>
      <c r="G1726">
        <v>1329.4536132999999</v>
      </c>
      <c r="H1726">
        <v>1328.2843018000001</v>
      </c>
      <c r="I1726">
        <v>1339.7045897999999</v>
      </c>
      <c r="J1726">
        <v>1336.723999</v>
      </c>
      <c r="K1726">
        <v>0</v>
      </c>
      <c r="L1726">
        <v>2750</v>
      </c>
      <c r="M1726">
        <v>2750</v>
      </c>
      <c r="N1726">
        <v>0</v>
      </c>
    </row>
    <row r="1727" spans="1:14" x14ac:dyDescent="0.25">
      <c r="A1727">
        <v>915.64773300000002</v>
      </c>
      <c r="B1727" s="1">
        <f>DATE(2012,11,1) + TIME(15,32,44)</f>
        <v>41214.647731481484</v>
      </c>
      <c r="C1727">
        <v>80</v>
      </c>
      <c r="D1727">
        <v>79.886260985999996</v>
      </c>
      <c r="E1727">
        <v>40</v>
      </c>
      <c r="F1727">
        <v>46.157745361000003</v>
      </c>
      <c r="G1727">
        <v>1329.4458007999999</v>
      </c>
      <c r="H1727">
        <v>1328.2728271000001</v>
      </c>
      <c r="I1727">
        <v>1339.6871338000001</v>
      </c>
      <c r="J1727">
        <v>1336.7038574000001</v>
      </c>
      <c r="K1727">
        <v>0</v>
      </c>
      <c r="L1727">
        <v>2750</v>
      </c>
      <c r="M1727">
        <v>2750</v>
      </c>
      <c r="N1727">
        <v>0</v>
      </c>
    </row>
    <row r="1728" spans="1:14" x14ac:dyDescent="0.25">
      <c r="A1728">
        <v>915.71894099999997</v>
      </c>
      <c r="B1728" s="1">
        <f>DATE(2012,11,1) + TIME(17,15,16)</f>
        <v>41214.718935185185</v>
      </c>
      <c r="C1728">
        <v>80</v>
      </c>
      <c r="D1728">
        <v>79.877685546999999</v>
      </c>
      <c r="E1728">
        <v>40</v>
      </c>
      <c r="F1728">
        <v>45.485416411999999</v>
      </c>
      <c r="G1728">
        <v>1329.4379882999999</v>
      </c>
      <c r="H1728">
        <v>1328.2609863</v>
      </c>
      <c r="I1728">
        <v>1339.6707764</v>
      </c>
      <c r="J1728">
        <v>1336.6851807</v>
      </c>
      <c r="K1728">
        <v>0</v>
      </c>
      <c r="L1728">
        <v>2750</v>
      </c>
      <c r="M1728">
        <v>2750</v>
      </c>
      <c r="N1728">
        <v>0</v>
      </c>
    </row>
    <row r="1729" spans="1:14" x14ac:dyDescent="0.25">
      <c r="A1729">
        <v>915.79317100000003</v>
      </c>
      <c r="B1729" s="1">
        <f>DATE(2012,11,1) + TIME(19,2,9)</f>
        <v>41214.79315972222</v>
      </c>
      <c r="C1729">
        <v>80</v>
      </c>
      <c r="D1729">
        <v>79.868858337000006</v>
      </c>
      <c r="E1729">
        <v>40</v>
      </c>
      <c r="F1729">
        <v>44.869884491000001</v>
      </c>
      <c r="G1729">
        <v>1329.4299315999999</v>
      </c>
      <c r="H1729">
        <v>1328.2491454999999</v>
      </c>
      <c r="I1729">
        <v>1339.6555175999999</v>
      </c>
      <c r="J1729">
        <v>1336.6680908000001</v>
      </c>
      <c r="K1729">
        <v>0</v>
      </c>
      <c r="L1729">
        <v>2750</v>
      </c>
      <c r="M1729">
        <v>2750</v>
      </c>
      <c r="N1729">
        <v>0</v>
      </c>
    </row>
    <row r="1730" spans="1:14" x14ac:dyDescent="0.25">
      <c r="A1730">
        <v>915.87055699999996</v>
      </c>
      <c r="B1730" s="1">
        <f>DATE(2012,11,1) + TIME(20,53,36)</f>
        <v>41214.870555555557</v>
      </c>
      <c r="C1730">
        <v>80</v>
      </c>
      <c r="D1730">
        <v>79.859771729000002</v>
      </c>
      <c r="E1730">
        <v>40</v>
      </c>
      <c r="F1730">
        <v>44.307891845999997</v>
      </c>
      <c r="G1730">
        <v>1329.421875</v>
      </c>
      <c r="H1730">
        <v>1328.2369385</v>
      </c>
      <c r="I1730">
        <v>1339.6414795000001</v>
      </c>
      <c r="J1730">
        <v>1336.6523437999999</v>
      </c>
      <c r="K1730">
        <v>0</v>
      </c>
      <c r="L1730">
        <v>2750</v>
      </c>
      <c r="M1730">
        <v>2750</v>
      </c>
      <c r="N1730">
        <v>0</v>
      </c>
    </row>
    <row r="1731" spans="1:14" x14ac:dyDescent="0.25">
      <c r="A1731">
        <v>915.95125700000006</v>
      </c>
      <c r="B1731" s="1">
        <f>DATE(2012,11,1) + TIME(22,49,48)</f>
        <v>41214.951249999998</v>
      </c>
      <c r="C1731">
        <v>80</v>
      </c>
      <c r="D1731">
        <v>79.850418090999995</v>
      </c>
      <c r="E1731">
        <v>40</v>
      </c>
      <c r="F1731">
        <v>43.796203613000003</v>
      </c>
      <c r="G1731">
        <v>1329.4135742000001</v>
      </c>
      <c r="H1731">
        <v>1328.2246094</v>
      </c>
      <c r="I1731">
        <v>1339.6282959</v>
      </c>
      <c r="J1731">
        <v>1336.6380615</v>
      </c>
      <c r="K1731">
        <v>0</v>
      </c>
      <c r="L1731">
        <v>2750</v>
      </c>
      <c r="M1731">
        <v>2750</v>
      </c>
      <c r="N1731">
        <v>0</v>
      </c>
    </row>
    <row r="1732" spans="1:14" x14ac:dyDescent="0.25">
      <c r="A1732">
        <v>916.03544099999999</v>
      </c>
      <c r="B1732" s="1">
        <f>DATE(2012,11,2) + TIME(0,51,2)</f>
        <v>41215.035439814812</v>
      </c>
      <c r="C1732">
        <v>80</v>
      </c>
      <c r="D1732">
        <v>79.840782165999997</v>
      </c>
      <c r="E1732">
        <v>40</v>
      </c>
      <c r="F1732">
        <v>43.33171463</v>
      </c>
      <c r="G1732">
        <v>1329.4050293</v>
      </c>
      <c r="H1732">
        <v>1328.2121582</v>
      </c>
      <c r="I1732">
        <v>1339.6160889</v>
      </c>
      <c r="J1732">
        <v>1336.6248779</v>
      </c>
      <c r="K1732">
        <v>0</v>
      </c>
      <c r="L1732">
        <v>2750</v>
      </c>
      <c r="M1732">
        <v>2750</v>
      </c>
      <c r="N1732">
        <v>0</v>
      </c>
    </row>
    <row r="1733" spans="1:14" x14ac:dyDescent="0.25">
      <c r="A1733">
        <v>916.123289</v>
      </c>
      <c r="B1733" s="1">
        <f>DATE(2012,11,2) + TIME(2,57,32)</f>
        <v>41215.123287037037</v>
      </c>
      <c r="C1733">
        <v>80</v>
      </c>
      <c r="D1733">
        <v>79.830848693999997</v>
      </c>
      <c r="E1733">
        <v>40</v>
      </c>
      <c r="F1733">
        <v>42.911460876</v>
      </c>
      <c r="G1733">
        <v>1329.3964844</v>
      </c>
      <c r="H1733">
        <v>1328.1993408000001</v>
      </c>
      <c r="I1733">
        <v>1339.6047363</v>
      </c>
      <c r="J1733">
        <v>1336.6130370999999</v>
      </c>
      <c r="K1733">
        <v>0</v>
      </c>
      <c r="L1733">
        <v>2750</v>
      </c>
      <c r="M1733">
        <v>2750</v>
      </c>
      <c r="N1733">
        <v>0</v>
      </c>
    </row>
    <row r="1734" spans="1:14" x14ac:dyDescent="0.25">
      <c r="A1734">
        <v>916.21493899999996</v>
      </c>
      <c r="B1734" s="1">
        <f>DATE(2012,11,2) + TIME(5,9,30)</f>
        <v>41215.214930555558</v>
      </c>
      <c r="C1734">
        <v>80</v>
      </c>
      <c r="D1734">
        <v>79.820617675999998</v>
      </c>
      <c r="E1734">
        <v>40</v>
      </c>
      <c r="F1734">
        <v>42.532768249999997</v>
      </c>
      <c r="G1734">
        <v>1329.3875731999999</v>
      </c>
      <c r="H1734">
        <v>1328.1862793</v>
      </c>
      <c r="I1734">
        <v>1339.5941161999999</v>
      </c>
      <c r="J1734">
        <v>1336.6022949000001</v>
      </c>
      <c r="K1734">
        <v>0</v>
      </c>
      <c r="L1734">
        <v>2750</v>
      </c>
      <c r="M1734">
        <v>2750</v>
      </c>
      <c r="N1734">
        <v>0</v>
      </c>
    </row>
    <row r="1735" spans="1:14" x14ac:dyDescent="0.25">
      <c r="A1735">
        <v>916.31062699999995</v>
      </c>
      <c r="B1735" s="1">
        <f>DATE(2012,11,2) + TIME(7,27,18)</f>
        <v>41215.310624999998</v>
      </c>
      <c r="C1735">
        <v>80</v>
      </c>
      <c r="D1735">
        <v>79.810058593999997</v>
      </c>
      <c r="E1735">
        <v>40</v>
      </c>
      <c r="F1735">
        <v>42.192707061999997</v>
      </c>
      <c r="G1735">
        <v>1329.3786620999999</v>
      </c>
      <c r="H1735">
        <v>1328.1729736</v>
      </c>
      <c r="I1735">
        <v>1339.5843506000001</v>
      </c>
      <c r="J1735">
        <v>1336.5925293</v>
      </c>
      <c r="K1735">
        <v>0</v>
      </c>
      <c r="L1735">
        <v>2750</v>
      </c>
      <c r="M1735">
        <v>2750</v>
      </c>
      <c r="N1735">
        <v>0</v>
      </c>
    </row>
    <row r="1736" spans="1:14" x14ac:dyDescent="0.25">
      <c r="A1736">
        <v>916.41059199999995</v>
      </c>
      <c r="B1736" s="1">
        <f>DATE(2012,11,2) + TIME(9,51,15)</f>
        <v>41215.410590277781</v>
      </c>
      <c r="C1736">
        <v>80</v>
      </c>
      <c r="D1736">
        <v>79.799156189000001</v>
      </c>
      <c r="E1736">
        <v>40</v>
      </c>
      <c r="F1736">
        <v>41.888534546000002</v>
      </c>
      <c r="G1736">
        <v>1329.3693848</v>
      </c>
      <c r="H1736">
        <v>1328.1593018000001</v>
      </c>
      <c r="I1736">
        <v>1339.5751952999999</v>
      </c>
      <c r="J1736">
        <v>1336.5837402</v>
      </c>
      <c r="K1736">
        <v>0</v>
      </c>
      <c r="L1736">
        <v>2750</v>
      </c>
      <c r="M1736">
        <v>2750</v>
      </c>
      <c r="N1736">
        <v>0</v>
      </c>
    </row>
    <row r="1737" spans="1:14" x14ac:dyDescent="0.25">
      <c r="A1737">
        <v>916.51508000000001</v>
      </c>
      <c r="B1737" s="1">
        <f>DATE(2012,11,2) + TIME(12,21,42)</f>
        <v>41215.515069444446</v>
      </c>
      <c r="C1737">
        <v>80</v>
      </c>
      <c r="D1737">
        <v>79.787895203000005</v>
      </c>
      <c r="E1737">
        <v>40</v>
      </c>
      <c r="F1737">
        <v>41.617649077999999</v>
      </c>
      <c r="G1737">
        <v>1329.3599853999999</v>
      </c>
      <c r="H1737">
        <v>1328.1453856999999</v>
      </c>
      <c r="I1737">
        <v>1339.5667725000001</v>
      </c>
      <c r="J1737">
        <v>1336.5758057</v>
      </c>
      <c r="K1737">
        <v>0</v>
      </c>
      <c r="L1737">
        <v>2750</v>
      </c>
      <c r="M1737">
        <v>2750</v>
      </c>
      <c r="N1737">
        <v>0</v>
      </c>
    </row>
    <row r="1738" spans="1:14" x14ac:dyDescent="0.25">
      <c r="A1738">
        <v>916.62435300000004</v>
      </c>
      <c r="B1738" s="1">
        <f>DATE(2012,11,2) + TIME(14,59,4)</f>
        <v>41215.624351851853</v>
      </c>
      <c r="C1738">
        <v>80</v>
      </c>
      <c r="D1738">
        <v>79.776252747000001</v>
      </c>
      <c r="E1738">
        <v>40</v>
      </c>
      <c r="F1738">
        <v>41.377544403000002</v>
      </c>
      <c r="G1738">
        <v>1329.3503418</v>
      </c>
      <c r="H1738">
        <v>1328.1311035000001</v>
      </c>
      <c r="I1738">
        <v>1339.5588379000001</v>
      </c>
      <c r="J1738">
        <v>1336.5687256000001</v>
      </c>
      <c r="K1738">
        <v>0</v>
      </c>
      <c r="L1738">
        <v>2750</v>
      </c>
      <c r="M1738">
        <v>2750</v>
      </c>
      <c r="N1738">
        <v>0</v>
      </c>
    </row>
    <row r="1739" spans="1:14" x14ac:dyDescent="0.25">
      <c r="A1739">
        <v>916.73869500000001</v>
      </c>
      <c r="B1739" s="1">
        <f>DATE(2012,11,2) + TIME(17,43,43)</f>
        <v>41215.738692129627</v>
      </c>
      <c r="C1739">
        <v>80</v>
      </c>
      <c r="D1739">
        <v>79.764205933</v>
      </c>
      <c r="E1739">
        <v>40</v>
      </c>
      <c r="F1739">
        <v>41.165805816999999</v>
      </c>
      <c r="G1739">
        <v>1329.340332</v>
      </c>
      <c r="H1739">
        <v>1328.1165771000001</v>
      </c>
      <c r="I1739">
        <v>1339.5513916</v>
      </c>
      <c r="J1739">
        <v>1336.5623779</v>
      </c>
      <c r="K1739">
        <v>0</v>
      </c>
      <c r="L1739">
        <v>2750</v>
      </c>
      <c r="M1739">
        <v>2750</v>
      </c>
      <c r="N1739">
        <v>0</v>
      </c>
    </row>
    <row r="1740" spans="1:14" x14ac:dyDescent="0.25">
      <c r="A1740">
        <v>916.85841600000003</v>
      </c>
      <c r="B1740" s="1">
        <f>DATE(2012,11,2) + TIME(20,36,7)</f>
        <v>41215.858414351853</v>
      </c>
      <c r="C1740">
        <v>80</v>
      </c>
      <c r="D1740">
        <v>79.751724242999998</v>
      </c>
      <c r="E1740">
        <v>40</v>
      </c>
      <c r="F1740">
        <v>40.980087279999999</v>
      </c>
      <c r="G1740">
        <v>1329.3302002</v>
      </c>
      <c r="H1740">
        <v>1328.1015625</v>
      </c>
      <c r="I1740">
        <v>1339.5444336</v>
      </c>
      <c r="J1740">
        <v>1336.5567627</v>
      </c>
      <c r="K1740">
        <v>0</v>
      </c>
      <c r="L1740">
        <v>2750</v>
      </c>
      <c r="M1740">
        <v>2750</v>
      </c>
      <c r="N1740">
        <v>0</v>
      </c>
    </row>
    <row r="1741" spans="1:14" x14ac:dyDescent="0.25">
      <c r="A1741">
        <v>916.98384999999996</v>
      </c>
      <c r="B1741" s="1">
        <f>DATE(2012,11,2) + TIME(23,36,44)</f>
        <v>41215.983842592592</v>
      </c>
      <c r="C1741">
        <v>80</v>
      </c>
      <c r="D1741">
        <v>79.738792419000006</v>
      </c>
      <c r="E1741">
        <v>40</v>
      </c>
      <c r="F1741">
        <v>40.818134307999998</v>
      </c>
      <c r="G1741">
        <v>1329.3197021000001</v>
      </c>
      <c r="H1741">
        <v>1328.0861815999999</v>
      </c>
      <c r="I1741">
        <v>1339.5378418</v>
      </c>
      <c r="J1741">
        <v>1336.5517577999999</v>
      </c>
      <c r="K1741">
        <v>0</v>
      </c>
      <c r="L1741">
        <v>2750</v>
      </c>
      <c r="M1741">
        <v>2750</v>
      </c>
      <c r="N1741">
        <v>0</v>
      </c>
    </row>
    <row r="1742" spans="1:14" x14ac:dyDescent="0.25">
      <c r="A1742">
        <v>917.11536699999999</v>
      </c>
      <c r="B1742" s="1">
        <f>DATE(2012,11,3) + TIME(2,46,7)</f>
        <v>41216.115358796298</v>
      </c>
      <c r="C1742">
        <v>80</v>
      </c>
      <c r="D1742">
        <v>79.725379943999997</v>
      </c>
      <c r="E1742">
        <v>40</v>
      </c>
      <c r="F1742">
        <v>40.677776336999997</v>
      </c>
      <c r="G1742">
        <v>1329.3089600000001</v>
      </c>
      <c r="H1742">
        <v>1328.0703125</v>
      </c>
      <c r="I1742">
        <v>1339.5317382999999</v>
      </c>
      <c r="J1742">
        <v>1336.5473632999999</v>
      </c>
      <c r="K1742">
        <v>0</v>
      </c>
      <c r="L1742">
        <v>2750</v>
      </c>
      <c r="M1742">
        <v>2750</v>
      </c>
      <c r="N1742">
        <v>0</v>
      </c>
    </row>
    <row r="1743" spans="1:14" x14ac:dyDescent="0.25">
      <c r="A1743">
        <v>917.25336900000002</v>
      </c>
      <c r="B1743" s="1">
        <f>DATE(2012,11,3) + TIME(6,4,51)</f>
        <v>41216.253368055557</v>
      </c>
      <c r="C1743">
        <v>80</v>
      </c>
      <c r="D1743">
        <v>79.711441039999997</v>
      </c>
      <c r="E1743">
        <v>40</v>
      </c>
      <c r="F1743">
        <v>40.556934357000003</v>
      </c>
      <c r="G1743">
        <v>1329.2978516000001</v>
      </c>
      <c r="H1743">
        <v>1328.0540771000001</v>
      </c>
      <c r="I1743">
        <v>1339.5258789</v>
      </c>
      <c r="J1743">
        <v>1336.543457</v>
      </c>
      <c r="K1743">
        <v>0</v>
      </c>
      <c r="L1743">
        <v>2750</v>
      </c>
      <c r="M1743">
        <v>2750</v>
      </c>
      <c r="N1743">
        <v>0</v>
      </c>
    </row>
    <row r="1744" spans="1:14" x14ac:dyDescent="0.25">
      <c r="A1744">
        <v>917.39827500000001</v>
      </c>
      <c r="B1744" s="1">
        <f>DATE(2012,11,3) + TIME(9,33,30)</f>
        <v>41216.398263888892</v>
      </c>
      <c r="C1744">
        <v>80</v>
      </c>
      <c r="D1744">
        <v>79.696960449000002</v>
      </c>
      <c r="E1744">
        <v>40</v>
      </c>
      <c r="F1744">
        <v>40.453632355000003</v>
      </c>
      <c r="G1744">
        <v>1329.2863769999999</v>
      </c>
      <c r="H1744">
        <v>1328.0372314000001</v>
      </c>
      <c r="I1744">
        <v>1339.5203856999999</v>
      </c>
      <c r="J1744">
        <v>1336.5400391000001</v>
      </c>
      <c r="K1744">
        <v>0</v>
      </c>
      <c r="L1744">
        <v>2750</v>
      </c>
      <c r="M1744">
        <v>2750</v>
      </c>
      <c r="N1744">
        <v>0</v>
      </c>
    </row>
    <row r="1745" spans="1:14" x14ac:dyDescent="0.25">
      <c r="A1745">
        <v>917.55053399999997</v>
      </c>
      <c r="B1745" s="1">
        <f>DATE(2012,11,3) + TIME(13,12,46)</f>
        <v>41216.550532407404</v>
      </c>
      <c r="C1745">
        <v>80</v>
      </c>
      <c r="D1745">
        <v>79.681892395000006</v>
      </c>
      <c r="E1745">
        <v>40</v>
      </c>
      <c r="F1745">
        <v>40.366004943999997</v>
      </c>
      <c r="G1745">
        <v>1329.2745361</v>
      </c>
      <c r="H1745">
        <v>1328.0198975000001</v>
      </c>
      <c r="I1745">
        <v>1339.5150146000001</v>
      </c>
      <c r="J1745">
        <v>1336.5369873</v>
      </c>
      <c r="K1745">
        <v>0</v>
      </c>
      <c r="L1745">
        <v>2750</v>
      </c>
      <c r="M1745">
        <v>2750</v>
      </c>
      <c r="N1745">
        <v>0</v>
      </c>
    </row>
    <row r="1746" spans="1:14" x14ac:dyDescent="0.25">
      <c r="A1746">
        <v>917.71072300000003</v>
      </c>
      <c r="B1746" s="1">
        <f>DATE(2012,11,3) + TIME(17,3,26)</f>
        <v>41216.710717592592</v>
      </c>
      <c r="C1746">
        <v>80</v>
      </c>
      <c r="D1746">
        <v>79.666198730000005</v>
      </c>
      <c r="E1746">
        <v>40</v>
      </c>
      <c r="F1746">
        <v>40.292236328000001</v>
      </c>
      <c r="G1746">
        <v>1329.2623291</v>
      </c>
      <c r="H1746">
        <v>1328.0020752</v>
      </c>
      <c r="I1746">
        <v>1339.5100098</v>
      </c>
      <c r="J1746">
        <v>1336.5343018000001</v>
      </c>
      <c r="K1746">
        <v>0</v>
      </c>
      <c r="L1746">
        <v>2750</v>
      </c>
      <c r="M1746">
        <v>2750</v>
      </c>
      <c r="N1746">
        <v>0</v>
      </c>
    </row>
    <row r="1747" spans="1:14" x14ac:dyDescent="0.25">
      <c r="A1747">
        <v>917.87944500000003</v>
      </c>
      <c r="B1747" s="1">
        <f>DATE(2012,11,3) + TIME(21,6,24)</f>
        <v>41216.879444444443</v>
      </c>
      <c r="C1747">
        <v>80</v>
      </c>
      <c r="D1747">
        <v>79.649826050000001</v>
      </c>
      <c r="E1747">
        <v>40</v>
      </c>
      <c r="F1747">
        <v>40.230655669999997</v>
      </c>
      <c r="G1747">
        <v>1329.2496338000001</v>
      </c>
      <c r="H1747">
        <v>1327.9836425999999</v>
      </c>
      <c r="I1747">
        <v>1339.505249</v>
      </c>
      <c r="J1747">
        <v>1336.5318603999999</v>
      </c>
      <c r="K1747">
        <v>0</v>
      </c>
      <c r="L1747">
        <v>2750</v>
      </c>
      <c r="M1747">
        <v>2750</v>
      </c>
      <c r="N1747">
        <v>0</v>
      </c>
    </row>
    <row r="1748" spans="1:14" x14ac:dyDescent="0.25">
      <c r="A1748">
        <v>918.05736400000001</v>
      </c>
      <c r="B1748" s="1">
        <f>DATE(2012,11,4) + TIME(1,22,36)</f>
        <v>41217.05736111111</v>
      </c>
      <c r="C1748">
        <v>80</v>
      </c>
      <c r="D1748">
        <v>79.632736206000004</v>
      </c>
      <c r="E1748">
        <v>40</v>
      </c>
      <c r="F1748">
        <v>40.179706572999997</v>
      </c>
      <c r="G1748">
        <v>1329.2364502</v>
      </c>
      <c r="H1748">
        <v>1327.9644774999999</v>
      </c>
      <c r="I1748">
        <v>1339.5004882999999</v>
      </c>
      <c r="J1748">
        <v>1336.5297852000001</v>
      </c>
      <c r="K1748">
        <v>0</v>
      </c>
      <c r="L1748">
        <v>2750</v>
      </c>
      <c r="M1748">
        <v>2750</v>
      </c>
      <c r="N1748">
        <v>0</v>
      </c>
    </row>
    <row r="1749" spans="1:14" x14ac:dyDescent="0.25">
      <c r="A1749">
        <v>918.24521800000002</v>
      </c>
      <c r="B1749" s="1">
        <f>DATE(2012,11,4) + TIME(5,53,6)</f>
        <v>41217.245208333334</v>
      </c>
      <c r="C1749">
        <v>80</v>
      </c>
      <c r="D1749">
        <v>79.614860535000005</v>
      </c>
      <c r="E1749">
        <v>40</v>
      </c>
      <c r="F1749">
        <v>40.137954712000003</v>
      </c>
      <c r="G1749">
        <v>1329.2227783000001</v>
      </c>
      <c r="H1749">
        <v>1327.9447021000001</v>
      </c>
      <c r="I1749">
        <v>1339.4959716999999</v>
      </c>
      <c r="J1749">
        <v>1336.5279541</v>
      </c>
      <c r="K1749">
        <v>0</v>
      </c>
      <c r="L1749">
        <v>2750</v>
      </c>
      <c r="M1749">
        <v>2750</v>
      </c>
      <c r="N1749">
        <v>0</v>
      </c>
    </row>
    <row r="1750" spans="1:14" x14ac:dyDescent="0.25">
      <c r="A1750">
        <v>918.44383400000004</v>
      </c>
      <c r="B1750" s="1">
        <f>DATE(2012,11,4) + TIME(10,39,7)</f>
        <v>41217.443831018521</v>
      </c>
      <c r="C1750">
        <v>80</v>
      </c>
      <c r="D1750">
        <v>79.596145629999995</v>
      </c>
      <c r="E1750">
        <v>40</v>
      </c>
      <c r="F1750">
        <v>40.104080199999999</v>
      </c>
      <c r="G1750">
        <v>1329.2086182</v>
      </c>
      <c r="H1750">
        <v>1327.9240723</v>
      </c>
      <c r="I1750">
        <v>1339.4915771000001</v>
      </c>
      <c r="J1750">
        <v>1336.5262451000001</v>
      </c>
      <c r="K1750">
        <v>0</v>
      </c>
      <c r="L1750">
        <v>2750</v>
      </c>
      <c r="M1750">
        <v>2750</v>
      </c>
      <c r="N1750">
        <v>0</v>
      </c>
    </row>
    <row r="1751" spans="1:14" x14ac:dyDescent="0.25">
      <c r="A1751">
        <v>918.65414199999998</v>
      </c>
      <c r="B1751" s="1">
        <f>DATE(2012,11,4) + TIME(15,41,57)</f>
        <v>41217.654131944444</v>
      </c>
      <c r="C1751">
        <v>80</v>
      </c>
      <c r="D1751">
        <v>79.576522827000005</v>
      </c>
      <c r="E1751">
        <v>40</v>
      </c>
      <c r="F1751">
        <v>40.076896667</v>
      </c>
      <c r="G1751">
        <v>1329.1939697</v>
      </c>
      <c r="H1751">
        <v>1327.9027100000001</v>
      </c>
      <c r="I1751">
        <v>1339.4873047000001</v>
      </c>
      <c r="J1751">
        <v>1336.5247803</v>
      </c>
      <c r="K1751">
        <v>0</v>
      </c>
      <c r="L1751">
        <v>2750</v>
      </c>
      <c r="M1751">
        <v>2750</v>
      </c>
      <c r="N1751">
        <v>0</v>
      </c>
    </row>
    <row r="1752" spans="1:14" x14ac:dyDescent="0.25">
      <c r="A1752">
        <v>918.868922</v>
      </c>
      <c r="B1752" s="1">
        <f>DATE(2012,11,4) + TIME(20,51,14)</f>
        <v>41217.86891203704</v>
      </c>
      <c r="C1752">
        <v>80</v>
      </c>
      <c r="D1752">
        <v>79.556526184000006</v>
      </c>
      <c r="E1752">
        <v>40</v>
      </c>
      <c r="F1752">
        <v>40.055923462000003</v>
      </c>
      <c r="G1752">
        <v>1329.1785889</v>
      </c>
      <c r="H1752">
        <v>1327.8806152</v>
      </c>
      <c r="I1752">
        <v>1339.4831543</v>
      </c>
      <c r="J1752">
        <v>1336.5234375</v>
      </c>
      <c r="K1752">
        <v>0</v>
      </c>
      <c r="L1752">
        <v>2750</v>
      </c>
      <c r="M1752">
        <v>2750</v>
      </c>
      <c r="N1752">
        <v>0</v>
      </c>
    </row>
    <row r="1753" spans="1:14" x14ac:dyDescent="0.25">
      <c r="A1753">
        <v>919.08835599999998</v>
      </c>
      <c r="B1753" s="1">
        <f>DATE(2012,11,5) + TIME(2,7,13)</f>
        <v>41218.08834490741</v>
      </c>
      <c r="C1753">
        <v>80</v>
      </c>
      <c r="D1753">
        <v>79.536148071</v>
      </c>
      <c r="E1753">
        <v>40</v>
      </c>
      <c r="F1753">
        <v>40.039802551000001</v>
      </c>
      <c r="G1753">
        <v>1329.1632079999999</v>
      </c>
      <c r="H1753">
        <v>1327.8582764</v>
      </c>
      <c r="I1753">
        <v>1339.479126</v>
      </c>
      <c r="J1753">
        <v>1336.5222168</v>
      </c>
      <c r="K1753">
        <v>0</v>
      </c>
      <c r="L1753">
        <v>2750</v>
      </c>
      <c r="M1753">
        <v>2750</v>
      </c>
      <c r="N1753">
        <v>0</v>
      </c>
    </row>
    <row r="1754" spans="1:14" x14ac:dyDescent="0.25">
      <c r="A1754">
        <v>919.31291999999996</v>
      </c>
      <c r="B1754" s="1">
        <f>DATE(2012,11,5) + TIME(7,30,36)</f>
        <v>41218.312916666669</v>
      </c>
      <c r="C1754">
        <v>80</v>
      </c>
      <c r="D1754">
        <v>79.515388489000003</v>
      </c>
      <c r="E1754">
        <v>40</v>
      </c>
      <c r="F1754">
        <v>40.027431487999998</v>
      </c>
      <c r="G1754">
        <v>1329.1475829999999</v>
      </c>
      <c r="H1754">
        <v>1327.8358154</v>
      </c>
      <c r="I1754">
        <v>1339.4753418</v>
      </c>
      <c r="J1754">
        <v>1336.5211182</v>
      </c>
      <c r="K1754">
        <v>0</v>
      </c>
      <c r="L1754">
        <v>2750</v>
      </c>
      <c r="M1754">
        <v>2750</v>
      </c>
      <c r="N1754">
        <v>0</v>
      </c>
    </row>
    <row r="1755" spans="1:14" x14ac:dyDescent="0.25">
      <c r="A1755">
        <v>919.54310299999997</v>
      </c>
      <c r="B1755" s="1">
        <f>DATE(2012,11,5) + TIME(13,2,4)</f>
        <v>41218.54310185185</v>
      </c>
      <c r="C1755">
        <v>80</v>
      </c>
      <c r="D1755">
        <v>79.494216918999996</v>
      </c>
      <c r="E1755">
        <v>40</v>
      </c>
      <c r="F1755">
        <v>40.017959595000001</v>
      </c>
      <c r="G1755">
        <v>1329.1318358999999</v>
      </c>
      <c r="H1755">
        <v>1327.8131103999999</v>
      </c>
      <c r="I1755">
        <v>1339.4715576000001</v>
      </c>
      <c r="J1755">
        <v>1336.5200195</v>
      </c>
      <c r="K1755">
        <v>0</v>
      </c>
      <c r="L1755">
        <v>2750</v>
      </c>
      <c r="M1755">
        <v>2750</v>
      </c>
      <c r="N1755">
        <v>0</v>
      </c>
    </row>
    <row r="1756" spans="1:14" x14ac:dyDescent="0.25">
      <c r="A1756">
        <v>919.77941799999996</v>
      </c>
      <c r="B1756" s="1">
        <f>DATE(2012,11,5) + TIME(18,42,21)</f>
        <v>41218.779409722221</v>
      </c>
      <c r="C1756">
        <v>80</v>
      </c>
      <c r="D1756">
        <v>79.472618103000002</v>
      </c>
      <c r="E1756">
        <v>40</v>
      </c>
      <c r="F1756">
        <v>40.010730743000003</v>
      </c>
      <c r="G1756">
        <v>1329.1158447</v>
      </c>
      <c r="H1756">
        <v>1327.7900391000001</v>
      </c>
      <c r="I1756">
        <v>1339.4680175999999</v>
      </c>
      <c r="J1756">
        <v>1336.519043</v>
      </c>
      <c r="K1756">
        <v>0</v>
      </c>
      <c r="L1756">
        <v>2750</v>
      </c>
      <c r="M1756">
        <v>2750</v>
      </c>
      <c r="N1756">
        <v>0</v>
      </c>
    </row>
    <row r="1757" spans="1:14" x14ac:dyDescent="0.25">
      <c r="A1757">
        <v>920.02239999999995</v>
      </c>
      <c r="B1757" s="1">
        <f>DATE(2012,11,6) + TIME(0,32,15)</f>
        <v>41219.02239583333</v>
      </c>
      <c r="C1757">
        <v>80</v>
      </c>
      <c r="D1757">
        <v>79.450553893999995</v>
      </c>
      <c r="E1757">
        <v>40</v>
      </c>
      <c r="F1757">
        <v>40.005222320999998</v>
      </c>
      <c r="G1757">
        <v>1329.0996094</v>
      </c>
      <c r="H1757">
        <v>1327.7667236</v>
      </c>
      <c r="I1757">
        <v>1339.4644774999999</v>
      </c>
      <c r="J1757">
        <v>1336.5180664</v>
      </c>
      <c r="K1757">
        <v>0</v>
      </c>
      <c r="L1757">
        <v>2750</v>
      </c>
      <c r="M1757">
        <v>2750</v>
      </c>
      <c r="N1757">
        <v>0</v>
      </c>
    </row>
    <row r="1758" spans="1:14" x14ac:dyDescent="0.25">
      <c r="A1758">
        <v>920.27261599999997</v>
      </c>
      <c r="B1758" s="1">
        <f>DATE(2012,11,6) + TIME(6,32,34)</f>
        <v>41219.272615740738</v>
      </c>
      <c r="C1758">
        <v>80</v>
      </c>
      <c r="D1758">
        <v>79.428001404</v>
      </c>
      <c r="E1758">
        <v>40</v>
      </c>
      <c r="F1758">
        <v>40.001037598000003</v>
      </c>
      <c r="G1758">
        <v>1329.0832519999999</v>
      </c>
      <c r="H1758">
        <v>1327.7430420000001</v>
      </c>
      <c r="I1758">
        <v>1339.4610596</v>
      </c>
      <c r="J1758">
        <v>1336.5170897999999</v>
      </c>
      <c r="K1758">
        <v>0</v>
      </c>
      <c r="L1758">
        <v>2750</v>
      </c>
      <c r="M1758">
        <v>2750</v>
      </c>
      <c r="N1758">
        <v>0</v>
      </c>
    </row>
    <row r="1759" spans="1:14" x14ac:dyDescent="0.25">
      <c r="A1759">
        <v>920.53067199999998</v>
      </c>
      <c r="B1759" s="1">
        <f>DATE(2012,11,6) + TIME(12,44,10)</f>
        <v>41219.530671296299</v>
      </c>
      <c r="C1759">
        <v>80</v>
      </c>
      <c r="D1759">
        <v>79.404914856000005</v>
      </c>
      <c r="E1759">
        <v>40</v>
      </c>
      <c r="F1759">
        <v>39.997863770000002</v>
      </c>
      <c r="G1759">
        <v>1329.0665283000001</v>
      </c>
      <c r="H1759">
        <v>1327.7189940999999</v>
      </c>
      <c r="I1759">
        <v>1339.4577637</v>
      </c>
      <c r="J1759">
        <v>1336.5161132999999</v>
      </c>
      <c r="K1759">
        <v>0</v>
      </c>
      <c r="L1759">
        <v>2750</v>
      </c>
      <c r="M1759">
        <v>2750</v>
      </c>
      <c r="N1759">
        <v>0</v>
      </c>
    </row>
    <row r="1760" spans="1:14" x14ac:dyDescent="0.25">
      <c r="A1760">
        <v>920.79721600000005</v>
      </c>
      <c r="B1760" s="1">
        <f>DATE(2012,11,6) + TIME(19,7,59)</f>
        <v>41219.797210648147</v>
      </c>
      <c r="C1760">
        <v>80</v>
      </c>
      <c r="D1760">
        <v>79.381271362000007</v>
      </c>
      <c r="E1760">
        <v>40</v>
      </c>
      <c r="F1760">
        <v>39.995464325</v>
      </c>
      <c r="G1760">
        <v>1329.0494385</v>
      </c>
      <c r="H1760">
        <v>1327.6945800999999</v>
      </c>
      <c r="I1760">
        <v>1339.4544678</v>
      </c>
      <c r="J1760">
        <v>1336.5151367000001</v>
      </c>
      <c r="K1760">
        <v>0</v>
      </c>
      <c r="L1760">
        <v>2750</v>
      </c>
      <c r="M1760">
        <v>2750</v>
      </c>
      <c r="N1760">
        <v>0</v>
      </c>
    </row>
    <row r="1761" spans="1:14" x14ac:dyDescent="0.25">
      <c r="A1761">
        <v>921.07282899999996</v>
      </c>
      <c r="B1761" s="1">
        <f>DATE(2012,11,7) + TIME(1,44,52)</f>
        <v>41220.072824074072</v>
      </c>
      <c r="C1761">
        <v>80</v>
      </c>
      <c r="D1761">
        <v>79.357032775999997</v>
      </c>
      <c r="E1761">
        <v>40</v>
      </c>
      <c r="F1761">
        <v>39.993652343999997</v>
      </c>
      <c r="G1761">
        <v>1329.0321045000001</v>
      </c>
      <c r="H1761">
        <v>1327.6696777</v>
      </c>
      <c r="I1761">
        <v>1339.4511719</v>
      </c>
      <c r="J1761">
        <v>1336.5141602000001</v>
      </c>
      <c r="K1761">
        <v>0</v>
      </c>
      <c r="L1761">
        <v>2750</v>
      </c>
      <c r="M1761">
        <v>2750</v>
      </c>
      <c r="N1761">
        <v>0</v>
      </c>
    </row>
    <row r="1762" spans="1:14" x14ac:dyDescent="0.25">
      <c r="A1762">
        <v>921.35836800000004</v>
      </c>
      <c r="B1762" s="1">
        <f>DATE(2012,11,7) + TIME(8,36,2)</f>
        <v>41220.358356481483</v>
      </c>
      <c r="C1762">
        <v>80</v>
      </c>
      <c r="D1762">
        <v>79.332145690999994</v>
      </c>
      <c r="E1762">
        <v>40</v>
      </c>
      <c r="F1762">
        <v>39.992279052999997</v>
      </c>
      <c r="G1762">
        <v>1329.0142822</v>
      </c>
      <c r="H1762">
        <v>1327.6442870999999</v>
      </c>
      <c r="I1762">
        <v>1339.4479980000001</v>
      </c>
      <c r="J1762">
        <v>1336.5131836</v>
      </c>
      <c r="K1762">
        <v>0</v>
      </c>
      <c r="L1762">
        <v>2750</v>
      </c>
      <c r="M1762">
        <v>2750</v>
      </c>
      <c r="N1762">
        <v>0</v>
      </c>
    </row>
    <row r="1763" spans="1:14" x14ac:dyDescent="0.25">
      <c r="A1763">
        <v>921.65466000000004</v>
      </c>
      <c r="B1763" s="1">
        <f>DATE(2012,11,7) + TIME(15,42,42)</f>
        <v>41220.654652777775</v>
      </c>
      <c r="C1763">
        <v>80</v>
      </c>
      <c r="D1763">
        <v>79.306556701999995</v>
      </c>
      <c r="E1763">
        <v>40</v>
      </c>
      <c r="F1763">
        <v>39.99124527</v>
      </c>
      <c r="G1763">
        <v>1328.9962158000001</v>
      </c>
      <c r="H1763">
        <v>1327.6182861</v>
      </c>
      <c r="I1763">
        <v>1339.4448242000001</v>
      </c>
      <c r="J1763">
        <v>1336.512207</v>
      </c>
      <c r="K1763">
        <v>0</v>
      </c>
      <c r="L1763">
        <v>2750</v>
      </c>
      <c r="M1763">
        <v>2750</v>
      </c>
      <c r="N1763">
        <v>0</v>
      </c>
    </row>
    <row r="1764" spans="1:14" x14ac:dyDescent="0.25">
      <c r="A1764">
        <v>921.96260900000004</v>
      </c>
      <c r="B1764" s="1">
        <f>DATE(2012,11,7) + TIME(23,6,9)</f>
        <v>41220.962604166663</v>
      </c>
      <c r="C1764">
        <v>80</v>
      </c>
      <c r="D1764">
        <v>79.280212402000004</v>
      </c>
      <c r="E1764">
        <v>40</v>
      </c>
      <c r="F1764">
        <v>39.990459442000002</v>
      </c>
      <c r="G1764">
        <v>1328.9776611</v>
      </c>
      <c r="H1764">
        <v>1327.5917969</v>
      </c>
      <c r="I1764">
        <v>1339.4416504000001</v>
      </c>
      <c r="J1764">
        <v>1336.5112305</v>
      </c>
      <c r="K1764">
        <v>0</v>
      </c>
      <c r="L1764">
        <v>2750</v>
      </c>
      <c r="M1764">
        <v>2750</v>
      </c>
      <c r="N1764">
        <v>0</v>
      </c>
    </row>
    <row r="1765" spans="1:14" x14ac:dyDescent="0.25">
      <c r="A1765">
        <v>922.28321600000004</v>
      </c>
      <c r="B1765" s="1">
        <f>DATE(2012,11,8) + TIME(6,47,49)</f>
        <v>41221.283206018517</v>
      </c>
      <c r="C1765">
        <v>80</v>
      </c>
      <c r="D1765">
        <v>79.253051757999998</v>
      </c>
      <c r="E1765">
        <v>40</v>
      </c>
      <c r="F1765">
        <v>39.989860534999998</v>
      </c>
      <c r="G1765">
        <v>1328.9584961</v>
      </c>
      <c r="H1765">
        <v>1327.5645752</v>
      </c>
      <c r="I1765">
        <v>1339.4384766000001</v>
      </c>
      <c r="J1765">
        <v>1336.5102539</v>
      </c>
      <c r="K1765">
        <v>0</v>
      </c>
      <c r="L1765">
        <v>2750</v>
      </c>
      <c r="M1765">
        <v>2750</v>
      </c>
      <c r="N1765">
        <v>0</v>
      </c>
    </row>
    <row r="1766" spans="1:14" x14ac:dyDescent="0.25">
      <c r="A1766">
        <v>922.61758399999997</v>
      </c>
      <c r="B1766" s="1">
        <f>DATE(2012,11,8) + TIME(14,49,19)</f>
        <v>41221.617581018516</v>
      </c>
      <c r="C1766">
        <v>80</v>
      </c>
      <c r="D1766">
        <v>79.225021362000007</v>
      </c>
      <c r="E1766">
        <v>40</v>
      </c>
      <c r="F1766">
        <v>39.989406586000001</v>
      </c>
      <c r="G1766">
        <v>1328.9389647999999</v>
      </c>
      <c r="H1766">
        <v>1327.5366211</v>
      </c>
      <c r="I1766">
        <v>1339.4354248</v>
      </c>
      <c r="J1766">
        <v>1336.5092772999999</v>
      </c>
      <c r="K1766">
        <v>0</v>
      </c>
      <c r="L1766">
        <v>2750</v>
      </c>
      <c r="M1766">
        <v>2750</v>
      </c>
      <c r="N1766">
        <v>0</v>
      </c>
    </row>
    <row r="1767" spans="1:14" x14ac:dyDescent="0.25">
      <c r="A1767">
        <v>922.96694000000002</v>
      </c>
      <c r="B1767" s="1">
        <f>DATE(2012,11,8) + TIME(23,12,23)</f>
        <v>41221.966932870368</v>
      </c>
      <c r="C1767">
        <v>80</v>
      </c>
      <c r="D1767">
        <v>79.196029663000004</v>
      </c>
      <c r="E1767">
        <v>40</v>
      </c>
      <c r="F1767">
        <v>39.989055634000003</v>
      </c>
      <c r="G1767">
        <v>1328.9187012</v>
      </c>
      <c r="H1767">
        <v>1327.5079346</v>
      </c>
      <c r="I1767">
        <v>1339.432251</v>
      </c>
      <c r="J1767">
        <v>1336.5081786999999</v>
      </c>
      <c r="K1767">
        <v>0</v>
      </c>
      <c r="L1767">
        <v>2750</v>
      </c>
      <c r="M1767">
        <v>2750</v>
      </c>
      <c r="N1767">
        <v>0</v>
      </c>
    </row>
    <row r="1768" spans="1:14" x14ac:dyDescent="0.25">
      <c r="A1768">
        <v>923.33264899999995</v>
      </c>
      <c r="B1768" s="1">
        <f>DATE(2012,11,9) + TIME(7,59,0)</f>
        <v>41222.332638888889</v>
      </c>
      <c r="C1768">
        <v>80</v>
      </c>
      <c r="D1768">
        <v>79.166007996000005</v>
      </c>
      <c r="E1768">
        <v>40</v>
      </c>
      <c r="F1768">
        <v>39.988784789999997</v>
      </c>
      <c r="G1768">
        <v>1328.8979492000001</v>
      </c>
      <c r="H1768">
        <v>1327.4783935999999</v>
      </c>
      <c r="I1768">
        <v>1339.4291992000001</v>
      </c>
      <c r="J1768">
        <v>1336.5070800999999</v>
      </c>
      <c r="K1768">
        <v>0</v>
      </c>
      <c r="L1768">
        <v>2750</v>
      </c>
      <c r="M1768">
        <v>2750</v>
      </c>
      <c r="N1768">
        <v>0</v>
      </c>
    </row>
    <row r="1769" spans="1:14" x14ac:dyDescent="0.25">
      <c r="A1769">
        <v>923.71624499999996</v>
      </c>
      <c r="B1769" s="1">
        <f>DATE(2012,11,9) + TIME(17,11,23)</f>
        <v>41222.716238425928</v>
      </c>
      <c r="C1769">
        <v>80</v>
      </c>
      <c r="D1769">
        <v>79.134872436999999</v>
      </c>
      <c r="E1769">
        <v>40</v>
      </c>
      <c r="F1769">
        <v>39.988571167000003</v>
      </c>
      <c r="G1769">
        <v>1328.8764647999999</v>
      </c>
      <c r="H1769">
        <v>1327.447876</v>
      </c>
      <c r="I1769">
        <v>1339.4260254000001</v>
      </c>
      <c r="J1769">
        <v>1336.5059814000001</v>
      </c>
      <c r="K1769">
        <v>0</v>
      </c>
      <c r="L1769">
        <v>2750</v>
      </c>
      <c r="M1769">
        <v>2750</v>
      </c>
      <c r="N1769">
        <v>0</v>
      </c>
    </row>
    <row r="1770" spans="1:14" x14ac:dyDescent="0.25">
      <c r="A1770">
        <v>924.11946</v>
      </c>
      <c r="B1770" s="1">
        <f>DATE(2012,11,10) + TIME(2,52,1)</f>
        <v>41223.119456018518</v>
      </c>
      <c r="C1770">
        <v>80</v>
      </c>
      <c r="D1770">
        <v>79.102508545000006</v>
      </c>
      <c r="E1770">
        <v>40</v>
      </c>
      <c r="F1770">
        <v>39.988407135000003</v>
      </c>
      <c r="G1770">
        <v>1328.854126</v>
      </c>
      <c r="H1770">
        <v>1327.4163818</v>
      </c>
      <c r="I1770">
        <v>1339.4229736</v>
      </c>
      <c r="J1770">
        <v>1336.5048827999999</v>
      </c>
      <c r="K1770">
        <v>0</v>
      </c>
      <c r="L1770">
        <v>2750</v>
      </c>
      <c r="M1770">
        <v>2750</v>
      </c>
      <c r="N1770">
        <v>0</v>
      </c>
    </row>
    <row r="1771" spans="1:14" x14ac:dyDescent="0.25">
      <c r="A1771">
        <v>924.54430200000002</v>
      </c>
      <c r="B1771" s="1">
        <f>DATE(2012,11,10) + TIME(13,3,47)</f>
        <v>41223.544293981482</v>
      </c>
      <c r="C1771">
        <v>80</v>
      </c>
      <c r="D1771">
        <v>79.068817139000004</v>
      </c>
      <c r="E1771">
        <v>40</v>
      </c>
      <c r="F1771">
        <v>39.988273620999998</v>
      </c>
      <c r="G1771">
        <v>1328.8310547000001</v>
      </c>
      <c r="H1771">
        <v>1327.3836670000001</v>
      </c>
      <c r="I1771">
        <v>1339.4197998</v>
      </c>
      <c r="J1771">
        <v>1336.5037841999999</v>
      </c>
      <c r="K1771">
        <v>0</v>
      </c>
      <c r="L1771">
        <v>2750</v>
      </c>
      <c r="M1771">
        <v>2750</v>
      </c>
      <c r="N1771">
        <v>0</v>
      </c>
    </row>
    <row r="1772" spans="1:14" x14ac:dyDescent="0.25">
      <c r="A1772">
        <v>924.99300400000004</v>
      </c>
      <c r="B1772" s="1">
        <f>DATE(2012,11,10) + TIME(23,49,55)</f>
        <v>41223.992997685185</v>
      </c>
      <c r="C1772">
        <v>80</v>
      </c>
      <c r="D1772">
        <v>79.033668517999999</v>
      </c>
      <c r="E1772">
        <v>40</v>
      </c>
      <c r="F1772">
        <v>39.988170623999999</v>
      </c>
      <c r="G1772">
        <v>1328.8071289</v>
      </c>
      <c r="H1772">
        <v>1327.3497314000001</v>
      </c>
      <c r="I1772">
        <v>1339.416626</v>
      </c>
      <c r="J1772">
        <v>1336.5025635</v>
      </c>
      <c r="K1772">
        <v>0</v>
      </c>
      <c r="L1772">
        <v>2750</v>
      </c>
      <c r="M1772">
        <v>2750</v>
      </c>
      <c r="N1772">
        <v>0</v>
      </c>
    </row>
    <row r="1773" spans="1:14" x14ac:dyDescent="0.25">
      <c r="A1773">
        <v>925.46586500000001</v>
      </c>
      <c r="B1773" s="1">
        <f>DATE(2012,11,11) + TIME(11,10,50)</f>
        <v>41224.465856481482</v>
      </c>
      <c r="C1773">
        <v>80</v>
      </c>
      <c r="D1773">
        <v>78.997024535999998</v>
      </c>
      <c r="E1773">
        <v>40</v>
      </c>
      <c r="F1773">
        <v>39.988086699999997</v>
      </c>
      <c r="G1773">
        <v>1328.7822266000001</v>
      </c>
      <c r="H1773">
        <v>1327.3145752</v>
      </c>
      <c r="I1773">
        <v>1339.4134521000001</v>
      </c>
      <c r="J1773">
        <v>1336.5014647999999</v>
      </c>
      <c r="K1773">
        <v>0</v>
      </c>
      <c r="L1773">
        <v>2750</v>
      </c>
      <c r="M1773">
        <v>2750</v>
      </c>
      <c r="N1773">
        <v>0</v>
      </c>
    </row>
    <row r="1774" spans="1:14" x14ac:dyDescent="0.25">
      <c r="A1774">
        <v>925.95482400000003</v>
      </c>
      <c r="B1774" s="1">
        <f>DATE(2012,11,11) + TIME(22,54,56)</f>
        <v>41224.954814814817</v>
      </c>
      <c r="C1774">
        <v>80</v>
      </c>
      <c r="D1774">
        <v>78.959259032999995</v>
      </c>
      <c r="E1774">
        <v>40</v>
      </c>
      <c r="F1774">
        <v>39.988018036</v>
      </c>
      <c r="G1774">
        <v>1328.7562256000001</v>
      </c>
      <c r="H1774">
        <v>1327.2780762</v>
      </c>
      <c r="I1774">
        <v>1339.4102783000001</v>
      </c>
      <c r="J1774">
        <v>1336.5002440999999</v>
      </c>
      <c r="K1774">
        <v>0</v>
      </c>
      <c r="L1774">
        <v>2750</v>
      </c>
      <c r="M1774">
        <v>2750</v>
      </c>
      <c r="N1774">
        <v>0</v>
      </c>
    </row>
    <row r="1775" spans="1:14" x14ac:dyDescent="0.25">
      <c r="A1775">
        <v>926.45250999999996</v>
      </c>
      <c r="B1775" s="1">
        <f>DATE(2012,11,12) + TIME(10,51,36)</f>
        <v>41225.452499999999</v>
      </c>
      <c r="C1775">
        <v>80</v>
      </c>
      <c r="D1775">
        <v>78.920791625999996</v>
      </c>
      <c r="E1775">
        <v>40</v>
      </c>
      <c r="F1775">
        <v>39.98796463</v>
      </c>
      <c r="G1775">
        <v>1328.7297363</v>
      </c>
      <c r="H1775">
        <v>1327.2408447</v>
      </c>
      <c r="I1775">
        <v>1339.4072266000001</v>
      </c>
      <c r="J1775">
        <v>1336.4990233999999</v>
      </c>
      <c r="K1775">
        <v>0</v>
      </c>
      <c r="L1775">
        <v>2750</v>
      </c>
      <c r="M1775">
        <v>2750</v>
      </c>
      <c r="N1775">
        <v>0</v>
      </c>
    </row>
    <row r="1776" spans="1:14" x14ac:dyDescent="0.25">
      <c r="A1776">
        <v>926.96010999999999</v>
      </c>
      <c r="B1776" s="1">
        <f>DATE(2012,11,12) + TIME(23,2,33)</f>
        <v>41225.960104166668</v>
      </c>
      <c r="C1776">
        <v>80</v>
      </c>
      <c r="D1776">
        <v>78.881744385000005</v>
      </c>
      <c r="E1776">
        <v>40</v>
      </c>
      <c r="F1776">
        <v>39.987922668000003</v>
      </c>
      <c r="G1776">
        <v>1328.7030029</v>
      </c>
      <c r="H1776">
        <v>1327.203125</v>
      </c>
      <c r="I1776">
        <v>1339.4041748</v>
      </c>
      <c r="J1776">
        <v>1336.4979248</v>
      </c>
      <c r="K1776">
        <v>0</v>
      </c>
      <c r="L1776">
        <v>2750</v>
      </c>
      <c r="M1776">
        <v>2750</v>
      </c>
      <c r="N1776">
        <v>0</v>
      </c>
    </row>
    <row r="1777" spans="1:14" x14ac:dyDescent="0.25">
      <c r="A1777">
        <v>927.47871999999995</v>
      </c>
      <c r="B1777" s="1">
        <f>DATE(2012,11,13) + TIME(11,29,21)</f>
        <v>41226.478715277779</v>
      </c>
      <c r="C1777">
        <v>80</v>
      </c>
      <c r="D1777">
        <v>78.842163085999999</v>
      </c>
      <c r="E1777">
        <v>40</v>
      </c>
      <c r="F1777">
        <v>39.987888335999997</v>
      </c>
      <c r="G1777">
        <v>1328.6760254000001</v>
      </c>
      <c r="H1777">
        <v>1327.1651611</v>
      </c>
      <c r="I1777">
        <v>1339.4012451000001</v>
      </c>
      <c r="J1777">
        <v>1336.4967041</v>
      </c>
      <c r="K1777">
        <v>0</v>
      </c>
      <c r="L1777">
        <v>2750</v>
      </c>
      <c r="M1777">
        <v>2750</v>
      </c>
      <c r="N1777">
        <v>0</v>
      </c>
    </row>
    <row r="1778" spans="1:14" x14ac:dyDescent="0.25">
      <c r="A1778">
        <v>928.00951599999996</v>
      </c>
      <c r="B1778" s="1">
        <f>DATE(2012,11,14) + TIME(0,13,42)</f>
        <v>41227.009513888886</v>
      </c>
      <c r="C1778">
        <v>80</v>
      </c>
      <c r="D1778">
        <v>78.802047728999995</v>
      </c>
      <c r="E1778">
        <v>40</v>
      </c>
      <c r="F1778">
        <v>39.987861633000001</v>
      </c>
      <c r="G1778">
        <v>1328.6488036999999</v>
      </c>
      <c r="H1778">
        <v>1327.1269531</v>
      </c>
      <c r="I1778">
        <v>1339.3983154</v>
      </c>
      <c r="J1778">
        <v>1336.4956055</v>
      </c>
      <c r="K1778">
        <v>0</v>
      </c>
      <c r="L1778">
        <v>2750</v>
      </c>
      <c r="M1778">
        <v>2750</v>
      </c>
      <c r="N1778">
        <v>0</v>
      </c>
    </row>
    <row r="1779" spans="1:14" x14ac:dyDescent="0.25">
      <c r="A1779">
        <v>928.55376100000001</v>
      </c>
      <c r="B1779" s="1">
        <f>DATE(2012,11,14) + TIME(13,17,24)</f>
        <v>41227.553749999999</v>
      </c>
      <c r="C1779">
        <v>80</v>
      </c>
      <c r="D1779">
        <v>78.761344910000005</v>
      </c>
      <c r="E1779">
        <v>40</v>
      </c>
      <c r="F1779">
        <v>39.987838744999998</v>
      </c>
      <c r="G1779">
        <v>1328.6212158000001</v>
      </c>
      <c r="H1779">
        <v>1327.0882568</v>
      </c>
      <c r="I1779">
        <v>1339.3955077999999</v>
      </c>
      <c r="J1779">
        <v>1336.4945068</v>
      </c>
      <c r="K1779">
        <v>0</v>
      </c>
      <c r="L1779">
        <v>2750</v>
      </c>
      <c r="M1779">
        <v>2750</v>
      </c>
      <c r="N1779">
        <v>0</v>
      </c>
    </row>
    <row r="1780" spans="1:14" x14ac:dyDescent="0.25">
      <c r="A1780">
        <v>929.11280499999998</v>
      </c>
      <c r="B1780" s="1">
        <f>DATE(2012,11,15) + TIME(2,42,26)</f>
        <v>41228.112800925926</v>
      </c>
      <c r="C1780">
        <v>80</v>
      </c>
      <c r="D1780">
        <v>78.720008849999999</v>
      </c>
      <c r="E1780">
        <v>40</v>
      </c>
      <c r="F1780">
        <v>39.987815857000001</v>
      </c>
      <c r="G1780">
        <v>1328.5933838000001</v>
      </c>
      <c r="H1780">
        <v>1327.0491943</v>
      </c>
      <c r="I1780">
        <v>1339.3927002</v>
      </c>
      <c r="J1780">
        <v>1336.4934082</v>
      </c>
      <c r="K1780">
        <v>0</v>
      </c>
      <c r="L1780">
        <v>2750</v>
      </c>
      <c r="M1780">
        <v>2750</v>
      </c>
      <c r="N1780">
        <v>0</v>
      </c>
    </row>
    <row r="1781" spans="1:14" x14ac:dyDescent="0.25">
      <c r="A1781">
        <v>929.68807900000002</v>
      </c>
      <c r="B1781" s="1">
        <f>DATE(2012,11,15) + TIME(16,30,50)</f>
        <v>41228.688078703701</v>
      </c>
      <c r="C1781">
        <v>80</v>
      </c>
      <c r="D1781">
        <v>78.677955627000003</v>
      </c>
      <c r="E1781">
        <v>40</v>
      </c>
      <c r="F1781">
        <v>39.987800598</v>
      </c>
      <c r="G1781">
        <v>1328.5650635</v>
      </c>
      <c r="H1781">
        <v>1327.0096435999999</v>
      </c>
      <c r="I1781">
        <v>1339.3900146000001</v>
      </c>
      <c r="J1781">
        <v>1336.4924315999999</v>
      </c>
      <c r="K1781">
        <v>0</v>
      </c>
      <c r="L1781">
        <v>2750</v>
      </c>
      <c r="M1781">
        <v>2750</v>
      </c>
      <c r="N1781">
        <v>0</v>
      </c>
    </row>
    <row r="1782" spans="1:14" x14ac:dyDescent="0.25">
      <c r="A1782">
        <v>930.28112299999998</v>
      </c>
      <c r="B1782" s="1">
        <f>DATE(2012,11,16) + TIME(6,44,49)</f>
        <v>41229.281122685185</v>
      </c>
      <c r="C1782">
        <v>80</v>
      </c>
      <c r="D1782">
        <v>78.635116577000005</v>
      </c>
      <c r="E1782">
        <v>40</v>
      </c>
      <c r="F1782">
        <v>39.987785338999998</v>
      </c>
      <c r="G1782">
        <v>1328.536499</v>
      </c>
      <c r="H1782">
        <v>1326.9696045000001</v>
      </c>
      <c r="I1782">
        <v>1339.3873291</v>
      </c>
      <c r="J1782">
        <v>1336.4913329999999</v>
      </c>
      <c r="K1782">
        <v>0</v>
      </c>
      <c r="L1782">
        <v>2750</v>
      </c>
      <c r="M1782">
        <v>2750</v>
      </c>
      <c r="N1782">
        <v>0</v>
      </c>
    </row>
    <row r="1783" spans="1:14" x14ac:dyDescent="0.25">
      <c r="A1783">
        <v>930.89334099999996</v>
      </c>
      <c r="B1783" s="1">
        <f>DATE(2012,11,16) + TIME(21,26,24)</f>
        <v>41229.893333333333</v>
      </c>
      <c r="C1783">
        <v>80</v>
      </c>
      <c r="D1783">
        <v>78.591392517000003</v>
      </c>
      <c r="E1783">
        <v>40</v>
      </c>
      <c r="F1783">
        <v>39.987773894999997</v>
      </c>
      <c r="G1783">
        <v>1328.5073242000001</v>
      </c>
      <c r="H1783">
        <v>1326.9289550999999</v>
      </c>
      <c r="I1783">
        <v>1339.3847656</v>
      </c>
      <c r="J1783">
        <v>1336.4903564000001</v>
      </c>
      <c r="K1783">
        <v>0</v>
      </c>
      <c r="L1783">
        <v>2750</v>
      </c>
      <c r="M1783">
        <v>2750</v>
      </c>
      <c r="N1783">
        <v>0</v>
      </c>
    </row>
    <row r="1784" spans="1:14" x14ac:dyDescent="0.25">
      <c r="A1784">
        <v>931.52673200000004</v>
      </c>
      <c r="B1784" s="1">
        <f>DATE(2012,11,17) + TIME(12,38,29)</f>
        <v>41230.526724537034</v>
      </c>
      <c r="C1784">
        <v>80</v>
      </c>
      <c r="D1784">
        <v>78.546684264999996</v>
      </c>
      <c r="E1784">
        <v>40</v>
      </c>
      <c r="F1784">
        <v>39.987762451000002</v>
      </c>
      <c r="G1784">
        <v>1328.4776611</v>
      </c>
      <c r="H1784">
        <v>1326.8875731999999</v>
      </c>
      <c r="I1784">
        <v>1339.3822021000001</v>
      </c>
      <c r="J1784">
        <v>1336.4893798999999</v>
      </c>
      <c r="K1784">
        <v>0</v>
      </c>
      <c r="L1784">
        <v>2750</v>
      </c>
      <c r="M1784">
        <v>2750</v>
      </c>
      <c r="N1784">
        <v>0</v>
      </c>
    </row>
    <row r="1785" spans="1:14" x14ac:dyDescent="0.25">
      <c r="A1785">
        <v>932.18329200000005</v>
      </c>
      <c r="B1785" s="1">
        <f>DATE(2012,11,18) + TIME(4,23,56)</f>
        <v>41231.183287037034</v>
      </c>
      <c r="C1785">
        <v>80</v>
      </c>
      <c r="D1785">
        <v>78.500885010000005</v>
      </c>
      <c r="E1785">
        <v>40</v>
      </c>
      <c r="F1785">
        <v>39.987751007</v>
      </c>
      <c r="G1785">
        <v>1328.4473877</v>
      </c>
      <c r="H1785">
        <v>1326.8454589999999</v>
      </c>
      <c r="I1785">
        <v>1339.3796387</v>
      </c>
      <c r="J1785">
        <v>1336.4884033000001</v>
      </c>
      <c r="K1785">
        <v>0</v>
      </c>
      <c r="L1785">
        <v>2750</v>
      </c>
      <c r="M1785">
        <v>2750</v>
      </c>
      <c r="N1785">
        <v>0</v>
      </c>
    </row>
    <row r="1786" spans="1:14" x14ac:dyDescent="0.25">
      <c r="A1786">
        <v>932.865229</v>
      </c>
      <c r="B1786" s="1">
        <f>DATE(2012,11,18) + TIME(20,45,55)</f>
        <v>41231.865219907406</v>
      </c>
      <c r="C1786">
        <v>80</v>
      </c>
      <c r="D1786">
        <v>78.453857421999999</v>
      </c>
      <c r="E1786">
        <v>40</v>
      </c>
      <c r="F1786">
        <v>39.987739562999998</v>
      </c>
      <c r="G1786">
        <v>1328.4163818</v>
      </c>
      <c r="H1786">
        <v>1326.8023682</v>
      </c>
      <c r="I1786">
        <v>1339.3770752</v>
      </c>
      <c r="J1786">
        <v>1336.4874268000001</v>
      </c>
      <c r="K1786">
        <v>0</v>
      </c>
      <c r="L1786">
        <v>2750</v>
      </c>
      <c r="M1786">
        <v>2750</v>
      </c>
      <c r="N1786">
        <v>0</v>
      </c>
    </row>
    <row r="1787" spans="1:14" x14ac:dyDescent="0.25">
      <c r="A1787">
        <v>933.57498699999996</v>
      </c>
      <c r="B1787" s="1">
        <f>DATE(2012,11,19) + TIME(13,47,58)</f>
        <v>41232.574976851851</v>
      </c>
      <c r="C1787">
        <v>80</v>
      </c>
      <c r="D1787">
        <v>78.405471801999994</v>
      </c>
      <c r="E1787">
        <v>40</v>
      </c>
      <c r="F1787">
        <v>39.987731934000003</v>
      </c>
      <c r="G1787">
        <v>1328.3846435999999</v>
      </c>
      <c r="H1787">
        <v>1326.7584228999999</v>
      </c>
      <c r="I1787">
        <v>1339.3745117000001</v>
      </c>
      <c r="J1787">
        <v>1336.4864502</v>
      </c>
      <c r="K1787">
        <v>0</v>
      </c>
      <c r="L1787">
        <v>2750</v>
      </c>
      <c r="M1787">
        <v>2750</v>
      </c>
      <c r="N1787">
        <v>0</v>
      </c>
    </row>
    <row r="1788" spans="1:14" x14ac:dyDescent="0.25">
      <c r="A1788">
        <v>934.31528900000001</v>
      </c>
      <c r="B1788" s="1">
        <f>DATE(2012,11,20) + TIME(7,34,0)</f>
        <v>41233.31527777778</v>
      </c>
      <c r="C1788">
        <v>80</v>
      </c>
      <c r="D1788">
        <v>78.355575561999999</v>
      </c>
      <c r="E1788">
        <v>40</v>
      </c>
      <c r="F1788">
        <v>39.987720490000001</v>
      </c>
      <c r="G1788">
        <v>1328.3521728999999</v>
      </c>
      <c r="H1788">
        <v>1326.7133789</v>
      </c>
      <c r="I1788">
        <v>1339.3720702999999</v>
      </c>
      <c r="J1788">
        <v>1336.4854736</v>
      </c>
      <c r="K1788">
        <v>0</v>
      </c>
      <c r="L1788">
        <v>2750</v>
      </c>
      <c r="M1788">
        <v>2750</v>
      </c>
      <c r="N1788">
        <v>0</v>
      </c>
    </row>
    <row r="1789" spans="1:14" x14ac:dyDescent="0.25">
      <c r="A1789">
        <v>935.08918800000004</v>
      </c>
      <c r="B1789" s="1">
        <f>DATE(2012,11,21) + TIME(2,8,25)</f>
        <v>41234.089178240742</v>
      </c>
      <c r="C1789">
        <v>80</v>
      </c>
      <c r="D1789">
        <v>78.303985596000004</v>
      </c>
      <c r="E1789">
        <v>40</v>
      </c>
      <c r="F1789">
        <v>39.987712860000002</v>
      </c>
      <c r="G1789">
        <v>1328.3188477000001</v>
      </c>
      <c r="H1789">
        <v>1326.6672363</v>
      </c>
      <c r="I1789">
        <v>1339.3695068</v>
      </c>
      <c r="J1789">
        <v>1336.4846190999999</v>
      </c>
      <c r="K1789">
        <v>0</v>
      </c>
      <c r="L1789">
        <v>2750</v>
      </c>
      <c r="M1789">
        <v>2750</v>
      </c>
      <c r="N1789">
        <v>0</v>
      </c>
    </row>
    <row r="1790" spans="1:14" x14ac:dyDescent="0.25">
      <c r="A1790">
        <v>935.90011500000003</v>
      </c>
      <c r="B1790" s="1">
        <f>DATE(2012,11,21) + TIME(21,36,9)</f>
        <v>41234.900104166663</v>
      </c>
      <c r="C1790">
        <v>80</v>
      </c>
      <c r="D1790">
        <v>78.250526428000001</v>
      </c>
      <c r="E1790">
        <v>40</v>
      </c>
      <c r="F1790">
        <v>39.987701416</v>
      </c>
      <c r="G1790">
        <v>1328.2844238</v>
      </c>
      <c r="H1790">
        <v>1326.6196289</v>
      </c>
      <c r="I1790">
        <v>1339.3670654</v>
      </c>
      <c r="J1790">
        <v>1336.4836425999999</v>
      </c>
      <c r="K1790">
        <v>0</v>
      </c>
      <c r="L1790">
        <v>2750</v>
      </c>
      <c r="M1790">
        <v>2750</v>
      </c>
      <c r="N1790">
        <v>0</v>
      </c>
    </row>
    <row r="1791" spans="1:14" x14ac:dyDescent="0.25">
      <c r="A1791">
        <v>936.75194199999999</v>
      </c>
      <c r="B1791" s="1">
        <f>DATE(2012,11,22) + TIME(18,2,47)</f>
        <v>41235.751932870371</v>
      </c>
      <c r="C1791">
        <v>80</v>
      </c>
      <c r="D1791">
        <v>78.194969177000004</v>
      </c>
      <c r="E1791">
        <v>40</v>
      </c>
      <c r="F1791">
        <v>39.987693786999998</v>
      </c>
      <c r="G1791">
        <v>1328.2489014</v>
      </c>
      <c r="H1791">
        <v>1326.5708007999999</v>
      </c>
      <c r="I1791">
        <v>1339.364624</v>
      </c>
      <c r="J1791">
        <v>1336.4827881000001</v>
      </c>
      <c r="K1791">
        <v>0</v>
      </c>
      <c r="L1791">
        <v>2750</v>
      </c>
      <c r="M1791">
        <v>2750</v>
      </c>
      <c r="N1791">
        <v>0</v>
      </c>
    </row>
    <row r="1792" spans="1:14" x14ac:dyDescent="0.25">
      <c r="A1792">
        <v>937.64911600000005</v>
      </c>
      <c r="B1792" s="1">
        <f>DATE(2012,11,23) + TIME(15,34,43)</f>
        <v>41236.649108796293</v>
      </c>
      <c r="C1792">
        <v>80</v>
      </c>
      <c r="D1792">
        <v>78.137069702000005</v>
      </c>
      <c r="E1792">
        <v>40</v>
      </c>
      <c r="F1792">
        <v>39.987686156999999</v>
      </c>
      <c r="G1792">
        <v>1328.2122803</v>
      </c>
      <c r="H1792">
        <v>1326.5202637</v>
      </c>
      <c r="I1792">
        <v>1339.3620605000001</v>
      </c>
      <c r="J1792">
        <v>1336.4819336</v>
      </c>
      <c r="K1792">
        <v>0</v>
      </c>
      <c r="L1792">
        <v>2750</v>
      </c>
      <c r="M1792">
        <v>2750</v>
      </c>
      <c r="N1792">
        <v>0</v>
      </c>
    </row>
    <row r="1793" spans="1:14" x14ac:dyDescent="0.25">
      <c r="A1793">
        <v>938.58230200000003</v>
      </c>
      <c r="B1793" s="1">
        <f>DATE(2012,11,24) + TIME(13,58,30)</f>
        <v>41237.582291666666</v>
      </c>
      <c r="C1793">
        <v>80</v>
      </c>
      <c r="D1793">
        <v>78.076919556000007</v>
      </c>
      <c r="E1793">
        <v>40</v>
      </c>
      <c r="F1793">
        <v>39.987674712999997</v>
      </c>
      <c r="G1793">
        <v>1328.1743164</v>
      </c>
      <c r="H1793">
        <v>1326.4680175999999</v>
      </c>
      <c r="I1793">
        <v>1339.3596190999999</v>
      </c>
      <c r="J1793">
        <v>1336.4810791</v>
      </c>
      <c r="K1793">
        <v>0</v>
      </c>
      <c r="L1793">
        <v>2750</v>
      </c>
      <c r="M1793">
        <v>2750</v>
      </c>
      <c r="N1793">
        <v>0</v>
      </c>
    </row>
    <row r="1794" spans="1:14" x14ac:dyDescent="0.25">
      <c r="A1794">
        <v>939.55550700000003</v>
      </c>
      <c r="B1794" s="1">
        <f>DATE(2012,11,25) + TIME(13,19,55)</f>
        <v>41238.555497685185</v>
      </c>
      <c r="C1794">
        <v>80</v>
      </c>
      <c r="D1794">
        <v>78.014549255000006</v>
      </c>
      <c r="E1794">
        <v>40</v>
      </c>
      <c r="F1794">
        <v>39.987667084000002</v>
      </c>
      <c r="G1794">
        <v>1328.1352539</v>
      </c>
      <c r="H1794">
        <v>1326.4145507999999</v>
      </c>
      <c r="I1794">
        <v>1339.3570557</v>
      </c>
      <c r="J1794">
        <v>1336.4802245999999</v>
      </c>
      <c r="K1794">
        <v>0</v>
      </c>
      <c r="L1794">
        <v>2750</v>
      </c>
      <c r="M1794">
        <v>2750</v>
      </c>
      <c r="N1794">
        <v>0</v>
      </c>
    </row>
    <row r="1795" spans="1:14" x14ac:dyDescent="0.25">
      <c r="A1795">
        <v>940.56682000000001</v>
      </c>
      <c r="B1795" s="1">
        <f>DATE(2012,11,26) + TIME(13,36,13)</f>
        <v>41239.566817129627</v>
      </c>
      <c r="C1795">
        <v>80</v>
      </c>
      <c r="D1795">
        <v>77.949974060000002</v>
      </c>
      <c r="E1795">
        <v>40</v>
      </c>
      <c r="F1795">
        <v>39.987659454000003</v>
      </c>
      <c r="G1795">
        <v>1328.0952147999999</v>
      </c>
      <c r="H1795">
        <v>1326.3596190999999</v>
      </c>
      <c r="I1795">
        <v>1339.3546143000001</v>
      </c>
      <c r="J1795">
        <v>1336.4793701000001</v>
      </c>
      <c r="K1795">
        <v>0</v>
      </c>
      <c r="L1795">
        <v>2750</v>
      </c>
      <c r="M1795">
        <v>2750</v>
      </c>
      <c r="N1795">
        <v>0</v>
      </c>
    </row>
    <row r="1796" spans="1:14" x14ac:dyDescent="0.25">
      <c r="A1796">
        <v>941.590057</v>
      </c>
      <c r="B1796" s="1">
        <f>DATE(2012,11,27) + TIME(14,9,40)</f>
        <v>41240.590046296296</v>
      </c>
      <c r="C1796">
        <v>80</v>
      </c>
      <c r="D1796">
        <v>77.883827209000003</v>
      </c>
      <c r="E1796">
        <v>40</v>
      </c>
      <c r="F1796">
        <v>39.987648010000001</v>
      </c>
      <c r="G1796">
        <v>1328.0543213000001</v>
      </c>
      <c r="H1796">
        <v>1326.3035889</v>
      </c>
      <c r="I1796">
        <v>1339.3521728999999</v>
      </c>
      <c r="J1796">
        <v>1336.4786377</v>
      </c>
      <c r="K1796">
        <v>0</v>
      </c>
      <c r="L1796">
        <v>2750</v>
      </c>
      <c r="M1796">
        <v>2750</v>
      </c>
      <c r="N1796">
        <v>0</v>
      </c>
    </row>
    <row r="1797" spans="1:14" x14ac:dyDescent="0.25">
      <c r="A1797">
        <v>942.63348099999996</v>
      </c>
      <c r="B1797" s="1">
        <f>DATE(2012,11,28) + TIME(15,12,12)</f>
        <v>41241.633472222224</v>
      </c>
      <c r="C1797">
        <v>80</v>
      </c>
      <c r="D1797">
        <v>77.816566467000001</v>
      </c>
      <c r="E1797">
        <v>40</v>
      </c>
      <c r="F1797">
        <v>39.987640380999999</v>
      </c>
      <c r="G1797">
        <v>1328.0133057</v>
      </c>
      <c r="H1797">
        <v>1326.2474365</v>
      </c>
      <c r="I1797">
        <v>1339.3498535000001</v>
      </c>
      <c r="J1797">
        <v>1336.4779053</v>
      </c>
      <c r="K1797">
        <v>0</v>
      </c>
      <c r="L1797">
        <v>2750</v>
      </c>
      <c r="M1797">
        <v>2750</v>
      </c>
      <c r="N1797">
        <v>0</v>
      </c>
    </row>
    <row r="1798" spans="1:14" x14ac:dyDescent="0.25">
      <c r="A1798">
        <v>943.70557899999994</v>
      </c>
      <c r="B1798" s="1">
        <f>DATE(2012,11,29) + TIME(16,56,2)</f>
        <v>41242.705578703702</v>
      </c>
      <c r="C1798">
        <v>80</v>
      </c>
      <c r="D1798">
        <v>77.748008728000002</v>
      </c>
      <c r="E1798">
        <v>40</v>
      </c>
      <c r="F1798">
        <v>39.987632751</v>
      </c>
      <c r="G1798">
        <v>1327.9720459</v>
      </c>
      <c r="H1798">
        <v>1326.1910399999999</v>
      </c>
      <c r="I1798">
        <v>1339.3475341999999</v>
      </c>
      <c r="J1798">
        <v>1336.4772949000001</v>
      </c>
      <c r="K1798">
        <v>0</v>
      </c>
      <c r="L1798">
        <v>2750</v>
      </c>
      <c r="M1798">
        <v>2750</v>
      </c>
      <c r="N1798">
        <v>0</v>
      </c>
    </row>
    <row r="1799" spans="1:14" x14ac:dyDescent="0.25">
      <c r="A1799">
        <v>944.81559600000003</v>
      </c>
      <c r="B1799" s="1">
        <f>DATE(2012,11,30) + TIME(19,34,27)</f>
        <v>41243.81559027778</v>
      </c>
      <c r="C1799">
        <v>80</v>
      </c>
      <c r="D1799">
        <v>77.677688599000007</v>
      </c>
      <c r="E1799">
        <v>40</v>
      </c>
      <c r="F1799">
        <v>39.987625121999997</v>
      </c>
      <c r="G1799">
        <v>1327.9305420000001</v>
      </c>
      <c r="H1799">
        <v>1326.1341553</v>
      </c>
      <c r="I1799">
        <v>1339.3452147999999</v>
      </c>
      <c r="J1799">
        <v>1336.4766846</v>
      </c>
      <c r="K1799">
        <v>0</v>
      </c>
      <c r="L1799">
        <v>2750</v>
      </c>
      <c r="M1799">
        <v>2750</v>
      </c>
      <c r="N1799">
        <v>0</v>
      </c>
    </row>
    <row r="1800" spans="1:14" x14ac:dyDescent="0.25">
      <c r="A1800">
        <v>945</v>
      </c>
      <c r="B1800" s="1">
        <f>DATE(2012,12,1) + TIME(0,0,0)</f>
        <v>41244</v>
      </c>
      <c r="C1800">
        <v>80</v>
      </c>
      <c r="D1800">
        <v>77.651542664000004</v>
      </c>
      <c r="E1800">
        <v>40</v>
      </c>
      <c r="F1800">
        <v>39.987621306999998</v>
      </c>
      <c r="G1800">
        <v>1327.8922118999999</v>
      </c>
      <c r="H1800">
        <v>1326.0842285000001</v>
      </c>
      <c r="I1800">
        <v>1339.3428954999999</v>
      </c>
      <c r="J1800">
        <v>1336.4758300999999</v>
      </c>
      <c r="K1800">
        <v>0</v>
      </c>
      <c r="L1800">
        <v>2750</v>
      </c>
      <c r="M1800">
        <v>2750</v>
      </c>
      <c r="N1800">
        <v>0</v>
      </c>
    </row>
    <row r="1801" spans="1:14" x14ac:dyDescent="0.25">
      <c r="A1801">
        <v>946.14007500000002</v>
      </c>
      <c r="B1801" s="1">
        <f>DATE(2012,12,2) + TIME(3,21,42)</f>
        <v>41245.140069444446</v>
      </c>
      <c r="C1801">
        <v>80</v>
      </c>
      <c r="D1801">
        <v>77.588584900000001</v>
      </c>
      <c r="E1801">
        <v>40</v>
      </c>
      <c r="F1801">
        <v>39.987613678000002</v>
      </c>
      <c r="G1801">
        <v>1327.8776855000001</v>
      </c>
      <c r="H1801">
        <v>1326.0610352000001</v>
      </c>
      <c r="I1801">
        <v>1339.3426514</v>
      </c>
      <c r="J1801">
        <v>1336.4759521000001</v>
      </c>
      <c r="K1801">
        <v>0</v>
      </c>
      <c r="L1801">
        <v>2750</v>
      </c>
      <c r="M1801">
        <v>2750</v>
      </c>
      <c r="N1801">
        <v>0</v>
      </c>
    </row>
    <row r="1802" spans="1:14" x14ac:dyDescent="0.25">
      <c r="A1802">
        <v>947.31061099999999</v>
      </c>
      <c r="B1802" s="1">
        <f>DATE(2012,12,3) + TIME(7,27,16)</f>
        <v>41246.310601851852</v>
      </c>
      <c r="C1802">
        <v>80</v>
      </c>
      <c r="D1802">
        <v>77.517547606999997</v>
      </c>
      <c r="E1802">
        <v>40</v>
      </c>
      <c r="F1802">
        <v>39.987606049</v>
      </c>
      <c r="G1802">
        <v>1327.8374022999999</v>
      </c>
      <c r="H1802">
        <v>1326.0069579999999</v>
      </c>
      <c r="I1802">
        <v>1339.3404541</v>
      </c>
      <c r="J1802">
        <v>1336.4753418</v>
      </c>
      <c r="K1802">
        <v>0</v>
      </c>
      <c r="L1802">
        <v>2750</v>
      </c>
      <c r="M1802">
        <v>2750</v>
      </c>
      <c r="N1802">
        <v>0</v>
      </c>
    </row>
    <row r="1803" spans="1:14" x14ac:dyDescent="0.25">
      <c r="A1803">
        <v>948.51649899999995</v>
      </c>
      <c r="B1803" s="1">
        <f>DATE(2012,12,4) + TIME(12,23,45)</f>
        <v>41247.516493055555</v>
      </c>
      <c r="C1803">
        <v>80</v>
      </c>
      <c r="D1803">
        <v>77.442283630000006</v>
      </c>
      <c r="E1803">
        <v>40</v>
      </c>
      <c r="F1803">
        <v>39.987598419000001</v>
      </c>
      <c r="G1803">
        <v>1327.7952881000001</v>
      </c>
      <c r="H1803">
        <v>1325.9499512</v>
      </c>
      <c r="I1803">
        <v>1339.3383789</v>
      </c>
      <c r="J1803">
        <v>1336.4748535000001</v>
      </c>
      <c r="K1803">
        <v>0</v>
      </c>
      <c r="L1803">
        <v>2750</v>
      </c>
      <c r="M1803">
        <v>2750</v>
      </c>
      <c r="N1803">
        <v>0</v>
      </c>
    </row>
    <row r="1804" spans="1:14" x14ac:dyDescent="0.25">
      <c r="A1804">
        <v>949.76770799999997</v>
      </c>
      <c r="B1804" s="1">
        <f>DATE(2012,12,5) + TIME(18,25,29)</f>
        <v>41248.767696759256</v>
      </c>
      <c r="C1804">
        <v>80</v>
      </c>
      <c r="D1804">
        <v>77.363800049000005</v>
      </c>
      <c r="E1804">
        <v>40</v>
      </c>
      <c r="F1804">
        <v>39.987586974999999</v>
      </c>
      <c r="G1804">
        <v>1327.7520752</v>
      </c>
      <c r="H1804">
        <v>1325.8913574000001</v>
      </c>
      <c r="I1804">
        <v>1339.3363036999999</v>
      </c>
      <c r="J1804">
        <v>1336.4743652</v>
      </c>
      <c r="K1804">
        <v>0</v>
      </c>
      <c r="L1804">
        <v>2750</v>
      </c>
      <c r="M1804">
        <v>2750</v>
      </c>
      <c r="N1804">
        <v>0</v>
      </c>
    </row>
    <row r="1805" spans="1:14" x14ac:dyDescent="0.25">
      <c r="A1805">
        <v>951.04571799999997</v>
      </c>
      <c r="B1805" s="1">
        <f>DATE(2012,12,7) + TIME(1,5,50)</f>
        <v>41250.045717592591</v>
      </c>
      <c r="C1805">
        <v>80</v>
      </c>
      <c r="D1805">
        <v>77.282516478999995</v>
      </c>
      <c r="E1805">
        <v>40</v>
      </c>
      <c r="F1805">
        <v>39.987579345999997</v>
      </c>
      <c r="G1805">
        <v>1327.7078856999999</v>
      </c>
      <c r="H1805">
        <v>1325.8316649999999</v>
      </c>
      <c r="I1805">
        <v>1339.3341064000001</v>
      </c>
      <c r="J1805">
        <v>1336.473999</v>
      </c>
      <c r="K1805">
        <v>0</v>
      </c>
      <c r="L1805">
        <v>2750</v>
      </c>
      <c r="M1805">
        <v>2750</v>
      </c>
      <c r="N1805">
        <v>0</v>
      </c>
    </row>
    <row r="1806" spans="1:14" x14ac:dyDescent="0.25">
      <c r="A1806">
        <v>952.34383200000002</v>
      </c>
      <c r="B1806" s="1">
        <f>DATE(2012,12,8) + TIME(8,15,7)</f>
        <v>41251.343831018516</v>
      </c>
      <c r="C1806">
        <v>80</v>
      </c>
      <c r="D1806">
        <v>77.199111938000001</v>
      </c>
      <c r="E1806">
        <v>40</v>
      </c>
      <c r="F1806">
        <v>39.987571715999998</v>
      </c>
      <c r="G1806">
        <v>1327.6634521000001</v>
      </c>
      <c r="H1806">
        <v>1325.7714844</v>
      </c>
      <c r="I1806">
        <v>1339.3321533000001</v>
      </c>
      <c r="J1806">
        <v>1336.4735106999999</v>
      </c>
      <c r="K1806">
        <v>0</v>
      </c>
      <c r="L1806">
        <v>2750</v>
      </c>
      <c r="M1806">
        <v>2750</v>
      </c>
      <c r="N1806">
        <v>0</v>
      </c>
    </row>
    <row r="1807" spans="1:14" x14ac:dyDescent="0.25">
      <c r="A1807">
        <v>953.67255</v>
      </c>
      <c r="B1807" s="1">
        <f>DATE(2012,12,9) + TIME(16,8,28)</f>
        <v>41252.672546296293</v>
      </c>
      <c r="C1807">
        <v>80</v>
      </c>
      <c r="D1807">
        <v>77.113731384000005</v>
      </c>
      <c r="E1807">
        <v>40</v>
      </c>
      <c r="F1807">
        <v>39.987564087000003</v>
      </c>
      <c r="G1807">
        <v>1327.6188964999999</v>
      </c>
      <c r="H1807">
        <v>1325.7111815999999</v>
      </c>
      <c r="I1807">
        <v>1339.3300781</v>
      </c>
      <c r="J1807">
        <v>1336.4731445</v>
      </c>
      <c r="K1807">
        <v>0</v>
      </c>
      <c r="L1807">
        <v>2750</v>
      </c>
      <c r="M1807">
        <v>2750</v>
      </c>
      <c r="N1807">
        <v>0</v>
      </c>
    </row>
    <row r="1808" spans="1:14" x14ac:dyDescent="0.25">
      <c r="A1808">
        <v>955.04306099999997</v>
      </c>
      <c r="B1808" s="1">
        <f>DATE(2012,12,11) + TIME(1,2,0)</f>
        <v>41254.043055555558</v>
      </c>
      <c r="C1808">
        <v>80</v>
      </c>
      <c r="D1808">
        <v>77.025878906000003</v>
      </c>
      <c r="E1808">
        <v>40</v>
      </c>
      <c r="F1808">
        <v>39.987556458</v>
      </c>
      <c r="G1808">
        <v>1327.5740966999999</v>
      </c>
      <c r="H1808">
        <v>1325.6507568</v>
      </c>
      <c r="I1808">
        <v>1339.328125</v>
      </c>
      <c r="J1808">
        <v>1336.4729004000001</v>
      </c>
      <c r="K1808">
        <v>0</v>
      </c>
      <c r="L1808">
        <v>2750</v>
      </c>
      <c r="M1808">
        <v>2750</v>
      </c>
      <c r="N1808">
        <v>0</v>
      </c>
    </row>
    <row r="1809" spans="1:14" x14ac:dyDescent="0.25">
      <c r="A1809">
        <v>956.46173899999997</v>
      </c>
      <c r="B1809" s="1">
        <f>DATE(2012,12,12) + TIME(11,4,54)</f>
        <v>41255.461736111109</v>
      </c>
      <c r="C1809">
        <v>80</v>
      </c>
      <c r="D1809">
        <v>76.934928893999995</v>
      </c>
      <c r="E1809">
        <v>40</v>
      </c>
      <c r="F1809">
        <v>39.987545013000002</v>
      </c>
      <c r="G1809">
        <v>1327.5289307</v>
      </c>
      <c r="H1809">
        <v>1325.5898437999999</v>
      </c>
      <c r="I1809">
        <v>1339.3261719</v>
      </c>
      <c r="J1809">
        <v>1336.4725341999999</v>
      </c>
      <c r="K1809">
        <v>0</v>
      </c>
      <c r="L1809">
        <v>2750</v>
      </c>
      <c r="M1809">
        <v>2750</v>
      </c>
      <c r="N1809">
        <v>0</v>
      </c>
    </row>
    <row r="1810" spans="1:14" x14ac:dyDescent="0.25">
      <c r="A1810">
        <v>957.90118500000005</v>
      </c>
      <c r="B1810" s="1">
        <f>DATE(2012,12,13) + TIME(21,37,42)</f>
        <v>41256.901180555556</v>
      </c>
      <c r="C1810">
        <v>80</v>
      </c>
      <c r="D1810">
        <v>76.840934752999999</v>
      </c>
      <c r="E1810">
        <v>40</v>
      </c>
      <c r="F1810">
        <v>39.987537383999999</v>
      </c>
      <c r="G1810">
        <v>1327.4830322</v>
      </c>
      <c r="H1810">
        <v>1325.5281981999999</v>
      </c>
      <c r="I1810">
        <v>1339.3242187999999</v>
      </c>
      <c r="J1810">
        <v>1336.4722899999999</v>
      </c>
      <c r="K1810">
        <v>0</v>
      </c>
      <c r="L1810">
        <v>2750</v>
      </c>
      <c r="M1810">
        <v>2750</v>
      </c>
      <c r="N1810">
        <v>0</v>
      </c>
    </row>
    <row r="1811" spans="1:14" x14ac:dyDescent="0.25">
      <c r="A1811">
        <v>959.37211200000002</v>
      </c>
      <c r="B1811" s="1">
        <f>DATE(2012,12,15) + TIME(8,55,50)</f>
        <v>41258.372106481482</v>
      </c>
      <c r="C1811">
        <v>80</v>
      </c>
      <c r="D1811">
        <v>76.744468689000001</v>
      </c>
      <c r="E1811">
        <v>40</v>
      </c>
      <c r="F1811">
        <v>39.987529754999997</v>
      </c>
      <c r="G1811">
        <v>1327.4371338000001</v>
      </c>
      <c r="H1811">
        <v>1325.4664307</v>
      </c>
      <c r="I1811">
        <v>1339.3223877</v>
      </c>
      <c r="J1811">
        <v>1336.4720459</v>
      </c>
      <c r="K1811">
        <v>0</v>
      </c>
      <c r="L1811">
        <v>2750</v>
      </c>
      <c r="M1811">
        <v>2750</v>
      </c>
      <c r="N1811">
        <v>0</v>
      </c>
    </row>
    <row r="1812" spans="1:14" x14ac:dyDescent="0.25">
      <c r="A1812">
        <v>960.88590799999997</v>
      </c>
      <c r="B1812" s="1">
        <f>DATE(2012,12,16) + TIME(21,15,42)</f>
        <v>41259.88590277778</v>
      </c>
      <c r="C1812">
        <v>80</v>
      </c>
      <c r="D1812">
        <v>76.645141601999995</v>
      </c>
      <c r="E1812">
        <v>40</v>
      </c>
      <c r="F1812">
        <v>39.987522124999998</v>
      </c>
      <c r="G1812">
        <v>1327.3911132999999</v>
      </c>
      <c r="H1812">
        <v>1325.4045410000001</v>
      </c>
      <c r="I1812">
        <v>1339.3205565999999</v>
      </c>
      <c r="J1812">
        <v>1336.4719238</v>
      </c>
      <c r="K1812">
        <v>0</v>
      </c>
      <c r="L1812">
        <v>2750</v>
      </c>
      <c r="M1812">
        <v>2750</v>
      </c>
      <c r="N1812">
        <v>0</v>
      </c>
    </row>
    <row r="1813" spans="1:14" x14ac:dyDescent="0.25">
      <c r="A1813">
        <v>962.44212600000003</v>
      </c>
      <c r="B1813" s="1">
        <f>DATE(2012,12,18) + TIME(10,36,39)</f>
        <v>41261.442118055558</v>
      </c>
      <c r="C1813">
        <v>80</v>
      </c>
      <c r="D1813">
        <v>76.542419433999996</v>
      </c>
      <c r="E1813">
        <v>40</v>
      </c>
      <c r="F1813">
        <v>39.987514496000003</v>
      </c>
      <c r="G1813">
        <v>1327.3447266000001</v>
      </c>
      <c r="H1813">
        <v>1325.3424072</v>
      </c>
      <c r="I1813">
        <v>1339.3186035000001</v>
      </c>
      <c r="J1813">
        <v>1336.4716797000001</v>
      </c>
      <c r="K1813">
        <v>0</v>
      </c>
      <c r="L1813">
        <v>2750</v>
      </c>
      <c r="M1813">
        <v>2750</v>
      </c>
      <c r="N1813">
        <v>0</v>
      </c>
    </row>
    <row r="1814" spans="1:14" x14ac:dyDescent="0.25">
      <c r="A1814">
        <v>964.020579</v>
      </c>
      <c r="B1814" s="1">
        <f>DATE(2012,12,20) + TIME(0,29,38)</f>
        <v>41263.020578703705</v>
      </c>
      <c r="C1814">
        <v>80</v>
      </c>
      <c r="D1814">
        <v>76.436462402000004</v>
      </c>
      <c r="E1814">
        <v>40</v>
      </c>
      <c r="F1814">
        <v>39.987503052000001</v>
      </c>
      <c r="G1814">
        <v>1327.2978516000001</v>
      </c>
      <c r="H1814">
        <v>1325.2797852000001</v>
      </c>
      <c r="I1814">
        <v>1339.3167725000001</v>
      </c>
      <c r="J1814">
        <v>1336.4715576000001</v>
      </c>
      <c r="K1814">
        <v>0</v>
      </c>
      <c r="L1814">
        <v>2750</v>
      </c>
      <c r="M1814">
        <v>2750</v>
      </c>
      <c r="N1814">
        <v>0</v>
      </c>
    </row>
    <row r="1815" spans="1:14" x14ac:dyDescent="0.25">
      <c r="A1815">
        <v>965.63411099999996</v>
      </c>
      <c r="B1815" s="1">
        <f>DATE(2012,12,21) + TIME(15,13,7)</f>
        <v>41264.634108796294</v>
      </c>
      <c r="C1815">
        <v>80</v>
      </c>
      <c r="D1815">
        <v>76.327720642000003</v>
      </c>
      <c r="E1815">
        <v>40</v>
      </c>
      <c r="F1815">
        <v>39.987495422000002</v>
      </c>
      <c r="G1815">
        <v>1327.2510986</v>
      </c>
      <c r="H1815">
        <v>1325.2171631000001</v>
      </c>
      <c r="I1815">
        <v>1339.3150635</v>
      </c>
      <c r="J1815">
        <v>1336.4714355000001</v>
      </c>
      <c r="K1815">
        <v>0</v>
      </c>
      <c r="L1815">
        <v>2750</v>
      </c>
      <c r="M1815">
        <v>2750</v>
      </c>
      <c r="N1815">
        <v>0</v>
      </c>
    </row>
    <row r="1816" spans="1:14" x14ac:dyDescent="0.25">
      <c r="A1816">
        <v>967.29643799999997</v>
      </c>
      <c r="B1816" s="1">
        <f>DATE(2012,12,23) + TIME(7,6,52)</f>
        <v>41266.296435185184</v>
      </c>
      <c r="C1816">
        <v>80</v>
      </c>
      <c r="D1816">
        <v>76.215606688999998</v>
      </c>
      <c r="E1816">
        <v>40</v>
      </c>
      <c r="F1816">
        <v>39.987487793</v>
      </c>
      <c r="G1816">
        <v>1327.2042236</v>
      </c>
      <c r="H1816">
        <v>1325.1545410000001</v>
      </c>
      <c r="I1816">
        <v>1339.3132324000001</v>
      </c>
      <c r="J1816">
        <v>1336.4713135</v>
      </c>
      <c r="K1816">
        <v>0</v>
      </c>
      <c r="L1816">
        <v>2750</v>
      </c>
      <c r="M1816">
        <v>2750</v>
      </c>
      <c r="N1816">
        <v>0</v>
      </c>
    </row>
    <row r="1817" spans="1:14" x14ac:dyDescent="0.25">
      <c r="A1817">
        <v>968.99481600000001</v>
      </c>
      <c r="B1817" s="1">
        <f>DATE(2012,12,24) + TIME(23,52,32)</f>
        <v>41267.994814814818</v>
      </c>
      <c r="C1817">
        <v>80</v>
      </c>
      <c r="D1817">
        <v>76.099624633999994</v>
      </c>
      <c r="E1817">
        <v>40</v>
      </c>
      <c r="F1817">
        <v>39.987480163999997</v>
      </c>
      <c r="G1817">
        <v>1327.1571045000001</v>
      </c>
      <c r="H1817">
        <v>1325.0915527</v>
      </c>
      <c r="I1817">
        <v>1339.3114014</v>
      </c>
      <c r="J1817">
        <v>1336.4713135</v>
      </c>
      <c r="K1817">
        <v>0</v>
      </c>
      <c r="L1817">
        <v>2750</v>
      </c>
      <c r="M1817">
        <v>2750</v>
      </c>
      <c r="N1817">
        <v>0</v>
      </c>
    </row>
    <row r="1818" spans="1:14" x14ac:dyDescent="0.25">
      <c r="A1818">
        <v>970.72762399999999</v>
      </c>
      <c r="B1818" s="1">
        <f>DATE(2012,12,26) + TIME(17,27,46)</f>
        <v>41269.72761574074</v>
      </c>
      <c r="C1818">
        <v>80</v>
      </c>
      <c r="D1818">
        <v>75.980102539000001</v>
      </c>
      <c r="E1818">
        <v>40</v>
      </c>
      <c r="F1818">
        <v>39.987468718999999</v>
      </c>
      <c r="G1818">
        <v>1327.1096190999999</v>
      </c>
      <c r="H1818">
        <v>1325.0283202999999</v>
      </c>
      <c r="I1818">
        <v>1339.3096923999999</v>
      </c>
      <c r="J1818">
        <v>1336.4711914</v>
      </c>
      <c r="K1818">
        <v>0</v>
      </c>
      <c r="L1818">
        <v>2750</v>
      </c>
      <c r="M1818">
        <v>2750</v>
      </c>
      <c r="N1818">
        <v>0</v>
      </c>
    </row>
    <row r="1819" spans="1:14" x14ac:dyDescent="0.25">
      <c r="A1819">
        <v>972.493472</v>
      </c>
      <c r="B1819" s="1">
        <f>DATE(2012,12,28) + TIME(11,50,36)</f>
        <v>41271.493472222224</v>
      </c>
      <c r="C1819">
        <v>80</v>
      </c>
      <c r="D1819">
        <v>75.857147217000005</v>
      </c>
      <c r="E1819">
        <v>40</v>
      </c>
      <c r="F1819">
        <v>39.987461089999996</v>
      </c>
      <c r="G1819">
        <v>1327.0621338000001</v>
      </c>
      <c r="H1819">
        <v>1324.9650879000001</v>
      </c>
      <c r="I1819">
        <v>1339.3078613</v>
      </c>
      <c r="J1819">
        <v>1336.4711914</v>
      </c>
      <c r="K1819">
        <v>0</v>
      </c>
      <c r="L1819">
        <v>2750</v>
      </c>
      <c r="M1819">
        <v>2750</v>
      </c>
      <c r="N1819">
        <v>0</v>
      </c>
    </row>
    <row r="1820" spans="1:14" x14ac:dyDescent="0.25">
      <c r="A1820">
        <v>974.30634199999997</v>
      </c>
      <c r="B1820" s="1">
        <f>DATE(2012,12,30) + TIME(7,21,7)</f>
        <v>41273.306331018517</v>
      </c>
      <c r="C1820">
        <v>80</v>
      </c>
      <c r="D1820">
        <v>75.730583190999994</v>
      </c>
      <c r="E1820">
        <v>40</v>
      </c>
      <c r="F1820">
        <v>39.987453461000001</v>
      </c>
      <c r="G1820">
        <v>1327.0146483999999</v>
      </c>
      <c r="H1820">
        <v>1324.9018555</v>
      </c>
      <c r="I1820">
        <v>1339.3061522999999</v>
      </c>
      <c r="J1820">
        <v>1336.4711914</v>
      </c>
      <c r="K1820">
        <v>0</v>
      </c>
      <c r="L1820">
        <v>2750</v>
      </c>
      <c r="M1820">
        <v>2750</v>
      </c>
      <c r="N1820">
        <v>0</v>
      </c>
    </row>
    <row r="1821" spans="1:14" x14ac:dyDescent="0.25">
      <c r="A1821">
        <v>976</v>
      </c>
      <c r="B1821" s="1">
        <f>DATE(2013,1,1) + TIME(0,0,0)</f>
        <v>41275</v>
      </c>
      <c r="C1821">
        <v>80</v>
      </c>
      <c r="D1821">
        <v>75.602516174000002</v>
      </c>
      <c r="E1821">
        <v>40</v>
      </c>
      <c r="F1821">
        <v>39.987445831000002</v>
      </c>
      <c r="G1821">
        <v>1326.9670410000001</v>
      </c>
      <c r="H1821">
        <v>1324.8388672000001</v>
      </c>
      <c r="I1821">
        <v>1339.3044434000001</v>
      </c>
      <c r="J1821">
        <v>1336.4711914</v>
      </c>
      <c r="K1821">
        <v>0</v>
      </c>
      <c r="L1821">
        <v>2750</v>
      </c>
      <c r="M1821">
        <v>2750</v>
      </c>
      <c r="N1821">
        <v>0</v>
      </c>
    </row>
    <row r="1822" spans="1:14" x14ac:dyDescent="0.25">
      <c r="A1822">
        <v>977.85539400000005</v>
      </c>
      <c r="B1822" s="1">
        <f>DATE(2013,1,2) + TIME(20,31,46)</f>
        <v>41276.855393518519</v>
      </c>
      <c r="C1822">
        <v>80</v>
      </c>
      <c r="D1822">
        <v>75.475425720000004</v>
      </c>
      <c r="E1822">
        <v>40</v>
      </c>
      <c r="F1822">
        <v>39.987438202</v>
      </c>
      <c r="G1822">
        <v>1326.9219971</v>
      </c>
      <c r="H1822">
        <v>1324.7784423999999</v>
      </c>
      <c r="I1822">
        <v>1339.3028564000001</v>
      </c>
      <c r="J1822">
        <v>1336.4711914</v>
      </c>
      <c r="K1822">
        <v>0</v>
      </c>
      <c r="L1822">
        <v>2750</v>
      </c>
      <c r="M1822">
        <v>2750</v>
      </c>
      <c r="N1822">
        <v>0</v>
      </c>
    </row>
    <row r="1823" spans="1:14" x14ac:dyDescent="0.25">
      <c r="A1823">
        <v>979.78641900000002</v>
      </c>
      <c r="B1823" s="1">
        <f>DATE(2013,1,4) + TIME(18,52,26)</f>
        <v>41278.786412037036</v>
      </c>
      <c r="C1823">
        <v>80</v>
      </c>
      <c r="D1823">
        <v>75.340065002000003</v>
      </c>
      <c r="E1823">
        <v>40</v>
      </c>
      <c r="F1823">
        <v>39.987430572999997</v>
      </c>
      <c r="G1823">
        <v>1326.8754882999999</v>
      </c>
      <c r="H1823">
        <v>1324.7170410000001</v>
      </c>
      <c r="I1823">
        <v>1339.3011475000001</v>
      </c>
      <c r="J1823">
        <v>1336.4713135</v>
      </c>
      <c r="K1823">
        <v>0</v>
      </c>
      <c r="L1823">
        <v>2750</v>
      </c>
      <c r="M1823">
        <v>2750</v>
      </c>
      <c r="N1823">
        <v>0</v>
      </c>
    </row>
    <row r="1824" spans="1:14" x14ac:dyDescent="0.25">
      <c r="A1824">
        <v>981.75178800000003</v>
      </c>
      <c r="B1824" s="1">
        <f>DATE(2013,1,6) + TIME(18,2,34)</f>
        <v>41280.751782407409</v>
      </c>
      <c r="C1824">
        <v>80</v>
      </c>
      <c r="D1824">
        <v>75.198295592999997</v>
      </c>
      <c r="E1824">
        <v>40</v>
      </c>
      <c r="F1824">
        <v>39.987419127999999</v>
      </c>
      <c r="G1824">
        <v>1326.8278809000001</v>
      </c>
      <c r="H1824">
        <v>1324.6541748</v>
      </c>
      <c r="I1824">
        <v>1339.2994385</v>
      </c>
      <c r="J1824">
        <v>1336.4713135</v>
      </c>
      <c r="K1824">
        <v>0</v>
      </c>
      <c r="L1824">
        <v>2750</v>
      </c>
      <c r="M1824">
        <v>2750</v>
      </c>
      <c r="N1824">
        <v>0</v>
      </c>
    </row>
    <row r="1825" spans="1:14" x14ac:dyDescent="0.25">
      <c r="A1825">
        <v>983.75540599999999</v>
      </c>
      <c r="B1825" s="1">
        <f>DATE(2013,1,8) + TIME(18,7,47)</f>
        <v>41282.75540509259</v>
      </c>
      <c r="C1825">
        <v>80</v>
      </c>
      <c r="D1825">
        <v>75.052253723000007</v>
      </c>
      <c r="E1825">
        <v>40</v>
      </c>
      <c r="F1825">
        <v>39.987411498999997</v>
      </c>
      <c r="G1825">
        <v>1326.7799072</v>
      </c>
      <c r="H1825">
        <v>1324.5908202999999</v>
      </c>
      <c r="I1825">
        <v>1339.2977295000001</v>
      </c>
      <c r="J1825">
        <v>1336.4714355000001</v>
      </c>
      <c r="K1825">
        <v>0</v>
      </c>
      <c r="L1825">
        <v>2750</v>
      </c>
      <c r="M1825">
        <v>2750</v>
      </c>
      <c r="N1825">
        <v>0</v>
      </c>
    </row>
    <row r="1826" spans="1:14" x14ac:dyDescent="0.25">
      <c r="A1826">
        <v>985.80028700000003</v>
      </c>
      <c r="B1826" s="1">
        <f>DATE(2013,1,10) + TIME(19,12,24)</f>
        <v>41284.80027777778</v>
      </c>
      <c r="C1826">
        <v>80</v>
      </c>
      <c r="D1826">
        <v>74.902000427000004</v>
      </c>
      <c r="E1826">
        <v>40</v>
      </c>
      <c r="F1826">
        <v>39.987403870000001</v>
      </c>
      <c r="G1826">
        <v>1326.7319336</v>
      </c>
      <c r="H1826">
        <v>1324.5274658000001</v>
      </c>
      <c r="I1826">
        <v>1339.2960204999999</v>
      </c>
      <c r="J1826">
        <v>1336.4714355000001</v>
      </c>
      <c r="K1826">
        <v>0</v>
      </c>
      <c r="L1826">
        <v>2750</v>
      </c>
      <c r="M1826">
        <v>2750</v>
      </c>
      <c r="N1826">
        <v>0</v>
      </c>
    </row>
    <row r="1827" spans="1:14" x14ac:dyDescent="0.25">
      <c r="A1827">
        <v>987.88944600000002</v>
      </c>
      <c r="B1827" s="1">
        <f>DATE(2013,1,12) + TIME(21,20,48)</f>
        <v>41286.889444444445</v>
      </c>
      <c r="C1827">
        <v>80</v>
      </c>
      <c r="D1827">
        <v>74.747398376000007</v>
      </c>
      <c r="E1827">
        <v>40</v>
      </c>
      <c r="F1827">
        <v>39.987396240000002</v>
      </c>
      <c r="G1827">
        <v>1326.6839600000001</v>
      </c>
      <c r="H1827">
        <v>1324.4641113</v>
      </c>
      <c r="I1827">
        <v>1339.2943115</v>
      </c>
      <c r="J1827">
        <v>1336.4715576000001</v>
      </c>
      <c r="K1827">
        <v>0</v>
      </c>
      <c r="L1827">
        <v>2750</v>
      </c>
      <c r="M1827">
        <v>2750</v>
      </c>
      <c r="N1827">
        <v>0</v>
      </c>
    </row>
    <row r="1828" spans="1:14" x14ac:dyDescent="0.25">
      <c r="A1828">
        <v>990.03908999999999</v>
      </c>
      <c r="B1828" s="1">
        <f>DATE(2013,1,15) + TIME(0,56,17)</f>
        <v>41289.039085648146</v>
      </c>
      <c r="C1828">
        <v>80</v>
      </c>
      <c r="D1828">
        <v>74.588081360000004</v>
      </c>
      <c r="E1828">
        <v>40</v>
      </c>
      <c r="F1828">
        <v>39.987388611</v>
      </c>
      <c r="G1828">
        <v>1326.6359863</v>
      </c>
      <c r="H1828">
        <v>1324.4007568</v>
      </c>
      <c r="I1828">
        <v>1339.2924805</v>
      </c>
      <c r="J1828">
        <v>1336.4715576000001</v>
      </c>
      <c r="K1828">
        <v>0</v>
      </c>
      <c r="L1828">
        <v>2750</v>
      </c>
      <c r="M1828">
        <v>2750</v>
      </c>
      <c r="N1828">
        <v>0</v>
      </c>
    </row>
    <row r="1829" spans="1:14" x14ac:dyDescent="0.25">
      <c r="A1829">
        <v>992.22401600000001</v>
      </c>
      <c r="B1829" s="1">
        <f>DATE(2013,1,17) + TIME(5,22,34)</f>
        <v>41291.224004629628</v>
      </c>
      <c r="C1829">
        <v>80</v>
      </c>
      <c r="D1829">
        <v>74.423561096</v>
      </c>
      <c r="E1829">
        <v>40</v>
      </c>
      <c r="F1829">
        <v>39.987380981000001</v>
      </c>
      <c r="G1829">
        <v>1326.5876464999999</v>
      </c>
      <c r="H1829">
        <v>1324.3371582</v>
      </c>
      <c r="I1829">
        <v>1339.2907714999999</v>
      </c>
      <c r="J1829">
        <v>1336.4716797000001</v>
      </c>
      <c r="K1829">
        <v>0</v>
      </c>
      <c r="L1829">
        <v>2750</v>
      </c>
      <c r="M1829">
        <v>2750</v>
      </c>
      <c r="N1829">
        <v>0</v>
      </c>
    </row>
    <row r="1830" spans="1:14" x14ac:dyDescent="0.25">
      <c r="A1830">
        <v>994.45778099999995</v>
      </c>
      <c r="B1830" s="1">
        <f>DATE(2013,1,19) + TIME(10,59,12)</f>
        <v>41293.457777777781</v>
      </c>
      <c r="C1830">
        <v>80</v>
      </c>
      <c r="D1830">
        <v>74.254684448000006</v>
      </c>
      <c r="E1830">
        <v>40</v>
      </c>
      <c r="F1830">
        <v>39.987373351999999</v>
      </c>
      <c r="G1830">
        <v>1326.5393065999999</v>
      </c>
      <c r="H1830">
        <v>1324.2735596</v>
      </c>
      <c r="I1830">
        <v>1339.2890625</v>
      </c>
      <c r="J1830">
        <v>1336.4716797000001</v>
      </c>
      <c r="K1830">
        <v>0</v>
      </c>
      <c r="L1830">
        <v>2750</v>
      </c>
      <c r="M1830">
        <v>2750</v>
      </c>
      <c r="N1830">
        <v>0</v>
      </c>
    </row>
    <row r="1831" spans="1:14" x14ac:dyDescent="0.25">
      <c r="A1831">
        <v>996.71644300000003</v>
      </c>
      <c r="B1831" s="1">
        <f>DATE(2013,1,21) + TIME(17,11,40)</f>
        <v>41295.716435185182</v>
      </c>
      <c r="C1831">
        <v>80</v>
      </c>
      <c r="D1831">
        <v>74.081260681000003</v>
      </c>
      <c r="E1831">
        <v>40</v>
      </c>
      <c r="F1831">
        <v>39.987365723000003</v>
      </c>
      <c r="G1831">
        <v>1326.4909668</v>
      </c>
      <c r="H1831">
        <v>1324.2099608999999</v>
      </c>
      <c r="I1831">
        <v>1339.2872314000001</v>
      </c>
      <c r="J1831">
        <v>1336.4718018000001</v>
      </c>
      <c r="K1831">
        <v>0</v>
      </c>
      <c r="L1831">
        <v>2750</v>
      </c>
      <c r="M1831">
        <v>2750</v>
      </c>
      <c r="N1831">
        <v>0</v>
      </c>
    </row>
    <row r="1832" spans="1:14" x14ac:dyDescent="0.25">
      <c r="A1832">
        <v>999.01747599999999</v>
      </c>
      <c r="B1832" s="1">
        <f>DATE(2013,1,24) + TIME(0,25,9)</f>
        <v>41298.017465277779</v>
      </c>
      <c r="C1832">
        <v>80</v>
      </c>
      <c r="D1832">
        <v>73.904212951999995</v>
      </c>
      <c r="E1832">
        <v>40</v>
      </c>
      <c r="F1832">
        <v>39.987358092999997</v>
      </c>
      <c r="G1832">
        <v>1326.4428711</v>
      </c>
      <c r="H1832">
        <v>1324.1467285000001</v>
      </c>
      <c r="I1832">
        <v>1339.2855225000001</v>
      </c>
      <c r="J1832">
        <v>1336.4718018000001</v>
      </c>
      <c r="K1832">
        <v>0</v>
      </c>
      <c r="L1832">
        <v>2750</v>
      </c>
      <c r="M1832">
        <v>2750</v>
      </c>
      <c r="N1832">
        <v>0</v>
      </c>
    </row>
    <row r="1833" spans="1:14" x14ac:dyDescent="0.25">
      <c r="A1833">
        <v>1001.370919</v>
      </c>
      <c r="B1833" s="1">
        <f>DATE(2013,1,26) + TIME(8,54,7)</f>
        <v>41300.37091435185</v>
      </c>
      <c r="C1833">
        <v>80</v>
      </c>
      <c r="D1833">
        <v>73.722671508999994</v>
      </c>
      <c r="E1833">
        <v>40</v>
      </c>
      <c r="F1833">
        <v>39.987350464000002</v>
      </c>
      <c r="G1833">
        <v>1326.3948975000001</v>
      </c>
      <c r="H1833">
        <v>1324.0837402</v>
      </c>
      <c r="I1833">
        <v>1339.2836914</v>
      </c>
      <c r="J1833">
        <v>1336.4719238</v>
      </c>
      <c r="K1833">
        <v>0</v>
      </c>
      <c r="L1833">
        <v>2750</v>
      </c>
      <c r="M1833">
        <v>2750</v>
      </c>
      <c r="N1833">
        <v>0</v>
      </c>
    </row>
    <row r="1834" spans="1:14" x14ac:dyDescent="0.25">
      <c r="A1834">
        <v>1003.779701</v>
      </c>
      <c r="B1834" s="1">
        <f>DATE(2013,1,28) + TIME(18,42,46)</f>
        <v>41302.779699074075</v>
      </c>
      <c r="C1834">
        <v>80</v>
      </c>
      <c r="D1834">
        <v>73.535911560000002</v>
      </c>
      <c r="E1834">
        <v>40</v>
      </c>
      <c r="F1834">
        <v>39.987342834000003</v>
      </c>
      <c r="G1834">
        <v>1326.3469238</v>
      </c>
      <c r="H1834">
        <v>1324.0207519999999</v>
      </c>
      <c r="I1834">
        <v>1339.2819824000001</v>
      </c>
      <c r="J1834">
        <v>1336.4719238</v>
      </c>
      <c r="K1834">
        <v>0</v>
      </c>
      <c r="L1834">
        <v>2750</v>
      </c>
      <c r="M1834">
        <v>2750</v>
      </c>
      <c r="N1834">
        <v>0</v>
      </c>
    </row>
    <row r="1835" spans="1:14" x14ac:dyDescent="0.25">
      <c r="A1835">
        <v>1006.2513290000001</v>
      </c>
      <c r="B1835" s="1">
        <f>DATE(2013,1,31) + TIME(6,1,54)</f>
        <v>41305.251319444447</v>
      </c>
      <c r="C1835">
        <v>80</v>
      </c>
      <c r="D1835">
        <v>73.343536377000007</v>
      </c>
      <c r="E1835">
        <v>40</v>
      </c>
      <c r="F1835">
        <v>39.987335205000001</v>
      </c>
      <c r="G1835">
        <v>1326.2988281</v>
      </c>
      <c r="H1835">
        <v>1323.9577637</v>
      </c>
      <c r="I1835">
        <v>1339.2801514</v>
      </c>
      <c r="J1835">
        <v>1336.4719238</v>
      </c>
      <c r="K1835">
        <v>0</v>
      </c>
      <c r="L1835">
        <v>2750</v>
      </c>
      <c r="M1835">
        <v>2750</v>
      </c>
      <c r="N1835">
        <v>0</v>
      </c>
    </row>
    <row r="1836" spans="1:14" x14ac:dyDescent="0.25">
      <c r="A1836">
        <v>1007</v>
      </c>
      <c r="B1836" s="1">
        <f>DATE(2013,2,1) + TIME(0,0,0)</f>
        <v>41306</v>
      </c>
      <c r="C1836">
        <v>80</v>
      </c>
      <c r="D1836">
        <v>73.199584960999999</v>
      </c>
      <c r="E1836">
        <v>40</v>
      </c>
      <c r="F1836">
        <v>39.987327575999998</v>
      </c>
      <c r="G1836">
        <v>1326.2517089999999</v>
      </c>
      <c r="H1836">
        <v>1323.8983154</v>
      </c>
      <c r="I1836">
        <v>1339.2781981999999</v>
      </c>
      <c r="J1836">
        <v>1336.4719238</v>
      </c>
      <c r="K1836">
        <v>0</v>
      </c>
      <c r="L1836">
        <v>2750</v>
      </c>
      <c r="M1836">
        <v>2750</v>
      </c>
      <c r="N1836">
        <v>0</v>
      </c>
    </row>
    <row r="1837" spans="1:14" x14ac:dyDescent="0.25">
      <c r="A1837">
        <v>1009.520482</v>
      </c>
      <c r="B1837" s="1">
        <f>DATE(2013,2,3) + TIME(12,29,29)</f>
        <v>41308.520474537036</v>
      </c>
      <c r="C1837">
        <v>80</v>
      </c>
      <c r="D1837">
        <v>73.071258545000006</v>
      </c>
      <c r="E1837">
        <v>40</v>
      </c>
      <c r="F1837">
        <v>39.987323760999999</v>
      </c>
      <c r="G1837">
        <v>1326.229126</v>
      </c>
      <c r="H1837">
        <v>1323.8626709</v>
      </c>
      <c r="I1837">
        <v>1339.2777100000001</v>
      </c>
      <c r="J1837">
        <v>1336.4719238</v>
      </c>
      <c r="K1837">
        <v>0</v>
      </c>
      <c r="L1837">
        <v>2750</v>
      </c>
      <c r="M1837">
        <v>2750</v>
      </c>
      <c r="N1837">
        <v>0</v>
      </c>
    </row>
    <row r="1838" spans="1:14" x14ac:dyDescent="0.25">
      <c r="A1838">
        <v>1012.073924</v>
      </c>
      <c r="B1838" s="1">
        <f>DATE(2013,2,6) + TIME(1,46,27)</f>
        <v>41311.073923611111</v>
      </c>
      <c r="C1838">
        <v>80</v>
      </c>
      <c r="D1838">
        <v>72.878509520999998</v>
      </c>
      <c r="E1838">
        <v>40</v>
      </c>
      <c r="F1838">
        <v>39.987316131999997</v>
      </c>
      <c r="G1838">
        <v>1326.1865233999999</v>
      </c>
      <c r="H1838">
        <v>1323.8100586</v>
      </c>
      <c r="I1838">
        <v>1339.2758789</v>
      </c>
      <c r="J1838">
        <v>1336.4719238</v>
      </c>
      <c r="K1838">
        <v>0</v>
      </c>
      <c r="L1838">
        <v>2750</v>
      </c>
      <c r="M1838">
        <v>2750</v>
      </c>
      <c r="N1838">
        <v>0</v>
      </c>
    </row>
    <row r="1839" spans="1:14" x14ac:dyDescent="0.25">
      <c r="A1839">
        <v>1014.67526</v>
      </c>
      <c r="B1839" s="1">
        <f>DATE(2013,2,8) + TIME(16,12,22)</f>
        <v>41313.675254629627</v>
      </c>
      <c r="C1839">
        <v>80</v>
      </c>
      <c r="D1839">
        <v>72.672279357999997</v>
      </c>
      <c r="E1839">
        <v>40</v>
      </c>
      <c r="F1839">
        <v>39.987308501999998</v>
      </c>
      <c r="G1839">
        <v>1326.1397704999999</v>
      </c>
      <c r="H1839">
        <v>1323.7491454999999</v>
      </c>
      <c r="I1839">
        <v>1339.2739257999999</v>
      </c>
      <c r="J1839">
        <v>1336.4719238</v>
      </c>
      <c r="K1839">
        <v>0</v>
      </c>
      <c r="L1839">
        <v>2750</v>
      </c>
      <c r="M1839">
        <v>2750</v>
      </c>
      <c r="N1839">
        <v>0</v>
      </c>
    </row>
    <row r="1840" spans="1:14" x14ac:dyDescent="0.25">
      <c r="A1840">
        <v>1017.342674</v>
      </c>
      <c r="B1840" s="1">
        <f>DATE(2013,2,11) + TIME(8,13,27)</f>
        <v>41316.342673611114</v>
      </c>
      <c r="C1840">
        <v>80</v>
      </c>
      <c r="D1840">
        <v>72.459457396999994</v>
      </c>
      <c r="E1840">
        <v>40</v>
      </c>
      <c r="F1840">
        <v>39.987304688000002</v>
      </c>
      <c r="G1840">
        <v>1326.0922852000001</v>
      </c>
      <c r="H1840">
        <v>1323.6872559000001</v>
      </c>
      <c r="I1840">
        <v>1339.2719727000001</v>
      </c>
      <c r="J1840">
        <v>1336.4719238</v>
      </c>
      <c r="K1840">
        <v>0</v>
      </c>
      <c r="L1840">
        <v>2750</v>
      </c>
      <c r="M1840">
        <v>2750</v>
      </c>
      <c r="N1840">
        <v>0</v>
      </c>
    </row>
    <row r="1841" spans="1:14" x14ac:dyDescent="0.25">
      <c r="A1841">
        <v>1020.0780569999999</v>
      </c>
      <c r="B1841" s="1">
        <f>DATE(2013,2,14) + TIME(1,52,24)</f>
        <v>41319.078055555554</v>
      </c>
      <c r="C1841">
        <v>80</v>
      </c>
      <c r="D1841">
        <v>72.240036011000001</v>
      </c>
      <c r="E1841">
        <v>40</v>
      </c>
      <c r="F1841">
        <v>39.987297058000003</v>
      </c>
      <c r="G1841">
        <v>1326.0445557</v>
      </c>
      <c r="H1841">
        <v>1323.6248779</v>
      </c>
      <c r="I1841">
        <v>1339.2700195</v>
      </c>
      <c r="J1841">
        <v>1336.4718018000001</v>
      </c>
      <c r="K1841">
        <v>0</v>
      </c>
      <c r="L1841">
        <v>2750</v>
      </c>
      <c r="M1841">
        <v>2750</v>
      </c>
      <c r="N1841">
        <v>0</v>
      </c>
    </row>
    <row r="1842" spans="1:14" x14ac:dyDescent="0.25">
      <c r="A1842">
        <v>1022.886679</v>
      </c>
      <c r="B1842" s="1">
        <f>DATE(2013,2,16) + TIME(21,16,49)</f>
        <v>41321.886678240742</v>
      </c>
      <c r="C1842">
        <v>80</v>
      </c>
      <c r="D1842">
        <v>72.013832092000001</v>
      </c>
      <c r="E1842">
        <v>40</v>
      </c>
      <c r="F1842">
        <v>39.987289429</v>
      </c>
      <c r="G1842">
        <v>1325.996582</v>
      </c>
      <c r="H1842">
        <v>1323.5622559000001</v>
      </c>
      <c r="I1842">
        <v>1339.2680664</v>
      </c>
      <c r="J1842">
        <v>1336.4716797000001</v>
      </c>
      <c r="K1842">
        <v>0</v>
      </c>
      <c r="L1842">
        <v>2750</v>
      </c>
      <c r="M1842">
        <v>2750</v>
      </c>
      <c r="N1842">
        <v>0</v>
      </c>
    </row>
    <row r="1843" spans="1:14" x14ac:dyDescent="0.25">
      <c r="A1843">
        <v>1025.7144940000001</v>
      </c>
      <c r="B1843" s="1">
        <f>DATE(2013,2,19) + TIME(17,8,52)</f>
        <v>41324.714490740742</v>
      </c>
      <c r="C1843">
        <v>80</v>
      </c>
      <c r="D1843">
        <v>71.781074524000005</v>
      </c>
      <c r="E1843">
        <v>40</v>
      </c>
      <c r="F1843">
        <v>39.987285614000001</v>
      </c>
      <c r="G1843">
        <v>1325.9484863</v>
      </c>
      <c r="H1843">
        <v>1323.4993896000001</v>
      </c>
      <c r="I1843">
        <v>1339.2661132999999</v>
      </c>
      <c r="J1843">
        <v>1336.4715576000001</v>
      </c>
      <c r="K1843">
        <v>0</v>
      </c>
      <c r="L1843">
        <v>2750</v>
      </c>
      <c r="M1843">
        <v>2750</v>
      </c>
      <c r="N1843">
        <v>0</v>
      </c>
    </row>
    <row r="1844" spans="1:14" x14ac:dyDescent="0.25">
      <c r="A1844">
        <v>1028.5805399999999</v>
      </c>
      <c r="B1844" s="1">
        <f>DATE(2013,2,22) + TIME(13,55,58)</f>
        <v>41327.58053240741</v>
      </c>
      <c r="C1844">
        <v>80</v>
      </c>
      <c r="D1844">
        <v>71.544815063000001</v>
      </c>
      <c r="E1844">
        <v>40</v>
      </c>
      <c r="F1844">
        <v>39.987277984999999</v>
      </c>
      <c r="G1844">
        <v>1325.9006348</v>
      </c>
      <c r="H1844">
        <v>1323.4370117000001</v>
      </c>
      <c r="I1844">
        <v>1339.2640381000001</v>
      </c>
      <c r="J1844">
        <v>1336.4714355000001</v>
      </c>
      <c r="K1844">
        <v>0</v>
      </c>
      <c r="L1844">
        <v>2750</v>
      </c>
      <c r="M1844">
        <v>2750</v>
      </c>
      <c r="N1844">
        <v>0</v>
      </c>
    </row>
    <row r="1845" spans="1:14" x14ac:dyDescent="0.25">
      <c r="A1845">
        <v>1031.509945</v>
      </c>
      <c r="B1845" s="1">
        <f>DATE(2013,2,25) + TIME(12,14,19)</f>
        <v>41330.509942129633</v>
      </c>
      <c r="C1845">
        <v>80</v>
      </c>
      <c r="D1845">
        <v>71.304008483999993</v>
      </c>
      <c r="E1845">
        <v>40</v>
      </c>
      <c r="F1845">
        <v>39.987270355</v>
      </c>
      <c r="G1845">
        <v>1325.8532714999999</v>
      </c>
      <c r="H1845">
        <v>1323.375</v>
      </c>
      <c r="I1845">
        <v>1339.2619629000001</v>
      </c>
      <c r="J1845">
        <v>1336.4711914</v>
      </c>
      <c r="K1845">
        <v>0</v>
      </c>
      <c r="L1845">
        <v>2750</v>
      </c>
      <c r="M1845">
        <v>2750</v>
      </c>
      <c r="N1845">
        <v>0</v>
      </c>
    </row>
    <row r="1846" spans="1:14" x14ac:dyDescent="0.25">
      <c r="A1846">
        <v>1034.521917</v>
      </c>
      <c r="B1846" s="1">
        <f>DATE(2013,2,28) + TIME(12,31,33)</f>
        <v>41333.521909722222</v>
      </c>
      <c r="C1846">
        <v>80</v>
      </c>
      <c r="D1846">
        <v>71.056823730000005</v>
      </c>
      <c r="E1846">
        <v>40</v>
      </c>
      <c r="F1846">
        <v>39.987266540999997</v>
      </c>
      <c r="G1846">
        <v>1325.8059082</v>
      </c>
      <c r="H1846">
        <v>1323.3133545000001</v>
      </c>
      <c r="I1846">
        <v>1339.2598877</v>
      </c>
      <c r="J1846">
        <v>1336.4709473</v>
      </c>
      <c r="K1846">
        <v>0</v>
      </c>
      <c r="L1846">
        <v>2750</v>
      </c>
      <c r="M1846">
        <v>2750</v>
      </c>
      <c r="N1846">
        <v>0</v>
      </c>
    </row>
    <row r="1847" spans="1:14" x14ac:dyDescent="0.25">
      <c r="A1847">
        <v>1035</v>
      </c>
      <c r="B1847" s="1">
        <f>DATE(2013,3,1) + TIME(0,0,0)</f>
        <v>41334</v>
      </c>
      <c r="C1847">
        <v>80</v>
      </c>
      <c r="D1847">
        <v>70.907867432000003</v>
      </c>
      <c r="E1847">
        <v>40</v>
      </c>
      <c r="F1847">
        <v>39.987262725999997</v>
      </c>
      <c r="G1847">
        <v>1325.7593993999999</v>
      </c>
      <c r="H1847">
        <v>1323.2568358999999</v>
      </c>
      <c r="I1847">
        <v>1339.2575684000001</v>
      </c>
      <c r="J1847">
        <v>1336.4705810999999</v>
      </c>
      <c r="K1847">
        <v>0</v>
      </c>
      <c r="L1847">
        <v>2750</v>
      </c>
      <c r="M1847">
        <v>2750</v>
      </c>
      <c r="N1847">
        <v>0</v>
      </c>
    </row>
    <row r="1848" spans="1:14" x14ac:dyDescent="0.25">
      <c r="A1848">
        <v>1038.104605</v>
      </c>
      <c r="B1848" s="1">
        <f>DATE(2013,3,4) + TIME(2,30,37)</f>
        <v>41337.104594907411</v>
      </c>
      <c r="C1848">
        <v>80</v>
      </c>
      <c r="D1848">
        <v>70.746757506999998</v>
      </c>
      <c r="E1848">
        <v>40</v>
      </c>
      <c r="F1848">
        <v>39.987258910999998</v>
      </c>
      <c r="G1848">
        <v>1325.7445068</v>
      </c>
      <c r="H1848">
        <v>1323.2296143000001</v>
      </c>
      <c r="I1848">
        <v>1339.2573242000001</v>
      </c>
      <c r="J1848">
        <v>1336.4705810999999</v>
      </c>
      <c r="K1848">
        <v>0</v>
      </c>
      <c r="L1848">
        <v>2750</v>
      </c>
      <c r="M1848">
        <v>2750</v>
      </c>
      <c r="N1848">
        <v>0</v>
      </c>
    </row>
    <row r="1849" spans="1:14" x14ac:dyDescent="0.25">
      <c r="A1849">
        <v>1041.237122</v>
      </c>
      <c r="B1849" s="1">
        <f>DATE(2013,3,7) + TIME(5,41,27)</f>
        <v>41340.237118055556</v>
      </c>
      <c r="C1849">
        <v>80</v>
      </c>
      <c r="D1849">
        <v>70.494949340999995</v>
      </c>
      <c r="E1849">
        <v>40</v>
      </c>
      <c r="F1849">
        <v>39.987255095999998</v>
      </c>
      <c r="G1849">
        <v>1325.7019043</v>
      </c>
      <c r="H1849">
        <v>1323.1773682</v>
      </c>
      <c r="I1849">
        <v>1339.2551269999999</v>
      </c>
      <c r="J1849">
        <v>1336.4703368999999</v>
      </c>
      <c r="K1849">
        <v>0</v>
      </c>
      <c r="L1849">
        <v>2750</v>
      </c>
      <c r="M1849">
        <v>2750</v>
      </c>
      <c r="N1849">
        <v>0</v>
      </c>
    </row>
    <row r="1850" spans="1:14" x14ac:dyDescent="0.25">
      <c r="A1850">
        <v>1044.415158</v>
      </c>
      <c r="B1850" s="1">
        <f>DATE(2013,3,10) + TIME(9,57,49)</f>
        <v>41343.415150462963</v>
      </c>
      <c r="C1850">
        <v>80</v>
      </c>
      <c r="D1850">
        <v>70.229064941000004</v>
      </c>
      <c r="E1850">
        <v>40</v>
      </c>
      <c r="F1850">
        <v>39.987251282000003</v>
      </c>
      <c r="G1850">
        <v>1325.6552733999999</v>
      </c>
      <c r="H1850">
        <v>1323.1168213000001</v>
      </c>
      <c r="I1850">
        <v>1339.2528076000001</v>
      </c>
      <c r="J1850">
        <v>1336.4699707</v>
      </c>
      <c r="K1850">
        <v>0</v>
      </c>
      <c r="L1850">
        <v>2750</v>
      </c>
      <c r="M1850">
        <v>2750</v>
      </c>
      <c r="N1850">
        <v>0</v>
      </c>
    </row>
    <row r="1851" spans="1:14" x14ac:dyDescent="0.25">
      <c r="A1851">
        <v>1047.6684170000001</v>
      </c>
      <c r="B1851" s="1">
        <f>DATE(2013,3,13) + TIME(16,2,31)</f>
        <v>41346.668414351851</v>
      </c>
      <c r="C1851">
        <v>80</v>
      </c>
      <c r="D1851">
        <v>69.956245421999995</v>
      </c>
      <c r="E1851">
        <v>40</v>
      </c>
      <c r="F1851">
        <v>39.987243651999997</v>
      </c>
      <c r="G1851">
        <v>1325.6082764</v>
      </c>
      <c r="H1851">
        <v>1323.0556641000001</v>
      </c>
      <c r="I1851">
        <v>1339.2506103999999</v>
      </c>
      <c r="J1851">
        <v>1336.4694824000001</v>
      </c>
      <c r="K1851">
        <v>0</v>
      </c>
      <c r="L1851">
        <v>2750</v>
      </c>
      <c r="M1851">
        <v>2750</v>
      </c>
      <c r="N1851">
        <v>0</v>
      </c>
    </row>
    <row r="1852" spans="1:14" x14ac:dyDescent="0.25">
      <c r="A1852">
        <v>1051.025924</v>
      </c>
      <c r="B1852" s="1">
        <f>DATE(2013,3,17) + TIME(0,37,19)</f>
        <v>41350.025914351849</v>
      </c>
      <c r="C1852">
        <v>80</v>
      </c>
      <c r="D1852">
        <v>69.675682068</v>
      </c>
      <c r="E1852">
        <v>40</v>
      </c>
      <c r="F1852">
        <v>39.987239838000001</v>
      </c>
      <c r="G1852">
        <v>1325.5612793</v>
      </c>
      <c r="H1852">
        <v>1322.9943848</v>
      </c>
      <c r="I1852">
        <v>1339.2481689000001</v>
      </c>
      <c r="J1852">
        <v>1336.4691161999999</v>
      </c>
      <c r="K1852">
        <v>0</v>
      </c>
      <c r="L1852">
        <v>2750</v>
      </c>
      <c r="M1852">
        <v>2750</v>
      </c>
      <c r="N1852">
        <v>0</v>
      </c>
    </row>
    <row r="1853" spans="1:14" x14ac:dyDescent="0.25">
      <c r="A1853">
        <v>1054.456445</v>
      </c>
      <c r="B1853" s="1">
        <f>DATE(2013,3,20) + TIME(10,57,16)</f>
        <v>41353.456435185188</v>
      </c>
      <c r="C1853">
        <v>80</v>
      </c>
      <c r="D1853">
        <v>69.384979247999993</v>
      </c>
      <c r="E1853">
        <v>40</v>
      </c>
      <c r="F1853">
        <v>39.987236023000001</v>
      </c>
      <c r="G1853">
        <v>1325.5139160000001</v>
      </c>
      <c r="H1853">
        <v>1322.9327393000001</v>
      </c>
      <c r="I1853">
        <v>1339.2458495999999</v>
      </c>
      <c r="J1853">
        <v>1336.4685059000001</v>
      </c>
      <c r="K1853">
        <v>0</v>
      </c>
      <c r="L1853">
        <v>2750</v>
      </c>
      <c r="M1853">
        <v>2750</v>
      </c>
      <c r="N1853">
        <v>0</v>
      </c>
    </row>
    <row r="1854" spans="1:14" x14ac:dyDescent="0.25">
      <c r="A1854">
        <v>1057.922012</v>
      </c>
      <c r="B1854" s="1">
        <f>DATE(2013,3,23) + TIME(22,7,41)</f>
        <v>41356.922002314815</v>
      </c>
      <c r="C1854">
        <v>80</v>
      </c>
      <c r="D1854">
        <v>69.088050842000001</v>
      </c>
      <c r="E1854">
        <v>40</v>
      </c>
      <c r="F1854">
        <v>39.987232208000002</v>
      </c>
      <c r="G1854">
        <v>1325.4663086</v>
      </c>
      <c r="H1854">
        <v>1322.8708495999999</v>
      </c>
      <c r="I1854">
        <v>1339.2432861</v>
      </c>
      <c r="J1854">
        <v>1336.4680175999999</v>
      </c>
      <c r="K1854">
        <v>0</v>
      </c>
      <c r="L1854">
        <v>2750</v>
      </c>
      <c r="M1854">
        <v>2750</v>
      </c>
      <c r="N1854">
        <v>0</v>
      </c>
    </row>
    <row r="1855" spans="1:14" x14ac:dyDescent="0.25">
      <c r="A1855">
        <v>1061.4531919999999</v>
      </c>
      <c r="B1855" s="1">
        <f>DATE(2013,3,27) + TIME(10,52,35)</f>
        <v>41360.453182870369</v>
      </c>
      <c r="C1855">
        <v>80</v>
      </c>
      <c r="D1855">
        <v>68.783905028999996</v>
      </c>
      <c r="E1855">
        <v>40</v>
      </c>
      <c r="F1855">
        <v>39.987228393999999</v>
      </c>
      <c r="G1855">
        <v>1325.4193115</v>
      </c>
      <c r="H1855">
        <v>1322.8094481999999</v>
      </c>
      <c r="I1855">
        <v>1339.2408447</v>
      </c>
      <c r="J1855">
        <v>1336.4674072</v>
      </c>
      <c r="K1855">
        <v>0</v>
      </c>
      <c r="L1855">
        <v>2750</v>
      </c>
      <c r="M1855">
        <v>2750</v>
      </c>
      <c r="N1855">
        <v>0</v>
      </c>
    </row>
    <row r="1856" spans="1:14" x14ac:dyDescent="0.25">
      <c r="A1856">
        <v>1065.086069</v>
      </c>
      <c r="B1856" s="1">
        <f>DATE(2013,3,31) + TIME(2,3,56)</f>
        <v>41364.086064814815</v>
      </c>
      <c r="C1856">
        <v>80</v>
      </c>
      <c r="D1856">
        <v>68.477066039999997</v>
      </c>
      <c r="E1856">
        <v>40</v>
      </c>
      <c r="F1856">
        <v>39.987224578999999</v>
      </c>
      <c r="G1856">
        <v>1325.3724365</v>
      </c>
      <c r="H1856">
        <v>1322.7482910000001</v>
      </c>
      <c r="I1856">
        <v>1339.2382812000001</v>
      </c>
      <c r="J1856">
        <v>1336.4666748</v>
      </c>
      <c r="K1856">
        <v>0</v>
      </c>
      <c r="L1856">
        <v>2750</v>
      </c>
      <c r="M1856">
        <v>2750</v>
      </c>
      <c r="N1856">
        <v>0</v>
      </c>
    </row>
    <row r="1857" spans="1:14" x14ac:dyDescent="0.25">
      <c r="A1857">
        <v>1066</v>
      </c>
      <c r="B1857" s="1">
        <f>DATE(2013,4,1) + TIME(0,0,0)</f>
        <v>41365</v>
      </c>
      <c r="C1857">
        <v>80</v>
      </c>
      <c r="D1857">
        <v>68.234291076999995</v>
      </c>
      <c r="E1857">
        <v>40</v>
      </c>
      <c r="F1857">
        <v>39.987220764</v>
      </c>
      <c r="G1857">
        <v>1325.3258057</v>
      </c>
      <c r="H1857">
        <v>1322.6906738</v>
      </c>
      <c r="I1857">
        <v>1339.2355957</v>
      </c>
      <c r="J1857">
        <v>1336.4658202999999</v>
      </c>
      <c r="K1857">
        <v>0</v>
      </c>
      <c r="L1857">
        <v>2750</v>
      </c>
      <c r="M1857">
        <v>2750</v>
      </c>
      <c r="N1857">
        <v>0</v>
      </c>
    </row>
    <row r="1858" spans="1:14" x14ac:dyDescent="0.25">
      <c r="A1858">
        <v>1069.729186</v>
      </c>
      <c r="B1858" s="1">
        <f>DATE(2013,4,4) + TIME(17,30,1)</f>
        <v>41368.729178240741</v>
      </c>
      <c r="C1858">
        <v>80</v>
      </c>
      <c r="D1858">
        <v>68.056434631000002</v>
      </c>
      <c r="E1858">
        <v>40</v>
      </c>
      <c r="F1858">
        <v>39.987220764</v>
      </c>
      <c r="G1858">
        <v>1325.3063964999999</v>
      </c>
      <c r="H1858">
        <v>1322.6577147999999</v>
      </c>
      <c r="I1858">
        <v>1339.2349853999999</v>
      </c>
      <c r="J1858">
        <v>1336.4656981999999</v>
      </c>
      <c r="K1858">
        <v>0</v>
      </c>
      <c r="L1858">
        <v>2750</v>
      </c>
      <c r="M1858">
        <v>2750</v>
      </c>
      <c r="N1858">
        <v>0</v>
      </c>
    </row>
    <row r="1859" spans="1:14" x14ac:dyDescent="0.25">
      <c r="A1859">
        <v>1073.5255090000001</v>
      </c>
      <c r="B1859" s="1">
        <f>DATE(2013,4,8) + TIME(12,36,43)</f>
        <v>41372.525497685187</v>
      </c>
      <c r="C1859">
        <v>80</v>
      </c>
      <c r="D1859">
        <v>67.745216369999994</v>
      </c>
      <c r="E1859">
        <v>40</v>
      </c>
      <c r="F1859">
        <v>39.987220764</v>
      </c>
      <c r="G1859">
        <v>1325.2658690999999</v>
      </c>
      <c r="H1859">
        <v>1322.6087646000001</v>
      </c>
      <c r="I1859">
        <v>1339.2322998</v>
      </c>
      <c r="J1859">
        <v>1336.4648437999999</v>
      </c>
      <c r="K1859">
        <v>0</v>
      </c>
      <c r="L1859">
        <v>2750</v>
      </c>
      <c r="M1859">
        <v>2750</v>
      </c>
      <c r="N1859">
        <v>0</v>
      </c>
    </row>
    <row r="1860" spans="1:14" x14ac:dyDescent="0.25">
      <c r="A1860">
        <v>1077.413233</v>
      </c>
      <c r="B1860" s="1">
        <f>DATE(2013,4,12) + TIME(9,55,3)</f>
        <v>41376.413229166668</v>
      </c>
      <c r="C1860">
        <v>80</v>
      </c>
      <c r="D1860">
        <v>67.404800414999997</v>
      </c>
      <c r="E1860">
        <v>40</v>
      </c>
      <c r="F1860">
        <v>39.987216949</v>
      </c>
      <c r="G1860">
        <v>1325.2199707</v>
      </c>
      <c r="H1860">
        <v>1322.5493164</v>
      </c>
      <c r="I1860">
        <v>1339.2294922000001</v>
      </c>
      <c r="J1860">
        <v>1336.4639893000001</v>
      </c>
      <c r="K1860">
        <v>0</v>
      </c>
      <c r="L1860">
        <v>2750</v>
      </c>
      <c r="M1860">
        <v>2750</v>
      </c>
      <c r="N1860">
        <v>0</v>
      </c>
    </row>
    <row r="1861" spans="1:14" x14ac:dyDescent="0.25">
      <c r="A1861">
        <v>1081.4252220000001</v>
      </c>
      <c r="B1861" s="1">
        <f>DATE(2013,4,16) + TIME(10,12,19)</f>
        <v>41380.425219907411</v>
      </c>
      <c r="C1861">
        <v>80</v>
      </c>
      <c r="D1861">
        <v>67.072128296000002</v>
      </c>
      <c r="E1861">
        <v>40</v>
      </c>
      <c r="F1861">
        <v>39.987216949</v>
      </c>
      <c r="G1861">
        <v>1325.1735839999999</v>
      </c>
      <c r="H1861">
        <v>1322.4888916</v>
      </c>
      <c r="I1861">
        <v>1339.2266846</v>
      </c>
      <c r="J1861">
        <v>1336.4630127</v>
      </c>
      <c r="K1861">
        <v>0</v>
      </c>
      <c r="L1861">
        <v>2750</v>
      </c>
      <c r="M1861">
        <v>2750</v>
      </c>
      <c r="N1861">
        <v>0</v>
      </c>
    </row>
    <row r="1862" spans="1:14" x14ac:dyDescent="0.25">
      <c r="A1862">
        <v>1085.494097</v>
      </c>
      <c r="B1862" s="1">
        <f>DATE(2013,4,20) + TIME(11,51,29)</f>
        <v>41384.494085648148</v>
      </c>
      <c r="C1862">
        <v>80</v>
      </c>
      <c r="D1862">
        <v>66.688491821</v>
      </c>
      <c r="E1862">
        <v>40</v>
      </c>
      <c r="F1862">
        <v>39.987216949</v>
      </c>
      <c r="G1862">
        <v>1325.1269531</v>
      </c>
      <c r="H1862">
        <v>1322.4278564000001</v>
      </c>
      <c r="I1862">
        <v>1339.2236327999999</v>
      </c>
      <c r="J1862">
        <v>1336.4620361</v>
      </c>
      <c r="K1862">
        <v>0</v>
      </c>
      <c r="L1862">
        <v>2750</v>
      </c>
      <c r="M1862">
        <v>2750</v>
      </c>
      <c r="N1862">
        <v>0</v>
      </c>
    </row>
    <row r="1863" spans="1:14" x14ac:dyDescent="0.25">
      <c r="A1863">
        <v>1087.5691079999999</v>
      </c>
      <c r="B1863" s="1">
        <f>DATE(2013,4,22) + TIME(13,39,30)</f>
        <v>41386.569097222222</v>
      </c>
      <c r="C1863">
        <v>80</v>
      </c>
      <c r="D1863">
        <v>66.413589478000006</v>
      </c>
      <c r="E1863">
        <v>40</v>
      </c>
      <c r="F1863">
        <v>39.987213134999998</v>
      </c>
      <c r="G1863">
        <v>1325.0795897999999</v>
      </c>
      <c r="H1863">
        <v>1322.3671875</v>
      </c>
      <c r="I1863">
        <v>1339.2207031</v>
      </c>
      <c r="J1863">
        <v>1336.4608154</v>
      </c>
      <c r="K1863">
        <v>0</v>
      </c>
      <c r="L1863">
        <v>2750</v>
      </c>
      <c r="M1863">
        <v>2750</v>
      </c>
      <c r="N1863">
        <v>0</v>
      </c>
    </row>
    <row r="1864" spans="1:14" x14ac:dyDescent="0.25">
      <c r="A1864">
        <v>1089.644119</v>
      </c>
      <c r="B1864" s="1">
        <f>DATE(2013,4,24) + TIME(15,27,31)</f>
        <v>41388.644108796296</v>
      </c>
      <c r="C1864">
        <v>80</v>
      </c>
      <c r="D1864">
        <v>66.144683838000006</v>
      </c>
      <c r="E1864">
        <v>40</v>
      </c>
      <c r="F1864">
        <v>39.987209319999998</v>
      </c>
      <c r="G1864">
        <v>1325.0520019999999</v>
      </c>
      <c r="H1864">
        <v>1322.3276367000001</v>
      </c>
      <c r="I1864">
        <v>1339.2191161999999</v>
      </c>
      <c r="J1864">
        <v>1336.4602050999999</v>
      </c>
      <c r="K1864">
        <v>0</v>
      </c>
      <c r="L1864">
        <v>2750</v>
      </c>
      <c r="M1864">
        <v>2750</v>
      </c>
      <c r="N1864">
        <v>0</v>
      </c>
    </row>
    <row r="1865" spans="1:14" x14ac:dyDescent="0.25">
      <c r="A1865">
        <v>1091.71913</v>
      </c>
      <c r="B1865" s="1">
        <f>DATE(2013,4,26) + TIME(17,15,32)</f>
        <v>41390.71912037037</v>
      </c>
      <c r="C1865">
        <v>80</v>
      </c>
      <c r="D1865">
        <v>65.985061646000005</v>
      </c>
      <c r="E1865">
        <v>40</v>
      </c>
      <c r="F1865">
        <v>39.987209319999998</v>
      </c>
      <c r="G1865">
        <v>1325.0274658000001</v>
      </c>
      <c r="H1865">
        <v>1322.2945557</v>
      </c>
      <c r="I1865">
        <v>1339.2176514</v>
      </c>
      <c r="J1865">
        <v>1336.4595947</v>
      </c>
      <c r="K1865">
        <v>0</v>
      </c>
      <c r="L1865">
        <v>2750</v>
      </c>
      <c r="M1865">
        <v>2750</v>
      </c>
      <c r="N1865">
        <v>0</v>
      </c>
    </row>
    <row r="1866" spans="1:14" x14ac:dyDescent="0.25">
      <c r="A1866">
        <v>1093.859565</v>
      </c>
      <c r="B1866" s="1">
        <f>DATE(2013,4,28) + TIME(20,37,46)</f>
        <v>41392.859560185185</v>
      </c>
      <c r="C1866">
        <v>80</v>
      </c>
      <c r="D1866">
        <v>65.774185181000007</v>
      </c>
      <c r="E1866">
        <v>40</v>
      </c>
      <c r="F1866">
        <v>39.987209319999998</v>
      </c>
      <c r="G1866">
        <v>1325.0046387</v>
      </c>
      <c r="H1866">
        <v>1322.2642822</v>
      </c>
      <c r="I1866">
        <v>1339.2160644999999</v>
      </c>
      <c r="J1866">
        <v>1336.4589844</v>
      </c>
      <c r="K1866">
        <v>0</v>
      </c>
      <c r="L1866">
        <v>2750</v>
      </c>
      <c r="M1866">
        <v>2750</v>
      </c>
      <c r="N1866">
        <v>0</v>
      </c>
    </row>
    <row r="1867" spans="1:14" x14ac:dyDescent="0.25">
      <c r="A1867">
        <v>1096</v>
      </c>
      <c r="B1867" s="1">
        <f>DATE(2013,5,1) + TIME(0,0,0)</f>
        <v>41395</v>
      </c>
      <c r="C1867">
        <v>80</v>
      </c>
      <c r="D1867">
        <v>65.596008300999998</v>
      </c>
      <c r="E1867">
        <v>40</v>
      </c>
      <c r="F1867">
        <v>39.987209319999998</v>
      </c>
      <c r="G1867">
        <v>1324.9819336</v>
      </c>
      <c r="H1867">
        <v>1322.2348632999999</v>
      </c>
      <c r="I1867">
        <v>1339.2144774999999</v>
      </c>
      <c r="J1867">
        <v>1336.458374</v>
      </c>
      <c r="K1867">
        <v>0</v>
      </c>
      <c r="L1867">
        <v>2750</v>
      </c>
      <c r="M1867">
        <v>2750</v>
      </c>
      <c r="N1867">
        <v>0</v>
      </c>
    </row>
    <row r="1868" spans="1:14" x14ac:dyDescent="0.25">
      <c r="A1868">
        <v>1096.0000010000001</v>
      </c>
      <c r="B1868" s="1">
        <f>DATE(2013,5,1) + TIME(0,0,0)</f>
        <v>41395</v>
      </c>
      <c r="C1868">
        <v>80</v>
      </c>
      <c r="D1868">
        <v>65.596183776999993</v>
      </c>
      <c r="E1868">
        <v>40</v>
      </c>
      <c r="F1868">
        <v>39.987117767000001</v>
      </c>
      <c r="G1868">
        <v>1328.7336425999999</v>
      </c>
      <c r="H1868">
        <v>1326.0798339999999</v>
      </c>
      <c r="I1868">
        <v>1335.6793213000001</v>
      </c>
      <c r="J1868">
        <v>1333.2145995999999</v>
      </c>
      <c r="K1868">
        <v>2750</v>
      </c>
      <c r="L1868">
        <v>0</v>
      </c>
      <c r="M1868">
        <v>0</v>
      </c>
      <c r="N1868">
        <v>2750</v>
      </c>
    </row>
    <row r="1869" spans="1:14" x14ac:dyDescent="0.25">
      <c r="A1869">
        <v>1096.000004</v>
      </c>
      <c r="B1869" s="1">
        <f>DATE(2013,5,1) + TIME(0,0,0)</f>
        <v>41395</v>
      </c>
      <c r="C1869">
        <v>80</v>
      </c>
      <c r="D1869">
        <v>65.596473693999997</v>
      </c>
      <c r="E1869">
        <v>40</v>
      </c>
      <c r="F1869">
        <v>39.986961364999999</v>
      </c>
      <c r="G1869">
        <v>1330.1108397999999</v>
      </c>
      <c r="H1869">
        <v>1327.5936279</v>
      </c>
      <c r="I1869">
        <v>1334.3836670000001</v>
      </c>
      <c r="J1869">
        <v>1331.9190673999999</v>
      </c>
      <c r="K1869">
        <v>2750</v>
      </c>
      <c r="L1869">
        <v>0</v>
      </c>
      <c r="M1869">
        <v>0</v>
      </c>
      <c r="N1869">
        <v>2750</v>
      </c>
    </row>
    <row r="1870" spans="1:14" x14ac:dyDescent="0.25">
      <c r="A1870">
        <v>1096.0000130000001</v>
      </c>
      <c r="B1870" s="1">
        <f>DATE(2013,5,1) + TIME(0,0,1)</f>
        <v>41395.000011574077</v>
      </c>
      <c r="C1870">
        <v>80</v>
      </c>
      <c r="D1870">
        <v>65.596961974999999</v>
      </c>
      <c r="E1870">
        <v>40</v>
      </c>
      <c r="F1870">
        <v>39.986774445000002</v>
      </c>
      <c r="G1870">
        <v>1331.7669678</v>
      </c>
      <c r="H1870">
        <v>1329.2182617000001</v>
      </c>
      <c r="I1870">
        <v>1332.8367920000001</v>
      </c>
      <c r="J1870">
        <v>1330.3726807</v>
      </c>
      <c r="K1870">
        <v>2750</v>
      </c>
      <c r="L1870">
        <v>0</v>
      </c>
      <c r="M1870">
        <v>0</v>
      </c>
      <c r="N1870">
        <v>2750</v>
      </c>
    </row>
    <row r="1871" spans="1:14" x14ac:dyDescent="0.25">
      <c r="A1871">
        <v>1096.0000399999999</v>
      </c>
      <c r="B1871" s="1">
        <f>DATE(2013,5,1) + TIME(0,0,3)</f>
        <v>41395.000034722223</v>
      </c>
      <c r="C1871">
        <v>80</v>
      </c>
      <c r="D1871">
        <v>65.597991942999997</v>
      </c>
      <c r="E1871">
        <v>40</v>
      </c>
      <c r="F1871">
        <v>39.986587524000001</v>
      </c>
      <c r="G1871">
        <v>1333.4444579999999</v>
      </c>
      <c r="H1871">
        <v>1330.8223877</v>
      </c>
      <c r="I1871">
        <v>1331.2947998</v>
      </c>
      <c r="J1871">
        <v>1328.8312988</v>
      </c>
      <c r="K1871">
        <v>2750</v>
      </c>
      <c r="L1871">
        <v>0</v>
      </c>
      <c r="M1871">
        <v>0</v>
      </c>
      <c r="N1871">
        <v>2750</v>
      </c>
    </row>
    <row r="1872" spans="1:14" x14ac:dyDescent="0.25">
      <c r="A1872">
        <v>1096.000121</v>
      </c>
      <c r="B1872" s="1">
        <f>DATE(2013,5,1) + TIME(0,0,10)</f>
        <v>41395.000115740739</v>
      </c>
      <c r="C1872">
        <v>80</v>
      </c>
      <c r="D1872">
        <v>65.600708007999998</v>
      </c>
      <c r="E1872">
        <v>40</v>
      </c>
      <c r="F1872">
        <v>39.986400604000004</v>
      </c>
      <c r="G1872">
        <v>1335.0881348</v>
      </c>
      <c r="H1872">
        <v>1332.3972168</v>
      </c>
      <c r="I1872">
        <v>1329.7856445</v>
      </c>
      <c r="J1872">
        <v>1327.3214111</v>
      </c>
      <c r="K1872">
        <v>2750</v>
      </c>
      <c r="L1872">
        <v>0</v>
      </c>
      <c r="M1872">
        <v>0</v>
      </c>
      <c r="N1872">
        <v>2750</v>
      </c>
    </row>
    <row r="1873" spans="1:14" x14ac:dyDescent="0.25">
      <c r="A1873">
        <v>1096.000364</v>
      </c>
      <c r="B1873" s="1">
        <f>DATE(2013,5,1) + TIME(0,0,31)</f>
        <v>41395.000358796293</v>
      </c>
      <c r="C1873">
        <v>80</v>
      </c>
      <c r="D1873">
        <v>65.608634949000006</v>
      </c>
      <c r="E1873">
        <v>40</v>
      </c>
      <c r="F1873">
        <v>39.986206054999997</v>
      </c>
      <c r="G1873">
        <v>1336.7071533000001</v>
      </c>
      <c r="H1873">
        <v>1333.9475098</v>
      </c>
      <c r="I1873">
        <v>1328.2829589999999</v>
      </c>
      <c r="J1873">
        <v>1325.8082274999999</v>
      </c>
      <c r="K1873">
        <v>2750</v>
      </c>
      <c r="L1873">
        <v>0</v>
      </c>
      <c r="M1873">
        <v>0</v>
      </c>
      <c r="N1873">
        <v>2750</v>
      </c>
    </row>
    <row r="1874" spans="1:14" x14ac:dyDescent="0.25">
      <c r="A1874">
        <v>1096.0010930000001</v>
      </c>
      <c r="B1874" s="1">
        <f>DATE(2013,5,1) + TIME(0,1,34)</f>
        <v>41395.001087962963</v>
      </c>
      <c r="C1874">
        <v>80</v>
      </c>
      <c r="D1874">
        <v>65.632484435999999</v>
      </c>
      <c r="E1874">
        <v>40</v>
      </c>
      <c r="F1874">
        <v>39.985984801999997</v>
      </c>
      <c r="G1874">
        <v>1338.1955565999999</v>
      </c>
      <c r="H1874">
        <v>1335.3725586</v>
      </c>
      <c r="I1874">
        <v>1326.8395995999999</v>
      </c>
      <c r="J1874">
        <v>1324.3402100000001</v>
      </c>
      <c r="K1874">
        <v>2750</v>
      </c>
      <c r="L1874">
        <v>0</v>
      </c>
      <c r="M1874">
        <v>0</v>
      </c>
      <c r="N1874">
        <v>2750</v>
      </c>
    </row>
    <row r="1875" spans="1:14" x14ac:dyDescent="0.25">
      <c r="A1875">
        <v>1096.0032799999999</v>
      </c>
      <c r="B1875" s="1">
        <f>DATE(2013,5,1) + TIME(0,4,43)</f>
        <v>41395.003275462965</v>
      </c>
      <c r="C1875">
        <v>80</v>
      </c>
      <c r="D1875">
        <v>65.704246521000002</v>
      </c>
      <c r="E1875">
        <v>40</v>
      </c>
      <c r="F1875">
        <v>39.9856987</v>
      </c>
      <c r="G1875">
        <v>1339.2937012</v>
      </c>
      <c r="H1875">
        <v>1336.4324951000001</v>
      </c>
      <c r="I1875">
        <v>1325.6831055</v>
      </c>
      <c r="J1875">
        <v>1323.1630858999999</v>
      </c>
      <c r="K1875">
        <v>2750</v>
      </c>
      <c r="L1875">
        <v>0</v>
      </c>
      <c r="M1875">
        <v>0</v>
      </c>
      <c r="N1875">
        <v>2750</v>
      </c>
    </row>
    <row r="1876" spans="1:14" x14ac:dyDescent="0.25">
      <c r="A1876">
        <v>1096.0098410000001</v>
      </c>
      <c r="B1876" s="1">
        <f>DATE(2013,5,1) + TIME(0,14,10)</f>
        <v>41395.009837962964</v>
      </c>
      <c r="C1876">
        <v>80</v>
      </c>
      <c r="D1876">
        <v>65.916870117000002</v>
      </c>
      <c r="E1876">
        <v>40</v>
      </c>
      <c r="F1876">
        <v>39.985179901000002</v>
      </c>
      <c r="G1876">
        <v>1339.8435059000001</v>
      </c>
      <c r="H1876">
        <v>1336.9786377</v>
      </c>
      <c r="I1876">
        <v>1325.0611572</v>
      </c>
      <c r="J1876">
        <v>1322.5329589999999</v>
      </c>
      <c r="K1876">
        <v>2750</v>
      </c>
      <c r="L1876">
        <v>0</v>
      </c>
      <c r="M1876">
        <v>0</v>
      </c>
      <c r="N1876">
        <v>2750</v>
      </c>
    </row>
    <row r="1877" spans="1:14" x14ac:dyDescent="0.25">
      <c r="A1877">
        <v>1096.0269000000001</v>
      </c>
      <c r="B1877" s="1">
        <f>DATE(2013,5,1) + TIME(0,38,44)</f>
        <v>41395.026898148149</v>
      </c>
      <c r="C1877">
        <v>80</v>
      </c>
      <c r="D1877">
        <v>66.447937011999997</v>
      </c>
      <c r="E1877">
        <v>40</v>
      </c>
      <c r="F1877">
        <v>39.984031676999997</v>
      </c>
      <c r="G1877">
        <v>1339.9600829999999</v>
      </c>
      <c r="H1877">
        <v>1337.119751</v>
      </c>
      <c r="I1877">
        <v>1324.9011230000001</v>
      </c>
      <c r="J1877">
        <v>1322.3710937999999</v>
      </c>
      <c r="K1877">
        <v>2750</v>
      </c>
      <c r="L1877">
        <v>0</v>
      </c>
      <c r="M1877">
        <v>0</v>
      </c>
      <c r="N1877">
        <v>2750</v>
      </c>
    </row>
    <row r="1878" spans="1:14" x14ac:dyDescent="0.25">
      <c r="A1878">
        <v>1096.044273</v>
      </c>
      <c r="B1878" s="1">
        <f>DATE(2013,5,1) + TIME(1,3,45)</f>
        <v>41395.044270833336</v>
      </c>
      <c r="C1878">
        <v>80</v>
      </c>
      <c r="D1878">
        <v>66.969612122000001</v>
      </c>
      <c r="E1878">
        <v>40</v>
      </c>
      <c r="F1878">
        <v>39.982887267999999</v>
      </c>
      <c r="G1878">
        <v>1339.9730225000001</v>
      </c>
      <c r="H1878">
        <v>1337.1441649999999</v>
      </c>
      <c r="I1878">
        <v>1324.885376</v>
      </c>
      <c r="J1878">
        <v>1322.3551024999999</v>
      </c>
      <c r="K1878">
        <v>2750</v>
      </c>
      <c r="L1878">
        <v>0</v>
      </c>
      <c r="M1878">
        <v>0</v>
      </c>
      <c r="N1878">
        <v>2750</v>
      </c>
    </row>
    <row r="1879" spans="1:14" x14ac:dyDescent="0.25">
      <c r="A1879">
        <v>1096.061989</v>
      </c>
      <c r="B1879" s="1">
        <f>DATE(2013,5,1) + TIME(1,29,15)</f>
        <v>41395.061979166669</v>
      </c>
      <c r="C1879">
        <v>80</v>
      </c>
      <c r="D1879">
        <v>67.482360839999998</v>
      </c>
      <c r="E1879">
        <v>40</v>
      </c>
      <c r="F1879">
        <v>39.981731414999999</v>
      </c>
      <c r="G1879">
        <v>1339.9698486</v>
      </c>
      <c r="H1879">
        <v>1337.1517334</v>
      </c>
      <c r="I1879">
        <v>1324.8843993999999</v>
      </c>
      <c r="J1879">
        <v>1322.354126</v>
      </c>
      <c r="K1879">
        <v>2750</v>
      </c>
      <c r="L1879">
        <v>0</v>
      </c>
      <c r="M1879">
        <v>0</v>
      </c>
      <c r="N1879">
        <v>2750</v>
      </c>
    </row>
    <row r="1880" spans="1:14" x14ac:dyDescent="0.25">
      <c r="A1880">
        <v>1096.0800630000001</v>
      </c>
      <c r="B1880" s="1">
        <f>DATE(2013,5,1) + TIME(1,55,17)</f>
        <v>41395.080057870371</v>
      </c>
      <c r="C1880">
        <v>80</v>
      </c>
      <c r="D1880">
        <v>67.986221313000001</v>
      </c>
      <c r="E1880">
        <v>40</v>
      </c>
      <c r="F1880">
        <v>39.980560302999997</v>
      </c>
      <c r="G1880">
        <v>1339.9663086</v>
      </c>
      <c r="H1880">
        <v>1337.1577147999999</v>
      </c>
      <c r="I1880">
        <v>1324.8845214999999</v>
      </c>
      <c r="J1880">
        <v>1322.3542480000001</v>
      </c>
      <c r="K1880">
        <v>2750</v>
      </c>
      <c r="L1880">
        <v>0</v>
      </c>
      <c r="M1880">
        <v>0</v>
      </c>
      <c r="N1880">
        <v>2750</v>
      </c>
    </row>
    <row r="1881" spans="1:14" x14ac:dyDescent="0.25">
      <c r="A1881">
        <v>1096.0985129999999</v>
      </c>
      <c r="B1881" s="1">
        <f>DATE(2013,5,1) + TIME(2,21,51)</f>
        <v>41395.098506944443</v>
      </c>
      <c r="C1881">
        <v>80</v>
      </c>
      <c r="D1881">
        <v>68.481224060000002</v>
      </c>
      <c r="E1881">
        <v>40</v>
      </c>
      <c r="F1881">
        <v>39.979373932000001</v>
      </c>
      <c r="G1881">
        <v>1339.9647216999999</v>
      </c>
      <c r="H1881">
        <v>1337.1645507999999</v>
      </c>
      <c r="I1881">
        <v>1324.8847656</v>
      </c>
      <c r="J1881">
        <v>1322.3543701000001</v>
      </c>
      <c r="K1881">
        <v>2750</v>
      </c>
      <c r="L1881">
        <v>0</v>
      </c>
      <c r="M1881">
        <v>0</v>
      </c>
      <c r="N1881">
        <v>2750</v>
      </c>
    </row>
    <row r="1882" spans="1:14" x14ac:dyDescent="0.25">
      <c r="A1882">
        <v>1096.117356</v>
      </c>
      <c r="B1882" s="1">
        <f>DATE(2013,5,1) + TIME(2,48,59)</f>
        <v>41395.117349537039</v>
      </c>
      <c r="C1882">
        <v>80</v>
      </c>
      <c r="D1882">
        <v>68.967376709000007</v>
      </c>
      <c r="E1882">
        <v>40</v>
      </c>
      <c r="F1882">
        <v>39.978168488000001</v>
      </c>
      <c r="G1882">
        <v>1339.965332</v>
      </c>
      <c r="H1882">
        <v>1337.1724853999999</v>
      </c>
      <c r="I1882">
        <v>1324.8848877</v>
      </c>
      <c r="J1882">
        <v>1322.3544922000001</v>
      </c>
      <c r="K1882">
        <v>2750</v>
      </c>
      <c r="L1882">
        <v>0</v>
      </c>
      <c r="M1882">
        <v>0</v>
      </c>
      <c r="N1882">
        <v>2750</v>
      </c>
    </row>
    <row r="1883" spans="1:14" x14ac:dyDescent="0.25">
      <c r="A1883">
        <v>1096.1366109999999</v>
      </c>
      <c r="B1883" s="1">
        <f>DATE(2013,5,1) + TIME(3,16,43)</f>
        <v>41395.136608796296</v>
      </c>
      <c r="C1883">
        <v>80</v>
      </c>
      <c r="D1883">
        <v>69.444671631000006</v>
      </c>
      <c r="E1883">
        <v>40</v>
      </c>
      <c r="F1883">
        <v>39.976951599000003</v>
      </c>
      <c r="G1883">
        <v>1339.9682617000001</v>
      </c>
      <c r="H1883">
        <v>1337.1816406</v>
      </c>
      <c r="I1883">
        <v>1324.8850098</v>
      </c>
      <c r="J1883">
        <v>1322.3544922000001</v>
      </c>
      <c r="K1883">
        <v>2750</v>
      </c>
      <c r="L1883">
        <v>0</v>
      </c>
      <c r="M1883">
        <v>0</v>
      </c>
      <c r="N1883">
        <v>2750</v>
      </c>
    </row>
    <row r="1884" spans="1:14" x14ac:dyDescent="0.25">
      <c r="A1884">
        <v>1096.156297</v>
      </c>
      <c r="B1884" s="1">
        <f>DATE(2013,5,1) + TIME(3,45,4)</f>
        <v>41395.1562962963</v>
      </c>
      <c r="C1884">
        <v>80</v>
      </c>
      <c r="D1884">
        <v>69.913063049000002</v>
      </c>
      <c r="E1884">
        <v>40</v>
      </c>
      <c r="F1884">
        <v>39.975715637</v>
      </c>
      <c r="G1884">
        <v>1339.9732666</v>
      </c>
      <c r="H1884">
        <v>1337.1918945</v>
      </c>
      <c r="I1884">
        <v>1324.8851318</v>
      </c>
      <c r="J1884">
        <v>1322.3544922000001</v>
      </c>
      <c r="K1884">
        <v>2750</v>
      </c>
      <c r="L1884">
        <v>0</v>
      </c>
      <c r="M1884">
        <v>0</v>
      </c>
      <c r="N1884">
        <v>2750</v>
      </c>
    </row>
    <row r="1885" spans="1:14" x14ac:dyDescent="0.25">
      <c r="A1885">
        <v>1096.1764350000001</v>
      </c>
      <c r="B1885" s="1">
        <f>DATE(2013,5,1) + TIME(4,14,3)</f>
        <v>41395.176423611112</v>
      </c>
      <c r="C1885">
        <v>80</v>
      </c>
      <c r="D1885">
        <v>70.372184752999999</v>
      </c>
      <c r="E1885">
        <v>40</v>
      </c>
      <c r="F1885">
        <v>39.974456787000001</v>
      </c>
      <c r="G1885">
        <v>1339.9802245999999</v>
      </c>
      <c r="H1885">
        <v>1337.2032471</v>
      </c>
      <c r="I1885">
        <v>1324.8851318</v>
      </c>
      <c r="J1885">
        <v>1322.3544922000001</v>
      </c>
      <c r="K1885">
        <v>2750</v>
      </c>
      <c r="L1885">
        <v>0</v>
      </c>
      <c r="M1885">
        <v>0</v>
      </c>
      <c r="N1885">
        <v>2750</v>
      </c>
    </row>
    <row r="1886" spans="1:14" x14ac:dyDescent="0.25">
      <c r="A1886">
        <v>1096.197046</v>
      </c>
      <c r="B1886" s="1">
        <f>DATE(2013,5,1) + TIME(4,43,44)</f>
        <v>41395.19703703704</v>
      </c>
      <c r="C1886">
        <v>80</v>
      </c>
      <c r="D1886">
        <v>70.822158813000001</v>
      </c>
      <c r="E1886">
        <v>40</v>
      </c>
      <c r="F1886">
        <v>39.973182678000001</v>
      </c>
      <c r="G1886">
        <v>1339.9893798999999</v>
      </c>
      <c r="H1886">
        <v>1337.2156981999999</v>
      </c>
      <c r="I1886">
        <v>1324.8852539</v>
      </c>
      <c r="J1886">
        <v>1322.3544922000001</v>
      </c>
      <c r="K1886">
        <v>2750</v>
      </c>
      <c r="L1886">
        <v>0</v>
      </c>
      <c r="M1886">
        <v>0</v>
      </c>
      <c r="N1886">
        <v>2750</v>
      </c>
    </row>
    <row r="1887" spans="1:14" x14ac:dyDescent="0.25">
      <c r="A1887">
        <v>1096.2181559999999</v>
      </c>
      <c r="B1887" s="1">
        <f>DATE(2013,5,1) + TIME(5,14,8)</f>
        <v>41395.218148148146</v>
      </c>
      <c r="C1887">
        <v>80</v>
      </c>
      <c r="D1887">
        <v>71.263015746999997</v>
      </c>
      <c r="E1887">
        <v>40</v>
      </c>
      <c r="F1887">
        <v>39.971889496000003</v>
      </c>
      <c r="G1887">
        <v>1340.0002440999999</v>
      </c>
      <c r="H1887">
        <v>1337.229126</v>
      </c>
      <c r="I1887">
        <v>1324.8852539</v>
      </c>
      <c r="J1887">
        <v>1322.3544922000001</v>
      </c>
      <c r="K1887">
        <v>2750</v>
      </c>
      <c r="L1887">
        <v>0</v>
      </c>
      <c r="M1887">
        <v>0</v>
      </c>
      <c r="N1887">
        <v>2750</v>
      </c>
    </row>
    <row r="1888" spans="1:14" x14ac:dyDescent="0.25">
      <c r="A1888">
        <v>1096.2397920000001</v>
      </c>
      <c r="B1888" s="1">
        <f>DATE(2013,5,1) + TIME(5,45,17)</f>
        <v>41395.23978009259</v>
      </c>
      <c r="C1888">
        <v>80</v>
      </c>
      <c r="D1888">
        <v>71.694664001000007</v>
      </c>
      <c r="E1888">
        <v>40</v>
      </c>
      <c r="F1888">
        <v>39.970573424999998</v>
      </c>
      <c r="G1888">
        <v>1340.0129394999999</v>
      </c>
      <c r="H1888">
        <v>1337.2436522999999</v>
      </c>
      <c r="I1888">
        <v>1324.885376</v>
      </c>
      <c r="J1888">
        <v>1322.3544922000001</v>
      </c>
      <c r="K1888">
        <v>2750</v>
      </c>
      <c r="L1888">
        <v>0</v>
      </c>
      <c r="M1888">
        <v>0</v>
      </c>
      <c r="N1888">
        <v>2750</v>
      </c>
    </row>
    <row r="1889" spans="1:14" x14ac:dyDescent="0.25">
      <c r="A1889">
        <v>1096.2619810000001</v>
      </c>
      <c r="B1889" s="1">
        <f>DATE(2013,5,1) + TIME(6,17,15)</f>
        <v>41395.261979166666</v>
      </c>
      <c r="C1889">
        <v>80</v>
      </c>
      <c r="D1889">
        <v>72.116973877000007</v>
      </c>
      <c r="E1889">
        <v>40</v>
      </c>
      <c r="F1889">
        <v>39.969234467</v>
      </c>
      <c r="G1889">
        <v>1340.0274658000001</v>
      </c>
      <c r="H1889">
        <v>1337.2590332</v>
      </c>
      <c r="I1889">
        <v>1324.885376</v>
      </c>
      <c r="J1889">
        <v>1322.3544922000001</v>
      </c>
      <c r="K1889">
        <v>2750</v>
      </c>
      <c r="L1889">
        <v>0</v>
      </c>
      <c r="M1889">
        <v>0</v>
      </c>
      <c r="N1889">
        <v>2750</v>
      </c>
    </row>
    <row r="1890" spans="1:14" x14ac:dyDescent="0.25">
      <c r="A1890">
        <v>1096.284754</v>
      </c>
      <c r="B1890" s="1">
        <f>DATE(2013,5,1) + TIME(6,50,2)</f>
        <v>41395.284745370373</v>
      </c>
      <c r="C1890">
        <v>80</v>
      </c>
      <c r="D1890">
        <v>72.529838561999995</v>
      </c>
      <c r="E1890">
        <v>40</v>
      </c>
      <c r="F1890">
        <v>39.967868805000002</v>
      </c>
      <c r="G1890">
        <v>1340.0435791</v>
      </c>
      <c r="H1890">
        <v>1337.2752685999999</v>
      </c>
      <c r="I1890">
        <v>1324.885376</v>
      </c>
      <c r="J1890">
        <v>1322.3543701000001</v>
      </c>
      <c r="K1890">
        <v>2750</v>
      </c>
      <c r="L1890">
        <v>0</v>
      </c>
      <c r="M1890">
        <v>0</v>
      </c>
      <c r="N1890">
        <v>2750</v>
      </c>
    </row>
    <row r="1891" spans="1:14" x14ac:dyDescent="0.25">
      <c r="A1891">
        <v>1096.308145</v>
      </c>
      <c r="B1891" s="1">
        <f>DATE(2013,5,1) + TIME(7,23,43)</f>
        <v>41395.308136574073</v>
      </c>
      <c r="C1891">
        <v>80</v>
      </c>
      <c r="D1891">
        <v>72.933113098000007</v>
      </c>
      <c r="E1891">
        <v>40</v>
      </c>
      <c r="F1891">
        <v>39.966480255</v>
      </c>
      <c r="G1891">
        <v>1340.0612793</v>
      </c>
      <c r="H1891">
        <v>1337.2923584</v>
      </c>
      <c r="I1891">
        <v>1324.885376</v>
      </c>
      <c r="J1891">
        <v>1322.3543701000001</v>
      </c>
      <c r="K1891">
        <v>2750</v>
      </c>
      <c r="L1891">
        <v>0</v>
      </c>
      <c r="M1891">
        <v>0</v>
      </c>
      <c r="N1891">
        <v>2750</v>
      </c>
    </row>
    <row r="1892" spans="1:14" x14ac:dyDescent="0.25">
      <c r="A1892">
        <v>1096.332142</v>
      </c>
      <c r="B1892" s="1">
        <f>DATE(2013,5,1) + TIME(7,58,17)</f>
        <v>41395.332141203704</v>
      </c>
      <c r="C1892">
        <v>80</v>
      </c>
      <c r="D1892">
        <v>73.325958252000007</v>
      </c>
      <c r="E1892">
        <v>40</v>
      </c>
      <c r="F1892">
        <v>39.965068817000002</v>
      </c>
      <c r="G1892">
        <v>1340.0806885</v>
      </c>
      <c r="H1892">
        <v>1337.3103027</v>
      </c>
      <c r="I1892">
        <v>1324.885376</v>
      </c>
      <c r="J1892">
        <v>1322.3542480000001</v>
      </c>
      <c r="K1892">
        <v>2750</v>
      </c>
      <c r="L1892">
        <v>0</v>
      </c>
      <c r="M1892">
        <v>0</v>
      </c>
      <c r="N1892">
        <v>2750</v>
      </c>
    </row>
    <row r="1893" spans="1:14" x14ac:dyDescent="0.25">
      <c r="A1893">
        <v>1096.3567780000001</v>
      </c>
      <c r="B1893" s="1">
        <f>DATE(2013,5,1) + TIME(8,33,45)</f>
        <v>41395.356770833336</v>
      </c>
      <c r="C1893">
        <v>80</v>
      </c>
      <c r="D1893">
        <v>73.708221436000002</v>
      </c>
      <c r="E1893">
        <v>40</v>
      </c>
      <c r="F1893">
        <v>39.963630676000001</v>
      </c>
      <c r="G1893">
        <v>1340.1013184000001</v>
      </c>
      <c r="H1893">
        <v>1337.3289795000001</v>
      </c>
      <c r="I1893">
        <v>1324.885376</v>
      </c>
      <c r="J1893">
        <v>1322.3542480000001</v>
      </c>
      <c r="K1893">
        <v>2750</v>
      </c>
      <c r="L1893">
        <v>0</v>
      </c>
      <c r="M1893">
        <v>0</v>
      </c>
      <c r="N1893">
        <v>2750</v>
      </c>
    </row>
    <row r="1894" spans="1:14" x14ac:dyDescent="0.25">
      <c r="A1894">
        <v>1096.382089</v>
      </c>
      <c r="B1894" s="1">
        <f>DATE(2013,5,1) + TIME(9,10,12)</f>
        <v>41395.38208333333</v>
      </c>
      <c r="C1894">
        <v>80</v>
      </c>
      <c r="D1894">
        <v>74.079803467000005</v>
      </c>
      <c r="E1894">
        <v>40</v>
      </c>
      <c r="F1894">
        <v>39.962165833</v>
      </c>
      <c r="G1894">
        <v>1340.1232910000001</v>
      </c>
      <c r="H1894">
        <v>1337.3483887</v>
      </c>
      <c r="I1894">
        <v>1324.885376</v>
      </c>
      <c r="J1894">
        <v>1322.354126</v>
      </c>
      <c r="K1894">
        <v>2750</v>
      </c>
      <c r="L1894">
        <v>0</v>
      </c>
      <c r="M1894">
        <v>0</v>
      </c>
      <c r="N1894">
        <v>2750</v>
      </c>
    </row>
    <row r="1895" spans="1:14" x14ac:dyDescent="0.25">
      <c r="A1895">
        <v>1096.408113</v>
      </c>
      <c r="B1895" s="1">
        <f>DATE(2013,5,1) + TIME(9,47,40)</f>
        <v>41395.408101851855</v>
      </c>
      <c r="C1895">
        <v>80</v>
      </c>
      <c r="D1895">
        <v>74.440544127999999</v>
      </c>
      <c r="E1895">
        <v>40</v>
      </c>
      <c r="F1895">
        <v>39.960670471</v>
      </c>
      <c r="G1895">
        <v>1340.1466064000001</v>
      </c>
      <c r="H1895">
        <v>1337.3684082</v>
      </c>
      <c r="I1895">
        <v>1324.885376</v>
      </c>
      <c r="J1895">
        <v>1322.3540039</v>
      </c>
      <c r="K1895">
        <v>2750</v>
      </c>
      <c r="L1895">
        <v>0</v>
      </c>
      <c r="M1895">
        <v>0</v>
      </c>
      <c r="N1895">
        <v>2750</v>
      </c>
    </row>
    <row r="1896" spans="1:14" x14ac:dyDescent="0.25">
      <c r="A1896">
        <v>1096.43489</v>
      </c>
      <c r="B1896" s="1">
        <f>DATE(2013,5,1) + TIME(10,26,14)</f>
        <v>41395.434884259259</v>
      </c>
      <c r="C1896">
        <v>80</v>
      </c>
      <c r="D1896">
        <v>74.790313721000004</v>
      </c>
      <c r="E1896">
        <v>40</v>
      </c>
      <c r="F1896">
        <v>39.959148407000001</v>
      </c>
      <c r="G1896">
        <v>1340.1710204999999</v>
      </c>
      <c r="H1896">
        <v>1337.3889160000001</v>
      </c>
      <c r="I1896">
        <v>1324.885376</v>
      </c>
      <c r="J1896">
        <v>1322.3538818</v>
      </c>
      <c r="K1896">
        <v>2750</v>
      </c>
      <c r="L1896">
        <v>0</v>
      </c>
      <c r="M1896">
        <v>0</v>
      </c>
      <c r="N1896">
        <v>2750</v>
      </c>
    </row>
    <row r="1897" spans="1:14" x14ac:dyDescent="0.25">
      <c r="A1897">
        <v>1096.4624650000001</v>
      </c>
      <c r="B1897" s="1">
        <f>DATE(2013,5,1) + TIME(11,5,56)</f>
        <v>41395.462453703702</v>
      </c>
      <c r="C1897">
        <v>80</v>
      </c>
      <c r="D1897">
        <v>75.128852843999994</v>
      </c>
      <c r="E1897">
        <v>40</v>
      </c>
      <c r="F1897">
        <v>39.957592009999999</v>
      </c>
      <c r="G1897">
        <v>1340.1964111</v>
      </c>
      <c r="H1897">
        <v>1337.4100341999999</v>
      </c>
      <c r="I1897">
        <v>1324.8852539</v>
      </c>
      <c r="J1897">
        <v>1322.3537598</v>
      </c>
      <c r="K1897">
        <v>2750</v>
      </c>
      <c r="L1897">
        <v>0</v>
      </c>
      <c r="M1897">
        <v>0</v>
      </c>
      <c r="N1897">
        <v>2750</v>
      </c>
    </row>
    <row r="1898" spans="1:14" x14ac:dyDescent="0.25">
      <c r="A1898">
        <v>1096.4908849999999</v>
      </c>
      <c r="B1898" s="1">
        <f>DATE(2013,5,1) + TIME(11,46,52)</f>
        <v>41395.490879629629</v>
      </c>
      <c r="C1898">
        <v>80</v>
      </c>
      <c r="D1898">
        <v>75.455940247000001</v>
      </c>
      <c r="E1898">
        <v>40</v>
      </c>
      <c r="F1898">
        <v>39.956005095999998</v>
      </c>
      <c r="G1898">
        <v>1340.2229004000001</v>
      </c>
      <c r="H1898">
        <v>1337.4316406</v>
      </c>
      <c r="I1898">
        <v>1324.8852539</v>
      </c>
      <c r="J1898">
        <v>1322.3536377</v>
      </c>
      <c r="K1898">
        <v>2750</v>
      </c>
      <c r="L1898">
        <v>0</v>
      </c>
      <c r="M1898">
        <v>0</v>
      </c>
      <c r="N1898">
        <v>2750</v>
      </c>
    </row>
    <row r="1899" spans="1:14" x14ac:dyDescent="0.25">
      <c r="A1899">
        <v>1096.520199</v>
      </c>
      <c r="B1899" s="1">
        <f>DATE(2013,5,1) + TIME(12,29,5)</f>
        <v>41395.520196759258</v>
      </c>
      <c r="C1899">
        <v>80</v>
      </c>
      <c r="D1899">
        <v>75.771591186999999</v>
      </c>
      <c r="E1899">
        <v>40</v>
      </c>
      <c r="F1899">
        <v>39.954380035</v>
      </c>
      <c r="G1899">
        <v>1340.2502440999999</v>
      </c>
      <c r="H1899">
        <v>1337.4536132999999</v>
      </c>
      <c r="I1899">
        <v>1324.8851318</v>
      </c>
      <c r="J1899">
        <v>1322.3533935999999</v>
      </c>
      <c r="K1899">
        <v>2750</v>
      </c>
      <c r="L1899">
        <v>0</v>
      </c>
      <c r="M1899">
        <v>0</v>
      </c>
      <c r="N1899">
        <v>2750</v>
      </c>
    </row>
    <row r="1900" spans="1:14" x14ac:dyDescent="0.25">
      <c r="A1900">
        <v>1096.550465</v>
      </c>
      <c r="B1900" s="1">
        <f>DATE(2013,5,1) + TIME(13,12,40)</f>
        <v>41395.550462962965</v>
      </c>
      <c r="C1900">
        <v>80</v>
      </c>
      <c r="D1900">
        <v>76.075645446999999</v>
      </c>
      <c r="E1900">
        <v>40</v>
      </c>
      <c r="F1900">
        <v>39.952716827000003</v>
      </c>
      <c r="G1900">
        <v>1340.2784423999999</v>
      </c>
      <c r="H1900">
        <v>1337.4760742000001</v>
      </c>
      <c r="I1900">
        <v>1324.8851318</v>
      </c>
      <c r="J1900">
        <v>1322.3532714999999</v>
      </c>
      <c r="K1900">
        <v>2750</v>
      </c>
      <c r="L1900">
        <v>0</v>
      </c>
      <c r="M1900">
        <v>0</v>
      </c>
      <c r="N1900">
        <v>2750</v>
      </c>
    </row>
    <row r="1901" spans="1:14" x14ac:dyDescent="0.25">
      <c r="A1901">
        <v>1096.581741</v>
      </c>
      <c r="B1901" s="1">
        <f>DATE(2013,5,1) + TIME(13,57,42)</f>
        <v>41395.581736111111</v>
      </c>
      <c r="C1901">
        <v>80</v>
      </c>
      <c r="D1901">
        <v>76.367973328000005</v>
      </c>
      <c r="E1901">
        <v>40</v>
      </c>
      <c r="F1901">
        <v>39.951015472000002</v>
      </c>
      <c r="G1901">
        <v>1340.3073730000001</v>
      </c>
      <c r="H1901">
        <v>1337.4987793</v>
      </c>
      <c r="I1901">
        <v>1324.8850098</v>
      </c>
      <c r="J1901">
        <v>1322.3531493999999</v>
      </c>
      <c r="K1901">
        <v>2750</v>
      </c>
      <c r="L1901">
        <v>0</v>
      </c>
      <c r="M1901">
        <v>0</v>
      </c>
      <c r="N1901">
        <v>2750</v>
      </c>
    </row>
    <row r="1902" spans="1:14" x14ac:dyDescent="0.25">
      <c r="A1902">
        <v>1096.6141</v>
      </c>
      <c r="B1902" s="1">
        <f>DATE(2013,5,1) + TIME(14,44,18)</f>
        <v>41395.61409722222</v>
      </c>
      <c r="C1902">
        <v>80</v>
      </c>
      <c r="D1902">
        <v>76.648475646999998</v>
      </c>
      <c r="E1902">
        <v>40</v>
      </c>
      <c r="F1902">
        <v>39.949272155999999</v>
      </c>
      <c r="G1902">
        <v>1340.3369141000001</v>
      </c>
      <c r="H1902">
        <v>1337.5217285000001</v>
      </c>
      <c r="I1902">
        <v>1324.8848877</v>
      </c>
      <c r="J1902">
        <v>1322.3529053</v>
      </c>
      <c r="K1902">
        <v>2750</v>
      </c>
      <c r="L1902">
        <v>0</v>
      </c>
      <c r="M1902">
        <v>0</v>
      </c>
      <c r="N1902">
        <v>2750</v>
      </c>
    </row>
    <row r="1903" spans="1:14" x14ac:dyDescent="0.25">
      <c r="A1903">
        <v>1096.6476170000001</v>
      </c>
      <c r="B1903" s="1">
        <f>DATE(2013,5,1) + TIME(15,32,34)</f>
        <v>41395.647615740738</v>
      </c>
      <c r="C1903">
        <v>80</v>
      </c>
      <c r="D1903">
        <v>76.917076111</v>
      </c>
      <c r="E1903">
        <v>40</v>
      </c>
      <c r="F1903">
        <v>39.947479248</v>
      </c>
      <c r="G1903">
        <v>1340.3670654</v>
      </c>
      <c r="H1903">
        <v>1337.5450439000001</v>
      </c>
      <c r="I1903">
        <v>1324.8848877</v>
      </c>
      <c r="J1903">
        <v>1322.3527832</v>
      </c>
      <c r="K1903">
        <v>2750</v>
      </c>
      <c r="L1903">
        <v>0</v>
      </c>
      <c r="M1903">
        <v>0</v>
      </c>
      <c r="N1903">
        <v>2750</v>
      </c>
    </row>
    <row r="1904" spans="1:14" x14ac:dyDescent="0.25">
      <c r="A1904">
        <v>1096.6823629999999</v>
      </c>
      <c r="B1904" s="1">
        <f>DATE(2013,5,1) + TIME(16,22,36)</f>
        <v>41395.68236111111</v>
      </c>
      <c r="C1904">
        <v>80</v>
      </c>
      <c r="D1904">
        <v>77.173591614000003</v>
      </c>
      <c r="E1904">
        <v>40</v>
      </c>
      <c r="F1904">
        <v>39.945640564000001</v>
      </c>
      <c r="G1904">
        <v>1340.3978271000001</v>
      </c>
      <c r="H1904">
        <v>1337.5684814000001</v>
      </c>
      <c r="I1904">
        <v>1324.8847656</v>
      </c>
      <c r="J1904">
        <v>1322.3525391000001</v>
      </c>
      <c r="K1904">
        <v>2750</v>
      </c>
      <c r="L1904">
        <v>0</v>
      </c>
      <c r="M1904">
        <v>0</v>
      </c>
      <c r="N1904">
        <v>2750</v>
      </c>
    </row>
    <row r="1905" spans="1:14" x14ac:dyDescent="0.25">
      <c r="A1905">
        <v>1096.7184239999999</v>
      </c>
      <c r="B1905" s="1">
        <f>DATE(2013,5,1) + TIME(17,14,31)</f>
        <v>41395.718414351853</v>
      </c>
      <c r="C1905">
        <v>80</v>
      </c>
      <c r="D1905">
        <v>77.417930603000002</v>
      </c>
      <c r="E1905">
        <v>40</v>
      </c>
      <c r="F1905">
        <v>39.943752289000003</v>
      </c>
      <c r="G1905">
        <v>1340.4288329999999</v>
      </c>
      <c r="H1905">
        <v>1337.5920410000001</v>
      </c>
      <c r="I1905">
        <v>1324.8846435999999</v>
      </c>
      <c r="J1905">
        <v>1322.3522949000001</v>
      </c>
      <c r="K1905">
        <v>2750</v>
      </c>
      <c r="L1905">
        <v>0</v>
      </c>
      <c r="M1905">
        <v>0</v>
      </c>
      <c r="N1905">
        <v>2750</v>
      </c>
    </row>
    <row r="1906" spans="1:14" x14ac:dyDescent="0.25">
      <c r="A1906">
        <v>1096.755895</v>
      </c>
      <c r="B1906" s="1">
        <f>DATE(2013,5,1) + TIME(18,8,29)</f>
        <v>41395.755891203706</v>
      </c>
      <c r="C1906">
        <v>80</v>
      </c>
      <c r="D1906">
        <v>77.650032042999996</v>
      </c>
      <c r="E1906">
        <v>40</v>
      </c>
      <c r="F1906">
        <v>39.941806792999998</v>
      </c>
      <c r="G1906">
        <v>1340.4603271000001</v>
      </c>
      <c r="H1906">
        <v>1337.6157227000001</v>
      </c>
      <c r="I1906">
        <v>1324.8845214999999</v>
      </c>
      <c r="J1906">
        <v>1322.3521728999999</v>
      </c>
      <c r="K1906">
        <v>2750</v>
      </c>
      <c r="L1906">
        <v>0</v>
      </c>
      <c r="M1906">
        <v>0</v>
      </c>
      <c r="N1906">
        <v>2750</v>
      </c>
    </row>
    <row r="1907" spans="1:14" x14ac:dyDescent="0.25">
      <c r="A1907">
        <v>1096.794883</v>
      </c>
      <c r="B1907" s="1">
        <f>DATE(2013,5,1) + TIME(19,4,37)</f>
        <v>41395.794872685183</v>
      </c>
      <c r="C1907">
        <v>80</v>
      </c>
      <c r="D1907">
        <v>77.869865417</v>
      </c>
      <c r="E1907">
        <v>40</v>
      </c>
      <c r="F1907">
        <v>39.939804076999998</v>
      </c>
      <c r="G1907">
        <v>1340.4920654</v>
      </c>
      <c r="H1907">
        <v>1337.6392822</v>
      </c>
      <c r="I1907">
        <v>1324.8843993999999</v>
      </c>
      <c r="J1907">
        <v>1322.3519286999999</v>
      </c>
      <c r="K1907">
        <v>2750</v>
      </c>
      <c r="L1907">
        <v>0</v>
      </c>
      <c r="M1907">
        <v>0</v>
      </c>
      <c r="N1907">
        <v>2750</v>
      </c>
    </row>
    <row r="1908" spans="1:14" x14ac:dyDescent="0.25">
      <c r="A1908">
        <v>1096.835505</v>
      </c>
      <c r="B1908" s="1">
        <f>DATE(2013,5,1) + TIME(20,3,7)</f>
        <v>41395.835497685184</v>
      </c>
      <c r="C1908">
        <v>80</v>
      </c>
      <c r="D1908">
        <v>78.077400208</v>
      </c>
      <c r="E1908">
        <v>40</v>
      </c>
      <c r="F1908">
        <v>39.937732697000001</v>
      </c>
      <c r="G1908">
        <v>1340.5238036999999</v>
      </c>
      <c r="H1908">
        <v>1337.6629639</v>
      </c>
      <c r="I1908">
        <v>1324.8842772999999</v>
      </c>
      <c r="J1908">
        <v>1322.3516846</v>
      </c>
      <c r="K1908">
        <v>2750</v>
      </c>
      <c r="L1908">
        <v>0</v>
      </c>
      <c r="M1908">
        <v>0</v>
      </c>
      <c r="N1908">
        <v>2750</v>
      </c>
    </row>
    <row r="1909" spans="1:14" x14ac:dyDescent="0.25">
      <c r="A1909">
        <v>1096.877892</v>
      </c>
      <c r="B1909" s="1">
        <f>DATE(2013,5,1) + TIME(21,4,9)</f>
        <v>41395.877881944441</v>
      </c>
      <c r="C1909">
        <v>80</v>
      </c>
      <c r="D1909">
        <v>78.272666931000003</v>
      </c>
      <c r="E1909">
        <v>40</v>
      </c>
      <c r="F1909">
        <v>39.935596466</v>
      </c>
      <c r="G1909">
        <v>1340.5557861</v>
      </c>
      <c r="H1909">
        <v>1337.6865233999999</v>
      </c>
      <c r="I1909">
        <v>1324.8841553</v>
      </c>
      <c r="J1909">
        <v>1322.3514404</v>
      </c>
      <c r="K1909">
        <v>2750</v>
      </c>
      <c r="L1909">
        <v>0</v>
      </c>
      <c r="M1909">
        <v>0</v>
      </c>
      <c r="N1909">
        <v>2750</v>
      </c>
    </row>
    <row r="1910" spans="1:14" x14ac:dyDescent="0.25">
      <c r="A1910">
        <v>1096.9221910000001</v>
      </c>
      <c r="B1910" s="1">
        <f>DATE(2013,5,1) + TIME(22,7,57)</f>
        <v>41395.9221875</v>
      </c>
      <c r="C1910">
        <v>80</v>
      </c>
      <c r="D1910">
        <v>78.455703735</v>
      </c>
      <c r="E1910">
        <v>40</v>
      </c>
      <c r="F1910">
        <v>39.933387756000002</v>
      </c>
      <c r="G1910">
        <v>1340.5877685999999</v>
      </c>
      <c r="H1910">
        <v>1337.7099608999999</v>
      </c>
      <c r="I1910">
        <v>1324.8840332</v>
      </c>
      <c r="J1910">
        <v>1322.3511963000001</v>
      </c>
      <c r="K1910">
        <v>2750</v>
      </c>
      <c r="L1910">
        <v>0</v>
      </c>
      <c r="M1910">
        <v>0</v>
      </c>
      <c r="N1910">
        <v>2750</v>
      </c>
    </row>
    <row r="1911" spans="1:14" x14ac:dyDescent="0.25">
      <c r="A1911">
        <v>1096.968568</v>
      </c>
      <c r="B1911" s="1">
        <f>DATE(2013,5,1) + TIME(23,14,44)</f>
        <v>41395.968564814815</v>
      </c>
      <c r="C1911">
        <v>80</v>
      </c>
      <c r="D1911">
        <v>78.626602172999995</v>
      </c>
      <c r="E1911">
        <v>40</v>
      </c>
      <c r="F1911">
        <v>39.931098937999998</v>
      </c>
      <c r="G1911">
        <v>1340.6196289</v>
      </c>
      <c r="H1911">
        <v>1337.7332764</v>
      </c>
      <c r="I1911">
        <v>1324.8839111</v>
      </c>
      <c r="J1911">
        <v>1322.3509521000001</v>
      </c>
      <c r="K1911">
        <v>2750</v>
      </c>
      <c r="L1911">
        <v>0</v>
      </c>
      <c r="M1911">
        <v>0</v>
      </c>
      <c r="N1911">
        <v>2750</v>
      </c>
    </row>
    <row r="1912" spans="1:14" x14ac:dyDescent="0.25">
      <c r="A1912">
        <v>1097.017212</v>
      </c>
      <c r="B1912" s="1">
        <f>DATE(2013,5,2) + TIME(0,24,47)</f>
        <v>41396.017210648148</v>
      </c>
      <c r="C1912">
        <v>80</v>
      </c>
      <c r="D1912">
        <v>78.785476685000006</v>
      </c>
      <c r="E1912">
        <v>40</v>
      </c>
      <c r="F1912">
        <v>39.928722381999997</v>
      </c>
      <c r="G1912">
        <v>1340.6512451000001</v>
      </c>
      <c r="H1912">
        <v>1337.7563477000001</v>
      </c>
      <c r="I1912">
        <v>1324.8837891000001</v>
      </c>
      <c r="J1912">
        <v>1322.3507079999999</v>
      </c>
      <c r="K1912">
        <v>2750</v>
      </c>
      <c r="L1912">
        <v>0</v>
      </c>
      <c r="M1912">
        <v>0</v>
      </c>
      <c r="N1912">
        <v>2750</v>
      </c>
    </row>
    <row r="1913" spans="1:14" x14ac:dyDescent="0.25">
      <c r="A1913">
        <v>1097.06837</v>
      </c>
      <c r="B1913" s="1">
        <f>DATE(2013,5,2) + TIME(1,38,27)</f>
        <v>41396.068368055552</v>
      </c>
      <c r="C1913">
        <v>80</v>
      </c>
      <c r="D1913">
        <v>78.932571410999998</v>
      </c>
      <c r="E1913">
        <v>40</v>
      </c>
      <c r="F1913">
        <v>39.926246642999999</v>
      </c>
      <c r="G1913">
        <v>1340.6827393000001</v>
      </c>
      <c r="H1913">
        <v>1337.7790527</v>
      </c>
      <c r="I1913">
        <v>1324.8836670000001</v>
      </c>
      <c r="J1913">
        <v>1322.3504639</v>
      </c>
      <c r="K1913">
        <v>2750</v>
      </c>
      <c r="L1913">
        <v>0</v>
      </c>
      <c r="M1913">
        <v>0</v>
      </c>
      <c r="N1913">
        <v>2750</v>
      </c>
    </row>
    <row r="1914" spans="1:14" x14ac:dyDescent="0.25">
      <c r="A1914">
        <v>1097.122263</v>
      </c>
      <c r="B1914" s="1">
        <f>DATE(2013,5,2) + TIME(2,56,3)</f>
        <v>41396.122256944444</v>
      </c>
      <c r="C1914">
        <v>80</v>
      </c>
      <c r="D1914">
        <v>79.068008422999995</v>
      </c>
      <c r="E1914">
        <v>40</v>
      </c>
      <c r="F1914">
        <v>39.923671722000002</v>
      </c>
      <c r="G1914">
        <v>1340.7137451000001</v>
      </c>
      <c r="H1914">
        <v>1337.8015137</v>
      </c>
      <c r="I1914">
        <v>1324.8835449000001</v>
      </c>
      <c r="J1914">
        <v>1322.3500977000001</v>
      </c>
      <c r="K1914">
        <v>2750</v>
      </c>
      <c r="L1914">
        <v>0</v>
      </c>
      <c r="M1914">
        <v>0</v>
      </c>
      <c r="N1914">
        <v>2750</v>
      </c>
    </row>
    <row r="1915" spans="1:14" x14ac:dyDescent="0.25">
      <c r="A1915">
        <v>1097.1791089999999</v>
      </c>
      <c r="B1915" s="1">
        <f>DATE(2013,5,2) + TIME(4,17,55)</f>
        <v>41396.179108796299</v>
      </c>
      <c r="C1915">
        <v>80</v>
      </c>
      <c r="D1915">
        <v>79.191879271999994</v>
      </c>
      <c r="E1915">
        <v>40</v>
      </c>
      <c r="F1915">
        <v>39.920982361</v>
      </c>
      <c r="G1915">
        <v>1340.7445068</v>
      </c>
      <c r="H1915">
        <v>1337.8236084</v>
      </c>
      <c r="I1915">
        <v>1324.8833007999999</v>
      </c>
      <c r="J1915">
        <v>1322.3498535000001</v>
      </c>
      <c r="K1915">
        <v>2750</v>
      </c>
      <c r="L1915">
        <v>0</v>
      </c>
      <c r="M1915">
        <v>0</v>
      </c>
      <c r="N1915">
        <v>2750</v>
      </c>
    </row>
    <row r="1916" spans="1:14" x14ac:dyDescent="0.25">
      <c r="A1916">
        <v>1097.2389800000001</v>
      </c>
      <c r="B1916" s="1">
        <f>DATE(2013,5,2) + TIME(5,44,7)</f>
        <v>41396.238969907405</v>
      </c>
      <c r="C1916">
        <v>80</v>
      </c>
      <c r="D1916">
        <v>79.304122925000001</v>
      </c>
      <c r="E1916">
        <v>40</v>
      </c>
      <c r="F1916">
        <v>39.918182373</v>
      </c>
      <c r="G1916">
        <v>1340.7746582</v>
      </c>
      <c r="H1916">
        <v>1337.8453368999999</v>
      </c>
      <c r="I1916">
        <v>1324.8831786999999</v>
      </c>
      <c r="J1916">
        <v>1322.3496094</v>
      </c>
      <c r="K1916">
        <v>2750</v>
      </c>
      <c r="L1916">
        <v>0</v>
      </c>
      <c r="M1916">
        <v>0</v>
      </c>
      <c r="N1916">
        <v>2750</v>
      </c>
    </row>
    <row r="1917" spans="1:14" x14ac:dyDescent="0.25">
      <c r="A1917">
        <v>1097.302156</v>
      </c>
      <c r="B1917" s="1">
        <f>DATE(2013,5,2) + TIME(7,15,6)</f>
        <v>41396.302152777775</v>
      </c>
      <c r="C1917">
        <v>80</v>
      </c>
      <c r="D1917">
        <v>79.405143738000007</v>
      </c>
      <c r="E1917">
        <v>40</v>
      </c>
      <c r="F1917">
        <v>39.915260314999998</v>
      </c>
      <c r="G1917">
        <v>1340.8041992000001</v>
      </c>
      <c r="H1917">
        <v>1337.8663329999999</v>
      </c>
      <c r="I1917">
        <v>1324.8830565999999</v>
      </c>
      <c r="J1917">
        <v>1322.3492432</v>
      </c>
      <c r="K1917">
        <v>2750</v>
      </c>
      <c r="L1917">
        <v>0</v>
      </c>
      <c r="M1917">
        <v>0</v>
      </c>
      <c r="N1917">
        <v>2750</v>
      </c>
    </row>
    <row r="1918" spans="1:14" x14ac:dyDescent="0.25">
      <c r="A1918">
        <v>1097.3689629999999</v>
      </c>
      <c r="B1918" s="1">
        <f>DATE(2013,5,2) + TIME(8,51,18)</f>
        <v>41396.368958333333</v>
      </c>
      <c r="C1918">
        <v>80</v>
      </c>
      <c r="D1918">
        <v>79.495407103999995</v>
      </c>
      <c r="E1918">
        <v>40</v>
      </c>
      <c r="F1918">
        <v>39.912204742</v>
      </c>
      <c r="G1918">
        <v>1340.8327637</v>
      </c>
      <c r="H1918">
        <v>1337.8868408000001</v>
      </c>
      <c r="I1918">
        <v>1324.8828125</v>
      </c>
      <c r="J1918">
        <v>1322.348999</v>
      </c>
      <c r="K1918">
        <v>2750</v>
      </c>
      <c r="L1918">
        <v>0</v>
      </c>
      <c r="M1918">
        <v>0</v>
      </c>
      <c r="N1918">
        <v>2750</v>
      </c>
    </row>
    <row r="1919" spans="1:14" x14ac:dyDescent="0.25">
      <c r="A1919">
        <v>1097.4397879999999</v>
      </c>
      <c r="B1919" s="1">
        <f>DATE(2013,5,2) + TIME(10,33,17)</f>
        <v>41396.439780092594</v>
      </c>
      <c r="C1919">
        <v>80</v>
      </c>
      <c r="D1919">
        <v>79.575462341000005</v>
      </c>
      <c r="E1919">
        <v>40</v>
      </c>
      <c r="F1919">
        <v>39.909000397</v>
      </c>
      <c r="G1919">
        <v>1340.8604736</v>
      </c>
      <c r="H1919">
        <v>1337.9066161999999</v>
      </c>
      <c r="I1919">
        <v>1324.8826904</v>
      </c>
      <c r="J1919">
        <v>1322.3486327999999</v>
      </c>
      <c r="K1919">
        <v>2750</v>
      </c>
      <c r="L1919">
        <v>0</v>
      </c>
      <c r="M1919">
        <v>0</v>
      </c>
      <c r="N1919">
        <v>2750</v>
      </c>
    </row>
    <row r="1920" spans="1:14" x14ac:dyDescent="0.25">
      <c r="A1920">
        <v>1097.5117769999999</v>
      </c>
      <c r="B1920" s="1">
        <f>DATE(2013,5,2) + TIME(12,16,57)</f>
        <v>41396.511770833335</v>
      </c>
      <c r="C1920">
        <v>80</v>
      </c>
      <c r="D1920">
        <v>79.643295288000004</v>
      </c>
      <c r="E1920">
        <v>40</v>
      </c>
      <c r="F1920">
        <v>39.905773162999999</v>
      </c>
      <c r="G1920">
        <v>1340.8875731999999</v>
      </c>
      <c r="H1920">
        <v>1337.9260254000001</v>
      </c>
      <c r="I1920">
        <v>1324.8824463000001</v>
      </c>
      <c r="J1920">
        <v>1322.3482666</v>
      </c>
      <c r="K1920">
        <v>2750</v>
      </c>
      <c r="L1920">
        <v>0</v>
      </c>
      <c r="M1920">
        <v>0</v>
      </c>
      <c r="N1920">
        <v>2750</v>
      </c>
    </row>
    <row r="1921" spans="1:14" x14ac:dyDescent="0.25">
      <c r="A1921">
        <v>1097.584239</v>
      </c>
      <c r="B1921" s="1">
        <f>DATE(2013,5,2) + TIME(14,1,18)</f>
        <v>41396.584236111114</v>
      </c>
      <c r="C1921">
        <v>80</v>
      </c>
      <c r="D1921">
        <v>79.700119018999999</v>
      </c>
      <c r="E1921">
        <v>40</v>
      </c>
      <c r="F1921">
        <v>39.902542113999999</v>
      </c>
      <c r="G1921">
        <v>1340.9125977000001</v>
      </c>
      <c r="H1921">
        <v>1337.9438477000001</v>
      </c>
      <c r="I1921">
        <v>1324.8823242000001</v>
      </c>
      <c r="J1921">
        <v>1322.3480225000001</v>
      </c>
      <c r="K1921">
        <v>2750</v>
      </c>
      <c r="L1921">
        <v>0</v>
      </c>
      <c r="M1921">
        <v>0</v>
      </c>
      <c r="N1921">
        <v>2750</v>
      </c>
    </row>
    <row r="1922" spans="1:14" x14ac:dyDescent="0.25">
      <c r="A1922">
        <v>1097.657179</v>
      </c>
      <c r="B1922" s="1">
        <f>DATE(2013,5,2) + TIME(15,46,20)</f>
        <v>41396.657175925924</v>
      </c>
      <c r="C1922">
        <v>80</v>
      </c>
      <c r="D1922">
        <v>79.747634887999993</v>
      </c>
      <c r="E1922">
        <v>40</v>
      </c>
      <c r="F1922">
        <v>39.899314879999999</v>
      </c>
      <c r="G1922">
        <v>1340.9354248</v>
      </c>
      <c r="H1922">
        <v>1337.9600829999999</v>
      </c>
      <c r="I1922">
        <v>1324.8820800999999</v>
      </c>
      <c r="J1922">
        <v>1322.3476562000001</v>
      </c>
      <c r="K1922">
        <v>2750</v>
      </c>
      <c r="L1922">
        <v>0</v>
      </c>
      <c r="M1922">
        <v>0</v>
      </c>
      <c r="N1922">
        <v>2750</v>
      </c>
    </row>
    <row r="1923" spans="1:14" x14ac:dyDescent="0.25">
      <c r="A1923">
        <v>1097.730771</v>
      </c>
      <c r="B1923" s="1">
        <f>DATE(2013,5,2) + TIME(17,32,18)</f>
        <v>41396.730763888889</v>
      </c>
      <c r="C1923">
        <v>80</v>
      </c>
      <c r="D1923">
        <v>79.787376404</v>
      </c>
      <c r="E1923">
        <v>40</v>
      </c>
      <c r="F1923">
        <v>39.896076202000003</v>
      </c>
      <c r="G1923">
        <v>1340.9559326000001</v>
      </c>
      <c r="H1923">
        <v>1337.9748535000001</v>
      </c>
      <c r="I1923">
        <v>1324.8818358999999</v>
      </c>
      <c r="J1923">
        <v>1322.3474120999999</v>
      </c>
      <c r="K1923">
        <v>2750</v>
      </c>
      <c r="L1923">
        <v>0</v>
      </c>
      <c r="M1923">
        <v>0</v>
      </c>
      <c r="N1923">
        <v>2750</v>
      </c>
    </row>
    <row r="1924" spans="1:14" x14ac:dyDescent="0.25">
      <c r="A1924">
        <v>1097.80519</v>
      </c>
      <c r="B1924" s="1">
        <f>DATE(2013,5,2) + TIME(19,19,28)</f>
        <v>41396.805185185185</v>
      </c>
      <c r="C1924">
        <v>80</v>
      </c>
      <c r="D1924">
        <v>79.820610045999999</v>
      </c>
      <c r="E1924">
        <v>40</v>
      </c>
      <c r="F1924">
        <v>39.892822266000003</v>
      </c>
      <c r="G1924">
        <v>1340.9744873</v>
      </c>
      <c r="H1924">
        <v>1337.9882812000001</v>
      </c>
      <c r="I1924">
        <v>1324.8817139</v>
      </c>
      <c r="J1924">
        <v>1322.3470459</v>
      </c>
      <c r="K1924">
        <v>2750</v>
      </c>
      <c r="L1924">
        <v>0</v>
      </c>
      <c r="M1924">
        <v>0</v>
      </c>
      <c r="N1924">
        <v>2750</v>
      </c>
    </row>
    <row r="1925" spans="1:14" x14ac:dyDescent="0.25">
      <c r="A1925">
        <v>1097.880623</v>
      </c>
      <c r="B1925" s="1">
        <f>DATE(2013,5,2) + TIME(21,8,5)</f>
        <v>41396.880613425928</v>
      </c>
      <c r="C1925">
        <v>80</v>
      </c>
      <c r="D1925">
        <v>79.848396300999994</v>
      </c>
      <c r="E1925">
        <v>40</v>
      </c>
      <c r="F1925">
        <v>39.889545441000003</v>
      </c>
      <c r="G1925">
        <v>1340.9913329999999</v>
      </c>
      <c r="H1925">
        <v>1338.0004882999999</v>
      </c>
      <c r="I1925">
        <v>1324.8814697</v>
      </c>
      <c r="J1925">
        <v>1322.3468018000001</v>
      </c>
      <c r="K1925">
        <v>2750</v>
      </c>
      <c r="L1925">
        <v>0</v>
      </c>
      <c r="M1925">
        <v>0</v>
      </c>
      <c r="N1925">
        <v>2750</v>
      </c>
    </row>
    <row r="1926" spans="1:14" x14ac:dyDescent="0.25">
      <c r="A1926">
        <v>1097.95722</v>
      </c>
      <c r="B1926" s="1">
        <f>DATE(2013,5,2) + TIME(22,58,23)</f>
        <v>41396.95721064815</v>
      </c>
      <c r="C1926">
        <v>80</v>
      </c>
      <c r="D1926">
        <v>79.871597289999997</v>
      </c>
      <c r="E1926">
        <v>40</v>
      </c>
      <c r="F1926">
        <v>39.886241912999999</v>
      </c>
      <c r="G1926">
        <v>1341.0064697</v>
      </c>
      <c r="H1926">
        <v>1338.0117187999999</v>
      </c>
      <c r="I1926">
        <v>1324.8813477000001</v>
      </c>
      <c r="J1926">
        <v>1322.3464355000001</v>
      </c>
      <c r="K1926">
        <v>2750</v>
      </c>
      <c r="L1926">
        <v>0</v>
      </c>
      <c r="M1926">
        <v>0</v>
      </c>
      <c r="N1926">
        <v>2750</v>
      </c>
    </row>
    <row r="1927" spans="1:14" x14ac:dyDescent="0.25">
      <c r="A1927">
        <v>1098.0351619999999</v>
      </c>
      <c r="B1927" s="1">
        <f>DATE(2013,5,3) + TIME(0,50,38)</f>
        <v>41397.035162037035</v>
      </c>
      <c r="C1927">
        <v>80</v>
      </c>
      <c r="D1927">
        <v>79.890953064000001</v>
      </c>
      <c r="E1927">
        <v>40</v>
      </c>
      <c r="F1927">
        <v>39.882900237999998</v>
      </c>
      <c r="G1927">
        <v>1341.0200195</v>
      </c>
      <c r="H1927">
        <v>1338.0218506000001</v>
      </c>
      <c r="I1927">
        <v>1324.8811035000001</v>
      </c>
      <c r="J1927">
        <v>1322.3461914</v>
      </c>
      <c r="K1927">
        <v>2750</v>
      </c>
      <c r="L1927">
        <v>0</v>
      </c>
      <c r="M1927">
        <v>0</v>
      </c>
      <c r="N1927">
        <v>2750</v>
      </c>
    </row>
    <row r="1928" spans="1:14" x14ac:dyDescent="0.25">
      <c r="A1928">
        <v>1098.114638</v>
      </c>
      <c r="B1928" s="1">
        <f>DATE(2013,5,3) + TIME(2,45,4)</f>
        <v>41397.114629629628</v>
      </c>
      <c r="C1928">
        <v>80</v>
      </c>
      <c r="D1928">
        <v>79.907066345000004</v>
      </c>
      <c r="E1928">
        <v>40</v>
      </c>
      <c r="F1928">
        <v>39.879512787000003</v>
      </c>
      <c r="G1928">
        <v>1341.0322266000001</v>
      </c>
      <c r="H1928">
        <v>1338.0310059000001</v>
      </c>
      <c r="I1928">
        <v>1324.8809814000001</v>
      </c>
      <c r="J1928">
        <v>1322.3458252</v>
      </c>
      <c r="K1928">
        <v>2750</v>
      </c>
      <c r="L1928">
        <v>0</v>
      </c>
      <c r="M1928">
        <v>0</v>
      </c>
      <c r="N1928">
        <v>2750</v>
      </c>
    </row>
    <row r="1929" spans="1:14" x14ac:dyDescent="0.25">
      <c r="A1929">
        <v>1098.195849</v>
      </c>
      <c r="B1929" s="1">
        <f>DATE(2013,5,3) + TIME(4,42,1)</f>
        <v>41397.195844907408</v>
      </c>
      <c r="C1929">
        <v>80</v>
      </c>
      <c r="D1929">
        <v>79.920455933</v>
      </c>
      <c r="E1929">
        <v>40</v>
      </c>
      <c r="F1929">
        <v>39.876079558999997</v>
      </c>
      <c r="G1929">
        <v>1341.0430908000001</v>
      </c>
      <c r="H1929">
        <v>1338.0394286999999</v>
      </c>
      <c r="I1929">
        <v>1324.8807373</v>
      </c>
      <c r="J1929">
        <v>1322.3455810999999</v>
      </c>
      <c r="K1929">
        <v>2750</v>
      </c>
      <c r="L1929">
        <v>0</v>
      </c>
      <c r="M1929">
        <v>0</v>
      </c>
      <c r="N1929">
        <v>2750</v>
      </c>
    </row>
    <row r="1930" spans="1:14" x14ac:dyDescent="0.25">
      <c r="A1930">
        <v>1098.279049</v>
      </c>
      <c r="B1930" s="1">
        <f>DATE(2013,5,3) + TIME(6,41,49)</f>
        <v>41397.279039351852</v>
      </c>
      <c r="C1930">
        <v>80</v>
      </c>
      <c r="D1930">
        <v>79.931564331000004</v>
      </c>
      <c r="E1930">
        <v>40</v>
      </c>
      <c r="F1930">
        <v>39.872581482000001</v>
      </c>
      <c r="G1930">
        <v>1341.0527344</v>
      </c>
      <c r="H1930">
        <v>1338.046875</v>
      </c>
      <c r="I1930">
        <v>1324.8806152</v>
      </c>
      <c r="J1930">
        <v>1322.3452147999999</v>
      </c>
      <c r="K1930">
        <v>2750</v>
      </c>
      <c r="L1930">
        <v>0</v>
      </c>
      <c r="M1930">
        <v>0</v>
      </c>
      <c r="N1930">
        <v>2750</v>
      </c>
    </row>
    <row r="1931" spans="1:14" x14ac:dyDescent="0.25">
      <c r="A1931">
        <v>1098.364542</v>
      </c>
      <c r="B1931" s="1">
        <f>DATE(2013,5,3) + TIME(8,44,56)</f>
        <v>41397.364537037036</v>
      </c>
      <c r="C1931">
        <v>80</v>
      </c>
      <c r="D1931">
        <v>79.940765381000006</v>
      </c>
      <c r="E1931">
        <v>40</v>
      </c>
      <c r="F1931">
        <v>39.869010924999998</v>
      </c>
      <c r="G1931">
        <v>1341.0611572</v>
      </c>
      <c r="H1931">
        <v>1338.0537108999999</v>
      </c>
      <c r="I1931">
        <v>1324.8803711</v>
      </c>
      <c r="J1931">
        <v>1322.3449707</v>
      </c>
      <c r="K1931">
        <v>2750</v>
      </c>
      <c r="L1931">
        <v>0</v>
      </c>
      <c r="M1931">
        <v>0</v>
      </c>
      <c r="N1931">
        <v>2750</v>
      </c>
    </row>
    <row r="1932" spans="1:14" x14ac:dyDescent="0.25">
      <c r="A1932">
        <v>1098.4526049999999</v>
      </c>
      <c r="B1932" s="1">
        <f>DATE(2013,5,3) + TIME(10,51,45)</f>
        <v>41397.452604166669</v>
      </c>
      <c r="C1932">
        <v>80</v>
      </c>
      <c r="D1932">
        <v>79.948364257999998</v>
      </c>
      <c r="E1932">
        <v>40</v>
      </c>
      <c r="F1932">
        <v>39.865360260000003</v>
      </c>
      <c r="G1932">
        <v>1341.0686035000001</v>
      </c>
      <c r="H1932">
        <v>1338.0598144999999</v>
      </c>
      <c r="I1932">
        <v>1324.8801269999999</v>
      </c>
      <c r="J1932">
        <v>1322.3446045000001</v>
      </c>
      <c r="K1932">
        <v>2750</v>
      </c>
      <c r="L1932">
        <v>0</v>
      </c>
      <c r="M1932">
        <v>0</v>
      </c>
      <c r="N1932">
        <v>2750</v>
      </c>
    </row>
    <row r="1933" spans="1:14" x14ac:dyDescent="0.25">
      <c r="A1933">
        <v>1098.5435460000001</v>
      </c>
      <c r="B1933" s="1">
        <f>DATE(2013,5,3) + TIME(13,2,42)</f>
        <v>41397.543541666666</v>
      </c>
      <c r="C1933">
        <v>80</v>
      </c>
      <c r="D1933">
        <v>79.954612732000001</v>
      </c>
      <c r="E1933">
        <v>40</v>
      </c>
      <c r="F1933">
        <v>39.861614226999997</v>
      </c>
      <c r="G1933">
        <v>1341.0749512</v>
      </c>
      <c r="H1933">
        <v>1338.0653076000001</v>
      </c>
      <c r="I1933">
        <v>1324.8798827999999</v>
      </c>
      <c r="J1933">
        <v>1322.3442382999999</v>
      </c>
      <c r="K1933">
        <v>2750</v>
      </c>
      <c r="L1933">
        <v>0</v>
      </c>
      <c r="M1933">
        <v>0</v>
      </c>
      <c r="N1933">
        <v>2750</v>
      </c>
    </row>
    <row r="1934" spans="1:14" x14ac:dyDescent="0.25">
      <c r="A1934">
        <v>1098.637444</v>
      </c>
      <c r="B1934" s="1">
        <f>DATE(2013,5,3) + TIME(15,17,55)</f>
        <v>41397.637442129628</v>
      </c>
      <c r="C1934">
        <v>80</v>
      </c>
      <c r="D1934">
        <v>79.959724425999994</v>
      </c>
      <c r="E1934">
        <v>40</v>
      </c>
      <c r="F1934">
        <v>39.857776641999997</v>
      </c>
      <c r="G1934">
        <v>1341.0804443</v>
      </c>
      <c r="H1934">
        <v>1338.0701904</v>
      </c>
      <c r="I1934">
        <v>1324.8797606999999</v>
      </c>
      <c r="J1934">
        <v>1322.3439940999999</v>
      </c>
      <c r="K1934">
        <v>2750</v>
      </c>
      <c r="L1934">
        <v>0</v>
      </c>
      <c r="M1934">
        <v>0</v>
      </c>
      <c r="N1934">
        <v>2750</v>
      </c>
    </row>
    <row r="1935" spans="1:14" x14ac:dyDescent="0.25">
      <c r="A1935">
        <v>1098.7330340000001</v>
      </c>
      <c r="B1935" s="1">
        <f>DATE(2013,5,3) + TIME(17,35,34)</f>
        <v>41397.733032407406</v>
      </c>
      <c r="C1935">
        <v>80</v>
      </c>
      <c r="D1935">
        <v>79.963829040999997</v>
      </c>
      <c r="E1935">
        <v>40</v>
      </c>
      <c r="F1935">
        <v>39.853885650999999</v>
      </c>
      <c r="G1935">
        <v>1341.0850829999999</v>
      </c>
      <c r="H1935">
        <v>1338.0745850000001</v>
      </c>
      <c r="I1935">
        <v>1324.8795166</v>
      </c>
      <c r="J1935">
        <v>1322.3436279</v>
      </c>
      <c r="K1935">
        <v>2750</v>
      </c>
      <c r="L1935">
        <v>0</v>
      </c>
      <c r="M1935">
        <v>0</v>
      </c>
      <c r="N1935">
        <v>2750</v>
      </c>
    </row>
    <row r="1936" spans="1:14" x14ac:dyDescent="0.25">
      <c r="A1936">
        <v>1098.8305319999999</v>
      </c>
      <c r="B1936" s="1">
        <f>DATE(2013,5,3) + TIME(19,55,57)</f>
        <v>41397.830520833333</v>
      </c>
      <c r="C1936">
        <v>80</v>
      </c>
      <c r="D1936">
        <v>79.967132567999997</v>
      </c>
      <c r="E1936">
        <v>40</v>
      </c>
      <c r="F1936">
        <v>39.849941254000001</v>
      </c>
      <c r="G1936">
        <v>1341.0886230000001</v>
      </c>
      <c r="H1936">
        <v>1338.0782471</v>
      </c>
      <c r="I1936">
        <v>1324.8792725000001</v>
      </c>
      <c r="J1936">
        <v>1322.3432617000001</v>
      </c>
      <c r="K1936">
        <v>2750</v>
      </c>
      <c r="L1936">
        <v>0</v>
      </c>
      <c r="M1936">
        <v>0</v>
      </c>
      <c r="N1936">
        <v>2750</v>
      </c>
    </row>
    <row r="1937" spans="1:14" x14ac:dyDescent="0.25">
      <c r="A1937">
        <v>1098.9301230000001</v>
      </c>
      <c r="B1937" s="1">
        <f>DATE(2013,5,3) + TIME(22,19,22)</f>
        <v>41397.930115740739</v>
      </c>
      <c r="C1937">
        <v>80</v>
      </c>
      <c r="D1937">
        <v>79.969772339000002</v>
      </c>
      <c r="E1937">
        <v>40</v>
      </c>
      <c r="F1937">
        <v>39.845932007000002</v>
      </c>
      <c r="G1937">
        <v>1341.0911865</v>
      </c>
      <c r="H1937">
        <v>1338.0814209</v>
      </c>
      <c r="I1937">
        <v>1324.8790283000001</v>
      </c>
      <c r="J1937">
        <v>1322.3428954999999</v>
      </c>
      <c r="K1937">
        <v>2750</v>
      </c>
      <c r="L1937">
        <v>0</v>
      </c>
      <c r="M1937">
        <v>0</v>
      </c>
      <c r="N1937">
        <v>2750</v>
      </c>
    </row>
    <row r="1938" spans="1:14" x14ac:dyDescent="0.25">
      <c r="A1938">
        <v>1099.0320160000001</v>
      </c>
      <c r="B1938" s="1">
        <f>DATE(2013,5,4) + TIME(0,46,6)</f>
        <v>41398.032013888886</v>
      </c>
      <c r="C1938">
        <v>80</v>
      </c>
      <c r="D1938">
        <v>79.971885681000003</v>
      </c>
      <c r="E1938">
        <v>40</v>
      </c>
      <c r="F1938">
        <v>39.841854095000002</v>
      </c>
      <c r="G1938">
        <v>1341.0931396000001</v>
      </c>
      <c r="H1938">
        <v>1338.0841064000001</v>
      </c>
      <c r="I1938">
        <v>1324.8787841999999</v>
      </c>
      <c r="J1938">
        <v>1322.3425293</v>
      </c>
      <c r="K1938">
        <v>2750</v>
      </c>
      <c r="L1938">
        <v>0</v>
      </c>
      <c r="M1938">
        <v>0</v>
      </c>
      <c r="N1938">
        <v>2750</v>
      </c>
    </row>
    <row r="1939" spans="1:14" x14ac:dyDescent="0.25">
      <c r="A1939">
        <v>1099.136442</v>
      </c>
      <c r="B1939" s="1">
        <f>DATE(2013,5,4) + TIME(3,16,28)</f>
        <v>41398.136435185188</v>
      </c>
      <c r="C1939">
        <v>80</v>
      </c>
      <c r="D1939">
        <v>79.973571777000004</v>
      </c>
      <c r="E1939">
        <v>40</v>
      </c>
      <c r="F1939">
        <v>39.837696074999997</v>
      </c>
      <c r="G1939">
        <v>1341.0931396000001</v>
      </c>
      <c r="H1939">
        <v>1338.0855713000001</v>
      </c>
      <c r="I1939">
        <v>1324.8785399999999</v>
      </c>
      <c r="J1939">
        <v>1322.3422852000001</v>
      </c>
      <c r="K1939">
        <v>2750</v>
      </c>
      <c r="L1939">
        <v>0</v>
      </c>
      <c r="M1939">
        <v>0</v>
      </c>
      <c r="N1939">
        <v>2750</v>
      </c>
    </row>
    <row r="1940" spans="1:14" x14ac:dyDescent="0.25">
      <c r="A1940">
        <v>1099.2436849999999</v>
      </c>
      <c r="B1940" s="1">
        <f>DATE(2013,5,4) + TIME(5,50,54)</f>
        <v>41398.243680555555</v>
      </c>
      <c r="C1940">
        <v>80</v>
      </c>
      <c r="D1940">
        <v>79.974922179999993</v>
      </c>
      <c r="E1940">
        <v>40</v>
      </c>
      <c r="F1940">
        <v>39.833450317</v>
      </c>
      <c r="G1940">
        <v>1341.0920410000001</v>
      </c>
      <c r="H1940">
        <v>1338.0863036999999</v>
      </c>
      <c r="I1940">
        <v>1324.8782959</v>
      </c>
      <c r="J1940">
        <v>1322.3419189000001</v>
      </c>
      <c r="K1940">
        <v>2750</v>
      </c>
      <c r="L1940">
        <v>0</v>
      </c>
      <c r="M1940">
        <v>0</v>
      </c>
      <c r="N1940">
        <v>2750</v>
      </c>
    </row>
    <row r="1941" spans="1:14" x14ac:dyDescent="0.25">
      <c r="A1941">
        <v>1099.354043</v>
      </c>
      <c r="B1941" s="1">
        <f>DATE(2013,5,4) + TIME(8,29,49)</f>
        <v>41398.354039351849</v>
      </c>
      <c r="C1941">
        <v>80</v>
      </c>
      <c r="D1941">
        <v>79.975982665999993</v>
      </c>
      <c r="E1941">
        <v>40</v>
      </c>
      <c r="F1941">
        <v>39.829109191999997</v>
      </c>
      <c r="G1941">
        <v>1341.090332</v>
      </c>
      <c r="H1941">
        <v>1338.0867920000001</v>
      </c>
      <c r="I1941">
        <v>1324.8780518000001</v>
      </c>
      <c r="J1941">
        <v>1322.3415527</v>
      </c>
      <c r="K1941">
        <v>2750</v>
      </c>
      <c r="L1941">
        <v>0</v>
      </c>
      <c r="M1941">
        <v>0</v>
      </c>
      <c r="N1941">
        <v>2750</v>
      </c>
    </row>
    <row r="1942" spans="1:14" x14ac:dyDescent="0.25">
      <c r="A1942">
        <v>1099.4678180000001</v>
      </c>
      <c r="B1942" s="1">
        <f>DATE(2013,5,4) + TIME(11,13,39)</f>
        <v>41398.467812499999</v>
      </c>
      <c r="C1942">
        <v>80</v>
      </c>
      <c r="D1942">
        <v>79.976829529</v>
      </c>
      <c r="E1942">
        <v>40</v>
      </c>
      <c r="F1942">
        <v>39.824661255000002</v>
      </c>
      <c r="G1942">
        <v>1341.0881348</v>
      </c>
      <c r="H1942">
        <v>1338.0867920000001</v>
      </c>
      <c r="I1942">
        <v>1324.8778076000001</v>
      </c>
      <c r="J1942">
        <v>1322.3411865</v>
      </c>
      <c r="K1942">
        <v>2750</v>
      </c>
      <c r="L1942">
        <v>0</v>
      </c>
      <c r="M1942">
        <v>0</v>
      </c>
      <c r="N1942">
        <v>2750</v>
      </c>
    </row>
    <row r="1943" spans="1:14" x14ac:dyDescent="0.25">
      <c r="A1943">
        <v>1099.5854409999999</v>
      </c>
      <c r="B1943" s="1">
        <f>DATE(2013,5,4) + TIME(14,3,2)</f>
        <v>41398.585439814815</v>
      </c>
      <c r="C1943">
        <v>80</v>
      </c>
      <c r="D1943">
        <v>79.977500915999997</v>
      </c>
      <c r="E1943">
        <v>40</v>
      </c>
      <c r="F1943">
        <v>39.820087432999998</v>
      </c>
      <c r="G1943">
        <v>1341.0853271000001</v>
      </c>
      <c r="H1943">
        <v>1338.0866699000001</v>
      </c>
      <c r="I1943">
        <v>1324.8775635</v>
      </c>
      <c r="J1943">
        <v>1322.3408202999999</v>
      </c>
      <c r="K1943">
        <v>2750</v>
      </c>
      <c r="L1943">
        <v>0</v>
      </c>
      <c r="M1943">
        <v>0</v>
      </c>
      <c r="N1943">
        <v>2750</v>
      </c>
    </row>
    <row r="1944" spans="1:14" x14ac:dyDescent="0.25">
      <c r="A1944">
        <v>1099.707492</v>
      </c>
      <c r="B1944" s="1">
        <f>DATE(2013,5,4) + TIME(16,58,47)</f>
        <v>41398.707488425927</v>
      </c>
      <c r="C1944">
        <v>80</v>
      </c>
      <c r="D1944">
        <v>79.978027343999997</v>
      </c>
      <c r="E1944">
        <v>40</v>
      </c>
      <c r="F1944">
        <v>39.815380095999998</v>
      </c>
      <c r="G1944">
        <v>1341.0821533000001</v>
      </c>
      <c r="H1944">
        <v>1338.0861815999999</v>
      </c>
      <c r="I1944">
        <v>1324.8773193</v>
      </c>
      <c r="J1944">
        <v>1322.3404541</v>
      </c>
      <c r="K1944">
        <v>2750</v>
      </c>
      <c r="L1944">
        <v>0</v>
      </c>
      <c r="M1944">
        <v>0</v>
      </c>
      <c r="N1944">
        <v>2750</v>
      </c>
    </row>
    <row r="1945" spans="1:14" x14ac:dyDescent="0.25">
      <c r="A1945">
        <v>1099.833883</v>
      </c>
      <c r="B1945" s="1">
        <f>DATE(2013,5,4) + TIME(20,0,47)</f>
        <v>41398.833877314813</v>
      </c>
      <c r="C1945">
        <v>80</v>
      </c>
      <c r="D1945">
        <v>79.978439331000004</v>
      </c>
      <c r="E1945">
        <v>40</v>
      </c>
      <c r="F1945">
        <v>39.810531615999999</v>
      </c>
      <c r="G1945">
        <v>1341.0784911999999</v>
      </c>
      <c r="H1945">
        <v>1338.0855713000001</v>
      </c>
      <c r="I1945">
        <v>1324.8770752</v>
      </c>
      <c r="J1945">
        <v>1322.3399658000001</v>
      </c>
      <c r="K1945">
        <v>2750</v>
      </c>
      <c r="L1945">
        <v>0</v>
      </c>
      <c r="M1945">
        <v>0</v>
      </c>
      <c r="N1945">
        <v>2750</v>
      </c>
    </row>
    <row r="1946" spans="1:14" x14ac:dyDescent="0.25">
      <c r="A1946">
        <v>1099.9638030000001</v>
      </c>
      <c r="B1946" s="1">
        <f>DATE(2013,5,4) + TIME(23,7,52)</f>
        <v>41398.963796296295</v>
      </c>
      <c r="C1946">
        <v>80</v>
      </c>
      <c r="D1946">
        <v>79.978759765999996</v>
      </c>
      <c r="E1946">
        <v>40</v>
      </c>
      <c r="F1946">
        <v>39.805572509999998</v>
      </c>
      <c r="G1946">
        <v>1341.0743408000001</v>
      </c>
      <c r="H1946">
        <v>1338.0845947</v>
      </c>
      <c r="I1946">
        <v>1324.8767089999999</v>
      </c>
      <c r="J1946">
        <v>1322.3395995999999</v>
      </c>
      <c r="K1946">
        <v>2750</v>
      </c>
      <c r="L1946">
        <v>0</v>
      </c>
      <c r="M1946">
        <v>0</v>
      </c>
      <c r="N1946">
        <v>2750</v>
      </c>
    </row>
    <row r="1947" spans="1:14" x14ac:dyDescent="0.25">
      <c r="A1947">
        <v>1100.097636</v>
      </c>
      <c r="B1947" s="1">
        <f>DATE(2013,5,5) + TIME(2,20,35)</f>
        <v>41399.097627314812</v>
      </c>
      <c r="C1947">
        <v>80</v>
      </c>
      <c r="D1947">
        <v>79.979003906000003</v>
      </c>
      <c r="E1947">
        <v>40</v>
      </c>
      <c r="F1947">
        <v>39.800495148000003</v>
      </c>
      <c r="G1947">
        <v>1341.0698242000001</v>
      </c>
      <c r="H1947">
        <v>1338.0834961</v>
      </c>
      <c r="I1947">
        <v>1324.8764647999999</v>
      </c>
      <c r="J1947">
        <v>1322.3392334</v>
      </c>
      <c r="K1947">
        <v>2750</v>
      </c>
      <c r="L1947">
        <v>0</v>
      </c>
      <c r="M1947">
        <v>0</v>
      </c>
      <c r="N1947">
        <v>2750</v>
      </c>
    </row>
    <row r="1948" spans="1:14" x14ac:dyDescent="0.25">
      <c r="A1948">
        <v>1100.2357609999999</v>
      </c>
      <c r="B1948" s="1">
        <f>DATE(2013,5,5) + TIME(5,39,29)</f>
        <v>41399.235752314817</v>
      </c>
      <c r="C1948">
        <v>80</v>
      </c>
      <c r="D1948">
        <v>79.979194641000007</v>
      </c>
      <c r="E1948">
        <v>40</v>
      </c>
      <c r="F1948">
        <v>39.795284271</v>
      </c>
      <c r="G1948">
        <v>1341.0649414</v>
      </c>
      <c r="H1948">
        <v>1338.0821533000001</v>
      </c>
      <c r="I1948">
        <v>1324.8762207</v>
      </c>
      <c r="J1948">
        <v>1322.3387451000001</v>
      </c>
      <c r="K1948">
        <v>2750</v>
      </c>
      <c r="L1948">
        <v>0</v>
      </c>
      <c r="M1948">
        <v>0</v>
      </c>
      <c r="N1948">
        <v>2750</v>
      </c>
    </row>
    <row r="1949" spans="1:14" x14ac:dyDescent="0.25">
      <c r="A1949">
        <v>1100.3786</v>
      </c>
      <c r="B1949" s="1">
        <f>DATE(2013,5,5) + TIME(9,5,11)</f>
        <v>41399.378599537034</v>
      </c>
      <c r="C1949">
        <v>80</v>
      </c>
      <c r="D1949">
        <v>79.979339600000003</v>
      </c>
      <c r="E1949">
        <v>40</v>
      </c>
      <c r="F1949">
        <v>39.789928435999997</v>
      </c>
      <c r="G1949">
        <v>1341.0595702999999</v>
      </c>
      <c r="H1949">
        <v>1338.0805664</v>
      </c>
      <c r="I1949">
        <v>1324.8758545000001</v>
      </c>
      <c r="J1949">
        <v>1322.3382568</v>
      </c>
      <c r="K1949">
        <v>2750</v>
      </c>
      <c r="L1949">
        <v>0</v>
      </c>
      <c r="M1949">
        <v>0</v>
      </c>
      <c r="N1949">
        <v>2750</v>
      </c>
    </row>
    <row r="1950" spans="1:14" x14ac:dyDescent="0.25">
      <c r="A1950">
        <v>1100.523895</v>
      </c>
      <c r="B1950" s="1">
        <f>DATE(2013,5,5) + TIME(12,34,24)</f>
        <v>41399.523888888885</v>
      </c>
      <c r="C1950">
        <v>80</v>
      </c>
      <c r="D1950">
        <v>79.979446410999998</v>
      </c>
      <c r="E1950">
        <v>40</v>
      </c>
      <c r="F1950">
        <v>39.784496306999998</v>
      </c>
      <c r="G1950">
        <v>1341.0538329999999</v>
      </c>
      <c r="H1950">
        <v>1338.0787353999999</v>
      </c>
      <c r="I1950">
        <v>1324.8754882999999</v>
      </c>
      <c r="J1950">
        <v>1322.3378906</v>
      </c>
      <c r="K1950">
        <v>2750</v>
      </c>
      <c r="L1950">
        <v>0</v>
      </c>
      <c r="M1950">
        <v>0</v>
      </c>
      <c r="N1950">
        <v>2750</v>
      </c>
    </row>
    <row r="1951" spans="1:14" x14ac:dyDescent="0.25">
      <c r="A1951">
        <v>1100.6710780000001</v>
      </c>
      <c r="B1951" s="1">
        <f>DATE(2013,5,5) + TIME(16,6,21)</f>
        <v>41399.671076388891</v>
      </c>
      <c r="C1951">
        <v>80</v>
      </c>
      <c r="D1951">
        <v>79.979530334000003</v>
      </c>
      <c r="E1951">
        <v>40</v>
      </c>
      <c r="F1951">
        <v>39.779014586999999</v>
      </c>
      <c r="G1951">
        <v>1341.0478516000001</v>
      </c>
      <c r="H1951">
        <v>1338.0767822</v>
      </c>
      <c r="I1951">
        <v>1324.8752440999999</v>
      </c>
      <c r="J1951">
        <v>1322.3374022999999</v>
      </c>
      <c r="K1951">
        <v>2750</v>
      </c>
      <c r="L1951">
        <v>0</v>
      </c>
      <c r="M1951">
        <v>0</v>
      </c>
      <c r="N1951">
        <v>2750</v>
      </c>
    </row>
    <row r="1952" spans="1:14" x14ac:dyDescent="0.25">
      <c r="A1952">
        <v>1100.820557</v>
      </c>
      <c r="B1952" s="1">
        <f>DATE(2013,5,5) + TIME(19,41,36)</f>
        <v>41399.820555555554</v>
      </c>
      <c r="C1952">
        <v>80</v>
      </c>
      <c r="D1952">
        <v>79.979583739999995</v>
      </c>
      <c r="E1952">
        <v>40</v>
      </c>
      <c r="F1952">
        <v>39.773464203000003</v>
      </c>
      <c r="G1952">
        <v>1341.0417480000001</v>
      </c>
      <c r="H1952">
        <v>1338.0748291</v>
      </c>
      <c r="I1952">
        <v>1324.8748779</v>
      </c>
      <c r="J1952">
        <v>1322.3369141000001</v>
      </c>
      <c r="K1952">
        <v>2750</v>
      </c>
      <c r="L1952">
        <v>0</v>
      </c>
      <c r="M1952">
        <v>0</v>
      </c>
      <c r="N1952">
        <v>2750</v>
      </c>
    </row>
    <row r="1953" spans="1:14" x14ac:dyDescent="0.25">
      <c r="A1953">
        <v>1100.972741</v>
      </c>
      <c r="B1953" s="1">
        <f>DATE(2013,5,5) + TIME(23,20,44)</f>
        <v>41399.972731481481</v>
      </c>
      <c r="C1953">
        <v>80</v>
      </c>
      <c r="D1953">
        <v>79.979621886999993</v>
      </c>
      <c r="E1953">
        <v>40</v>
      </c>
      <c r="F1953">
        <v>39.767837524000001</v>
      </c>
      <c r="G1953">
        <v>1341.0354004000001</v>
      </c>
      <c r="H1953">
        <v>1338.0726318</v>
      </c>
      <c r="I1953">
        <v>1324.8745117000001</v>
      </c>
      <c r="J1953">
        <v>1322.3364257999999</v>
      </c>
      <c r="K1953">
        <v>2750</v>
      </c>
      <c r="L1953">
        <v>0</v>
      </c>
      <c r="M1953">
        <v>0</v>
      </c>
      <c r="N1953">
        <v>2750</v>
      </c>
    </row>
    <row r="1954" spans="1:14" x14ac:dyDescent="0.25">
      <c r="A1954">
        <v>1101.128062</v>
      </c>
      <c r="B1954" s="1">
        <f>DATE(2013,5,6) + TIME(3,4,24)</f>
        <v>41400.128055555557</v>
      </c>
      <c r="C1954">
        <v>80</v>
      </c>
      <c r="D1954">
        <v>79.979652404999996</v>
      </c>
      <c r="E1954">
        <v>40</v>
      </c>
      <c r="F1954">
        <v>39.762119292999998</v>
      </c>
      <c r="G1954">
        <v>1341.0288086</v>
      </c>
      <c r="H1954">
        <v>1338.0703125</v>
      </c>
      <c r="I1954">
        <v>1324.8741454999999</v>
      </c>
      <c r="J1954">
        <v>1322.3359375</v>
      </c>
      <c r="K1954">
        <v>2750</v>
      </c>
      <c r="L1954">
        <v>0</v>
      </c>
      <c r="M1954">
        <v>0</v>
      </c>
      <c r="N1954">
        <v>2750</v>
      </c>
    </row>
    <row r="1955" spans="1:14" x14ac:dyDescent="0.25">
      <c r="A1955">
        <v>1101.287313</v>
      </c>
      <c r="B1955" s="1">
        <f>DATE(2013,5,6) + TIME(6,53,43)</f>
        <v>41400.287303240744</v>
      </c>
      <c r="C1955">
        <v>80</v>
      </c>
      <c r="D1955">
        <v>79.979667664000004</v>
      </c>
      <c r="E1955">
        <v>40</v>
      </c>
      <c r="F1955">
        <v>39.756294250000003</v>
      </c>
      <c r="G1955">
        <v>1341.0220947</v>
      </c>
      <c r="H1955">
        <v>1338.0679932</v>
      </c>
      <c r="I1955">
        <v>1324.8737793</v>
      </c>
      <c r="J1955">
        <v>1322.3354492000001</v>
      </c>
      <c r="K1955">
        <v>2750</v>
      </c>
      <c r="L1955">
        <v>0</v>
      </c>
      <c r="M1955">
        <v>0</v>
      </c>
      <c r="N1955">
        <v>2750</v>
      </c>
    </row>
    <row r="1956" spans="1:14" x14ac:dyDescent="0.25">
      <c r="A1956">
        <v>1101.449568</v>
      </c>
      <c r="B1956" s="1">
        <f>DATE(2013,5,6) + TIME(10,47,22)</f>
        <v>41400.449560185189</v>
      </c>
      <c r="C1956">
        <v>80</v>
      </c>
      <c r="D1956">
        <v>79.979675293</v>
      </c>
      <c r="E1956">
        <v>40</v>
      </c>
      <c r="F1956">
        <v>39.750385283999996</v>
      </c>
      <c r="G1956">
        <v>1341.0151367000001</v>
      </c>
      <c r="H1956">
        <v>1338.0655518000001</v>
      </c>
      <c r="I1956">
        <v>1324.8734131000001</v>
      </c>
      <c r="J1956">
        <v>1322.3348389</v>
      </c>
      <c r="K1956">
        <v>2750</v>
      </c>
      <c r="L1956">
        <v>0</v>
      </c>
      <c r="M1956">
        <v>0</v>
      </c>
      <c r="N1956">
        <v>2750</v>
      </c>
    </row>
    <row r="1957" spans="1:14" x14ac:dyDescent="0.25">
      <c r="A1957">
        <v>1101.615284</v>
      </c>
      <c r="B1957" s="1">
        <f>DATE(2013,5,6) + TIME(14,46,0)</f>
        <v>41400.615277777775</v>
      </c>
      <c r="C1957">
        <v>80</v>
      </c>
      <c r="D1957">
        <v>79.979675293</v>
      </c>
      <c r="E1957">
        <v>40</v>
      </c>
      <c r="F1957">
        <v>39.744377135999997</v>
      </c>
      <c r="G1957">
        <v>1341.0080565999999</v>
      </c>
      <c r="H1957">
        <v>1338.0631103999999</v>
      </c>
      <c r="I1957">
        <v>1324.8730469</v>
      </c>
      <c r="J1957">
        <v>1322.3343506000001</v>
      </c>
      <c r="K1957">
        <v>2750</v>
      </c>
      <c r="L1957">
        <v>0</v>
      </c>
      <c r="M1957">
        <v>0</v>
      </c>
      <c r="N1957">
        <v>2750</v>
      </c>
    </row>
    <row r="1958" spans="1:14" x14ac:dyDescent="0.25">
      <c r="A1958">
        <v>1101.785038</v>
      </c>
      <c r="B1958" s="1">
        <f>DATE(2013,5,6) + TIME(18,50,27)</f>
        <v>41400.785034722219</v>
      </c>
      <c r="C1958">
        <v>80</v>
      </c>
      <c r="D1958">
        <v>79.979675293</v>
      </c>
      <c r="E1958">
        <v>40</v>
      </c>
      <c r="F1958">
        <v>39.738262177000003</v>
      </c>
      <c r="G1958">
        <v>1341.0008545000001</v>
      </c>
      <c r="H1958">
        <v>1338.0604248</v>
      </c>
      <c r="I1958">
        <v>1324.8726807</v>
      </c>
      <c r="J1958">
        <v>1322.3338623</v>
      </c>
      <c r="K1958">
        <v>2750</v>
      </c>
      <c r="L1958">
        <v>0</v>
      </c>
      <c r="M1958">
        <v>0</v>
      </c>
      <c r="N1958">
        <v>2750</v>
      </c>
    </row>
    <row r="1959" spans="1:14" x14ac:dyDescent="0.25">
      <c r="A1959">
        <v>1101.9592680000001</v>
      </c>
      <c r="B1959" s="1">
        <f>DATE(2013,5,6) + TIME(23,1,20)</f>
        <v>41400.95925925926</v>
      </c>
      <c r="C1959">
        <v>80</v>
      </c>
      <c r="D1959">
        <v>79.979660034000005</v>
      </c>
      <c r="E1959">
        <v>40</v>
      </c>
      <c r="F1959">
        <v>39.732017517000003</v>
      </c>
      <c r="G1959">
        <v>1340.9935303</v>
      </c>
      <c r="H1959">
        <v>1338.0578613</v>
      </c>
      <c r="I1959">
        <v>1324.8723144999999</v>
      </c>
      <c r="J1959">
        <v>1322.3332519999999</v>
      </c>
      <c r="K1959">
        <v>2750</v>
      </c>
      <c r="L1959">
        <v>0</v>
      </c>
      <c r="M1959">
        <v>0</v>
      </c>
      <c r="N1959">
        <v>2750</v>
      </c>
    </row>
    <row r="1960" spans="1:14" x14ac:dyDescent="0.25">
      <c r="A1960">
        <v>1102.1353549999999</v>
      </c>
      <c r="B1960" s="1">
        <f>DATE(2013,5,7) + TIME(3,14,54)</f>
        <v>41401.135347222225</v>
      </c>
      <c r="C1960">
        <v>80</v>
      </c>
      <c r="D1960">
        <v>79.979652404999996</v>
      </c>
      <c r="E1960">
        <v>40</v>
      </c>
      <c r="F1960">
        <v>39.725730896000002</v>
      </c>
      <c r="G1960">
        <v>1340.9860839999999</v>
      </c>
      <c r="H1960">
        <v>1338.0551757999999</v>
      </c>
      <c r="I1960">
        <v>1324.8718262</v>
      </c>
      <c r="J1960">
        <v>1322.3326416</v>
      </c>
      <c r="K1960">
        <v>2750</v>
      </c>
      <c r="L1960">
        <v>0</v>
      </c>
      <c r="M1960">
        <v>0</v>
      </c>
      <c r="N1960">
        <v>2750</v>
      </c>
    </row>
    <row r="1961" spans="1:14" x14ac:dyDescent="0.25">
      <c r="A1961">
        <v>1102.3137099999999</v>
      </c>
      <c r="B1961" s="1">
        <f>DATE(2013,5,7) + TIME(7,31,44)</f>
        <v>41401.313703703701</v>
      </c>
      <c r="C1961">
        <v>80</v>
      </c>
      <c r="D1961">
        <v>79.979629517000006</v>
      </c>
      <c r="E1961">
        <v>40</v>
      </c>
      <c r="F1961">
        <v>39.719383239999999</v>
      </c>
      <c r="G1961">
        <v>1340.9785156</v>
      </c>
      <c r="H1961">
        <v>1338.0523682</v>
      </c>
      <c r="I1961">
        <v>1324.8714600000001</v>
      </c>
      <c r="J1961">
        <v>1322.3321533000001</v>
      </c>
      <c r="K1961">
        <v>2750</v>
      </c>
      <c r="L1961">
        <v>0</v>
      </c>
      <c r="M1961">
        <v>0</v>
      </c>
      <c r="N1961">
        <v>2750</v>
      </c>
    </row>
    <row r="1962" spans="1:14" x14ac:dyDescent="0.25">
      <c r="A1962">
        <v>1102.4946789999999</v>
      </c>
      <c r="B1962" s="1">
        <f>DATE(2013,5,7) + TIME(11,52,20)</f>
        <v>41401.494675925926</v>
      </c>
      <c r="C1962">
        <v>80</v>
      </c>
      <c r="D1962">
        <v>79.979614257999998</v>
      </c>
      <c r="E1962">
        <v>40</v>
      </c>
      <c r="F1962">
        <v>39.712970734000002</v>
      </c>
      <c r="G1962">
        <v>1340.9709473</v>
      </c>
      <c r="H1962">
        <v>1338.0496826000001</v>
      </c>
      <c r="I1962">
        <v>1324.8710937999999</v>
      </c>
      <c r="J1962">
        <v>1322.331543</v>
      </c>
      <c r="K1962">
        <v>2750</v>
      </c>
      <c r="L1962">
        <v>0</v>
      </c>
      <c r="M1962">
        <v>0</v>
      </c>
      <c r="N1962">
        <v>2750</v>
      </c>
    </row>
    <row r="1963" spans="1:14" x14ac:dyDescent="0.25">
      <c r="A1963">
        <v>1102.678664</v>
      </c>
      <c r="B1963" s="1">
        <f>DATE(2013,5,7) + TIME(16,17,16)</f>
        <v>41401.678657407407</v>
      </c>
      <c r="C1963">
        <v>80</v>
      </c>
      <c r="D1963">
        <v>79.979591369999994</v>
      </c>
      <c r="E1963">
        <v>40</v>
      </c>
      <c r="F1963">
        <v>39.706485747999999</v>
      </c>
      <c r="G1963">
        <v>1340.9632568</v>
      </c>
      <c r="H1963">
        <v>1338.046875</v>
      </c>
      <c r="I1963">
        <v>1324.8706055</v>
      </c>
      <c r="J1963">
        <v>1322.3309326000001</v>
      </c>
      <c r="K1963">
        <v>2750</v>
      </c>
      <c r="L1963">
        <v>0</v>
      </c>
      <c r="M1963">
        <v>0</v>
      </c>
      <c r="N1963">
        <v>2750</v>
      </c>
    </row>
    <row r="1964" spans="1:14" x14ac:dyDescent="0.25">
      <c r="A1964">
        <v>1102.8660930000001</v>
      </c>
      <c r="B1964" s="1">
        <f>DATE(2013,5,7) + TIME(20,47,10)</f>
        <v>41401.866087962961</v>
      </c>
      <c r="C1964">
        <v>80</v>
      </c>
      <c r="D1964">
        <v>79.979568481000001</v>
      </c>
      <c r="E1964">
        <v>40</v>
      </c>
      <c r="F1964">
        <v>39.699913025000001</v>
      </c>
      <c r="G1964">
        <v>1340.9555664</v>
      </c>
      <c r="H1964">
        <v>1338.0440673999999</v>
      </c>
      <c r="I1964">
        <v>1324.8701172000001</v>
      </c>
      <c r="J1964">
        <v>1322.3303223</v>
      </c>
      <c r="K1964">
        <v>2750</v>
      </c>
      <c r="L1964">
        <v>0</v>
      </c>
      <c r="M1964">
        <v>0</v>
      </c>
      <c r="N1964">
        <v>2750</v>
      </c>
    </row>
    <row r="1965" spans="1:14" x14ac:dyDescent="0.25">
      <c r="A1965">
        <v>1103.0574180000001</v>
      </c>
      <c r="B1965" s="1">
        <f>DATE(2013,5,8) + TIME(1,22,40)</f>
        <v>41402.05740740741</v>
      </c>
      <c r="C1965">
        <v>80</v>
      </c>
      <c r="D1965">
        <v>79.979537964000002</v>
      </c>
      <c r="E1965">
        <v>40</v>
      </c>
      <c r="F1965">
        <v>39.693244933999999</v>
      </c>
      <c r="G1965">
        <v>1340.947876</v>
      </c>
      <c r="H1965">
        <v>1338.0412598</v>
      </c>
      <c r="I1965">
        <v>1324.869751</v>
      </c>
      <c r="J1965">
        <v>1322.3297118999999</v>
      </c>
      <c r="K1965">
        <v>2750</v>
      </c>
      <c r="L1965">
        <v>0</v>
      </c>
      <c r="M1965">
        <v>0</v>
      </c>
      <c r="N1965">
        <v>2750</v>
      </c>
    </row>
    <row r="1966" spans="1:14" x14ac:dyDescent="0.25">
      <c r="A1966">
        <v>1103.2531309999999</v>
      </c>
      <c r="B1966" s="1">
        <f>DATE(2013,5,8) + TIME(6,4,30)</f>
        <v>41402.253125000003</v>
      </c>
      <c r="C1966">
        <v>80</v>
      </c>
      <c r="D1966">
        <v>79.979515075999998</v>
      </c>
      <c r="E1966">
        <v>40</v>
      </c>
      <c r="F1966">
        <v>39.686462401999997</v>
      </c>
      <c r="G1966">
        <v>1340.9400635</v>
      </c>
      <c r="H1966">
        <v>1338.0384521000001</v>
      </c>
      <c r="I1966">
        <v>1324.8692627</v>
      </c>
      <c r="J1966">
        <v>1322.3291016000001</v>
      </c>
      <c r="K1966">
        <v>2750</v>
      </c>
      <c r="L1966">
        <v>0</v>
      </c>
      <c r="M1966">
        <v>0</v>
      </c>
      <c r="N1966">
        <v>2750</v>
      </c>
    </row>
    <row r="1967" spans="1:14" x14ac:dyDescent="0.25">
      <c r="A1967">
        <v>1103.453761</v>
      </c>
      <c r="B1967" s="1">
        <f>DATE(2013,5,8) + TIME(10,53,24)</f>
        <v>41402.453750000001</v>
      </c>
      <c r="C1967">
        <v>80</v>
      </c>
      <c r="D1967">
        <v>79.979484557999996</v>
      </c>
      <c r="E1967">
        <v>40</v>
      </c>
      <c r="F1967">
        <v>39.679557799999998</v>
      </c>
      <c r="G1967">
        <v>1340.932251</v>
      </c>
      <c r="H1967">
        <v>1338.0356445</v>
      </c>
      <c r="I1967">
        <v>1324.8687743999999</v>
      </c>
      <c r="J1967">
        <v>1322.3283690999999</v>
      </c>
      <c r="K1967">
        <v>2750</v>
      </c>
      <c r="L1967">
        <v>0</v>
      </c>
      <c r="M1967">
        <v>0</v>
      </c>
      <c r="N1967">
        <v>2750</v>
      </c>
    </row>
    <row r="1968" spans="1:14" x14ac:dyDescent="0.25">
      <c r="A1968">
        <v>1103.659373</v>
      </c>
      <c r="B1968" s="1">
        <f>DATE(2013,5,8) + TIME(15,49,29)</f>
        <v>41402.659363425926</v>
      </c>
      <c r="C1968">
        <v>80</v>
      </c>
      <c r="D1968">
        <v>79.979454040999997</v>
      </c>
      <c r="E1968">
        <v>40</v>
      </c>
      <c r="F1968">
        <v>39.672523499</v>
      </c>
      <c r="G1968">
        <v>1340.9243164</v>
      </c>
      <c r="H1968">
        <v>1338.0327147999999</v>
      </c>
      <c r="I1968">
        <v>1324.8682861</v>
      </c>
      <c r="J1968">
        <v>1322.3277588000001</v>
      </c>
      <c r="K1968">
        <v>2750</v>
      </c>
      <c r="L1968">
        <v>0</v>
      </c>
      <c r="M1968">
        <v>0</v>
      </c>
      <c r="N1968">
        <v>2750</v>
      </c>
    </row>
    <row r="1969" spans="1:14" x14ac:dyDescent="0.25">
      <c r="A1969">
        <v>1103.868712</v>
      </c>
      <c r="B1969" s="1">
        <f>DATE(2013,5,8) + TIME(20,50,56)</f>
        <v>41402.868703703702</v>
      </c>
      <c r="C1969">
        <v>80</v>
      </c>
      <c r="D1969">
        <v>79.979423522999994</v>
      </c>
      <c r="E1969">
        <v>40</v>
      </c>
      <c r="F1969">
        <v>39.665393829000003</v>
      </c>
      <c r="G1969">
        <v>1340.9162598</v>
      </c>
      <c r="H1969">
        <v>1338.0297852000001</v>
      </c>
      <c r="I1969">
        <v>1324.8677978999999</v>
      </c>
      <c r="J1969">
        <v>1322.3270264</v>
      </c>
      <c r="K1969">
        <v>2750</v>
      </c>
      <c r="L1969">
        <v>0</v>
      </c>
      <c r="M1969">
        <v>0</v>
      </c>
      <c r="N1969">
        <v>2750</v>
      </c>
    </row>
    <row r="1970" spans="1:14" x14ac:dyDescent="0.25">
      <c r="A1970">
        <v>1104.0822800000001</v>
      </c>
      <c r="B1970" s="1">
        <f>DATE(2013,5,9) + TIME(1,58,28)</f>
        <v>41403.082268518519</v>
      </c>
      <c r="C1970">
        <v>80</v>
      </c>
      <c r="D1970">
        <v>79.979393005000006</v>
      </c>
      <c r="E1970">
        <v>40</v>
      </c>
      <c r="F1970">
        <v>39.658161163000003</v>
      </c>
      <c r="G1970">
        <v>1340.9082031</v>
      </c>
      <c r="H1970">
        <v>1338.0268555</v>
      </c>
      <c r="I1970">
        <v>1324.8673096</v>
      </c>
      <c r="J1970">
        <v>1322.3262939000001</v>
      </c>
      <c r="K1970">
        <v>2750</v>
      </c>
      <c r="L1970">
        <v>0</v>
      </c>
      <c r="M1970">
        <v>0</v>
      </c>
      <c r="N1970">
        <v>2750</v>
      </c>
    </row>
    <row r="1971" spans="1:14" x14ac:dyDescent="0.25">
      <c r="A1971">
        <v>1104.3005840000001</v>
      </c>
      <c r="B1971" s="1">
        <f>DATE(2013,5,9) + TIME(7,12,50)</f>
        <v>41403.300578703704</v>
      </c>
      <c r="C1971">
        <v>80</v>
      </c>
      <c r="D1971">
        <v>79.979354857999994</v>
      </c>
      <c r="E1971">
        <v>40</v>
      </c>
      <c r="F1971">
        <v>39.650810241999999</v>
      </c>
      <c r="G1971">
        <v>1340.9001464999999</v>
      </c>
      <c r="H1971">
        <v>1338.0240478999999</v>
      </c>
      <c r="I1971">
        <v>1324.8668213000001</v>
      </c>
      <c r="J1971">
        <v>1322.3256836</v>
      </c>
      <c r="K1971">
        <v>2750</v>
      </c>
      <c r="L1971">
        <v>0</v>
      </c>
      <c r="M1971">
        <v>0</v>
      </c>
      <c r="N1971">
        <v>2750</v>
      </c>
    </row>
    <row r="1972" spans="1:14" x14ac:dyDescent="0.25">
      <c r="A1972">
        <v>1104.524173</v>
      </c>
      <c r="B1972" s="1">
        <f>DATE(2013,5,9) + TIME(12,34,48)</f>
        <v>41403.52416666667</v>
      </c>
      <c r="C1972">
        <v>80</v>
      </c>
      <c r="D1972">
        <v>79.979324340999995</v>
      </c>
      <c r="E1972">
        <v>40</v>
      </c>
      <c r="F1972">
        <v>39.643329620000003</v>
      </c>
      <c r="G1972">
        <v>1340.8920897999999</v>
      </c>
      <c r="H1972">
        <v>1338.0211182</v>
      </c>
      <c r="I1972">
        <v>1324.8663329999999</v>
      </c>
      <c r="J1972">
        <v>1322.3248291</v>
      </c>
      <c r="K1972">
        <v>2750</v>
      </c>
      <c r="L1972">
        <v>0</v>
      </c>
      <c r="M1972">
        <v>0</v>
      </c>
      <c r="N1972">
        <v>2750</v>
      </c>
    </row>
    <row r="1973" spans="1:14" x14ac:dyDescent="0.25">
      <c r="A1973">
        <v>1104.7536439999999</v>
      </c>
      <c r="B1973" s="1">
        <f>DATE(2013,5,9) + TIME(18,5,14)</f>
        <v>41403.753634259258</v>
      </c>
      <c r="C1973">
        <v>80</v>
      </c>
      <c r="D1973">
        <v>79.979286193999997</v>
      </c>
      <c r="E1973">
        <v>40</v>
      </c>
      <c r="F1973">
        <v>39.635704040999997</v>
      </c>
      <c r="G1973">
        <v>1340.8839111</v>
      </c>
      <c r="H1973">
        <v>1338.0181885</v>
      </c>
      <c r="I1973">
        <v>1324.8657227000001</v>
      </c>
      <c r="J1973">
        <v>1322.3240966999999</v>
      </c>
      <c r="K1973">
        <v>2750</v>
      </c>
      <c r="L1973">
        <v>0</v>
      </c>
      <c r="M1973">
        <v>0</v>
      </c>
      <c r="N1973">
        <v>2750</v>
      </c>
    </row>
    <row r="1974" spans="1:14" x14ac:dyDescent="0.25">
      <c r="A1974">
        <v>1104.9896570000001</v>
      </c>
      <c r="B1974" s="1">
        <f>DATE(2013,5,9) + TIME(23,45,6)</f>
        <v>41403.989652777775</v>
      </c>
      <c r="C1974">
        <v>80</v>
      </c>
      <c r="D1974">
        <v>79.979255675999994</v>
      </c>
      <c r="E1974">
        <v>40</v>
      </c>
      <c r="F1974">
        <v>39.627914429</v>
      </c>
      <c r="G1974">
        <v>1340.8756103999999</v>
      </c>
      <c r="H1974">
        <v>1338.0152588000001</v>
      </c>
      <c r="I1974">
        <v>1324.8652344</v>
      </c>
      <c r="J1974">
        <v>1322.3233643000001</v>
      </c>
      <c r="K1974">
        <v>2750</v>
      </c>
      <c r="L1974">
        <v>0</v>
      </c>
      <c r="M1974">
        <v>0</v>
      </c>
      <c r="N1974">
        <v>2750</v>
      </c>
    </row>
    <row r="1975" spans="1:14" x14ac:dyDescent="0.25">
      <c r="A1975">
        <v>1105.2339119999999</v>
      </c>
      <c r="B1975" s="1">
        <f>DATE(2013,5,10) + TIME(5,36,50)</f>
        <v>41404.233912037038</v>
      </c>
      <c r="C1975">
        <v>80</v>
      </c>
      <c r="D1975">
        <v>79.979217528999996</v>
      </c>
      <c r="E1975">
        <v>40</v>
      </c>
      <c r="F1975">
        <v>39.619918822999999</v>
      </c>
      <c r="G1975">
        <v>1340.8673096</v>
      </c>
      <c r="H1975">
        <v>1338.0123291</v>
      </c>
      <c r="I1975">
        <v>1324.864624</v>
      </c>
      <c r="J1975">
        <v>1322.3225098</v>
      </c>
      <c r="K1975">
        <v>2750</v>
      </c>
      <c r="L1975">
        <v>0</v>
      </c>
      <c r="M1975">
        <v>0</v>
      </c>
      <c r="N1975">
        <v>2750</v>
      </c>
    </row>
    <row r="1976" spans="1:14" x14ac:dyDescent="0.25">
      <c r="A1976">
        <v>1105.488059</v>
      </c>
      <c r="B1976" s="1">
        <f>DATE(2013,5,10) + TIME(11,42,48)</f>
        <v>41404.488055555557</v>
      </c>
      <c r="C1976">
        <v>80</v>
      </c>
      <c r="D1976">
        <v>79.979179381999998</v>
      </c>
      <c r="E1976">
        <v>40</v>
      </c>
      <c r="F1976">
        <v>39.611679076999998</v>
      </c>
      <c r="G1976">
        <v>1340.8587646000001</v>
      </c>
      <c r="H1976">
        <v>1338.0092772999999</v>
      </c>
      <c r="I1976">
        <v>1324.8640137</v>
      </c>
      <c r="J1976">
        <v>1322.3216553</v>
      </c>
      <c r="K1976">
        <v>2750</v>
      </c>
      <c r="L1976">
        <v>0</v>
      </c>
      <c r="M1976">
        <v>0</v>
      </c>
      <c r="N1976">
        <v>2750</v>
      </c>
    </row>
    <row r="1977" spans="1:14" x14ac:dyDescent="0.25">
      <c r="A1977">
        <v>1105.7458569999999</v>
      </c>
      <c r="B1977" s="1">
        <f>DATE(2013,5,10) + TIME(17,54,2)</f>
        <v>41404.745856481481</v>
      </c>
      <c r="C1977">
        <v>80</v>
      </c>
      <c r="D1977">
        <v>79.979141235</v>
      </c>
      <c r="E1977">
        <v>40</v>
      </c>
      <c r="F1977">
        <v>39.603336333999998</v>
      </c>
      <c r="G1977">
        <v>1340.8502197</v>
      </c>
      <c r="H1977">
        <v>1338.0062256000001</v>
      </c>
      <c r="I1977">
        <v>1324.8634033000001</v>
      </c>
      <c r="J1977">
        <v>1322.3208007999999</v>
      </c>
      <c r="K1977">
        <v>2750</v>
      </c>
      <c r="L1977">
        <v>0</v>
      </c>
      <c r="M1977">
        <v>0</v>
      </c>
      <c r="N1977">
        <v>2750</v>
      </c>
    </row>
    <row r="1978" spans="1:14" x14ac:dyDescent="0.25">
      <c r="A1978">
        <v>1106.0079909999999</v>
      </c>
      <c r="B1978" s="1">
        <f>DATE(2013,5,11) + TIME(0,11,30)</f>
        <v>41405.007986111108</v>
      </c>
      <c r="C1978">
        <v>80</v>
      </c>
      <c r="D1978">
        <v>79.979103088000002</v>
      </c>
      <c r="E1978">
        <v>40</v>
      </c>
      <c r="F1978">
        <v>39.594886780000003</v>
      </c>
      <c r="G1978">
        <v>1340.8415527</v>
      </c>
      <c r="H1978">
        <v>1338.0032959</v>
      </c>
      <c r="I1978">
        <v>1324.862793</v>
      </c>
      <c r="J1978">
        <v>1322.3199463000001</v>
      </c>
      <c r="K1978">
        <v>2750</v>
      </c>
      <c r="L1978">
        <v>0</v>
      </c>
      <c r="M1978">
        <v>0</v>
      </c>
      <c r="N1978">
        <v>2750</v>
      </c>
    </row>
    <row r="1979" spans="1:14" x14ac:dyDescent="0.25">
      <c r="A1979">
        <v>1106.2757349999999</v>
      </c>
      <c r="B1979" s="1">
        <f>DATE(2013,5,11) + TIME(6,37,3)</f>
        <v>41405.275729166664</v>
      </c>
      <c r="C1979">
        <v>80</v>
      </c>
      <c r="D1979">
        <v>79.979064941000004</v>
      </c>
      <c r="E1979">
        <v>40</v>
      </c>
      <c r="F1979">
        <v>39.586303710999999</v>
      </c>
      <c r="G1979">
        <v>1340.8330077999999</v>
      </c>
      <c r="H1979">
        <v>1338.0002440999999</v>
      </c>
      <c r="I1979">
        <v>1324.8621826000001</v>
      </c>
      <c r="J1979">
        <v>1322.3189697</v>
      </c>
      <c r="K1979">
        <v>2750</v>
      </c>
      <c r="L1979">
        <v>0</v>
      </c>
      <c r="M1979">
        <v>0</v>
      </c>
      <c r="N1979">
        <v>2750</v>
      </c>
    </row>
    <row r="1980" spans="1:14" x14ac:dyDescent="0.25">
      <c r="A1980">
        <v>1106.5490789999999</v>
      </c>
      <c r="B1980" s="1">
        <f>DATE(2013,5,11) + TIME(13,10,40)</f>
        <v>41405.549074074072</v>
      </c>
      <c r="C1980">
        <v>80</v>
      </c>
      <c r="D1980">
        <v>79.979026794000006</v>
      </c>
      <c r="E1980">
        <v>40</v>
      </c>
      <c r="F1980">
        <v>39.577590942</v>
      </c>
      <c r="G1980">
        <v>1340.8244629000001</v>
      </c>
      <c r="H1980">
        <v>1337.9973144999999</v>
      </c>
      <c r="I1980">
        <v>1324.8614502</v>
      </c>
      <c r="J1980">
        <v>1322.3181152</v>
      </c>
      <c r="K1980">
        <v>2750</v>
      </c>
      <c r="L1980">
        <v>0</v>
      </c>
      <c r="M1980">
        <v>0</v>
      </c>
      <c r="N1980">
        <v>2750</v>
      </c>
    </row>
    <row r="1981" spans="1:14" x14ac:dyDescent="0.25">
      <c r="A1981">
        <v>1106.824433</v>
      </c>
      <c r="B1981" s="1">
        <f>DATE(2013,5,11) + TIME(19,47,10)</f>
        <v>41405.824421296296</v>
      </c>
      <c r="C1981">
        <v>80</v>
      </c>
      <c r="D1981">
        <v>79.978988646999994</v>
      </c>
      <c r="E1981">
        <v>40</v>
      </c>
      <c r="F1981">
        <v>39.568836212000001</v>
      </c>
      <c r="G1981">
        <v>1340.815918</v>
      </c>
      <c r="H1981">
        <v>1337.9943848</v>
      </c>
      <c r="I1981">
        <v>1324.8607178</v>
      </c>
      <c r="J1981">
        <v>1322.3171387</v>
      </c>
      <c r="K1981">
        <v>2750</v>
      </c>
      <c r="L1981">
        <v>0</v>
      </c>
      <c r="M1981">
        <v>0</v>
      </c>
      <c r="N1981">
        <v>2750</v>
      </c>
    </row>
    <row r="1982" spans="1:14" x14ac:dyDescent="0.25">
      <c r="A1982">
        <v>1107.1025400000001</v>
      </c>
      <c r="B1982" s="1">
        <f>DATE(2013,5,12) + TIME(2,27,39)</f>
        <v>41406.102534722224</v>
      </c>
      <c r="C1982">
        <v>80</v>
      </c>
      <c r="D1982">
        <v>79.978950499999996</v>
      </c>
      <c r="E1982">
        <v>40</v>
      </c>
      <c r="F1982">
        <v>39.560028076000002</v>
      </c>
      <c r="G1982">
        <v>1340.8074951000001</v>
      </c>
      <c r="H1982">
        <v>1337.9914550999999</v>
      </c>
      <c r="I1982">
        <v>1324.8601074000001</v>
      </c>
      <c r="J1982">
        <v>1322.3161620999999</v>
      </c>
      <c r="K1982">
        <v>2750</v>
      </c>
      <c r="L1982">
        <v>0</v>
      </c>
      <c r="M1982">
        <v>0</v>
      </c>
      <c r="N1982">
        <v>2750</v>
      </c>
    </row>
    <row r="1983" spans="1:14" x14ac:dyDescent="0.25">
      <c r="A1983">
        <v>1107.384016</v>
      </c>
      <c r="B1983" s="1">
        <f>DATE(2013,5,12) + TIME(9,12,58)</f>
        <v>41406.384004629632</v>
      </c>
      <c r="C1983">
        <v>80</v>
      </c>
      <c r="D1983">
        <v>79.978912354000002</v>
      </c>
      <c r="E1983">
        <v>40</v>
      </c>
      <c r="F1983">
        <v>39.551158905000001</v>
      </c>
      <c r="G1983">
        <v>1340.7991943</v>
      </c>
      <c r="H1983">
        <v>1337.9885254000001</v>
      </c>
      <c r="I1983">
        <v>1324.859375</v>
      </c>
      <c r="J1983">
        <v>1322.3150635</v>
      </c>
      <c r="K1983">
        <v>2750</v>
      </c>
      <c r="L1983">
        <v>0</v>
      </c>
      <c r="M1983">
        <v>0</v>
      </c>
      <c r="N1983">
        <v>2750</v>
      </c>
    </row>
    <row r="1984" spans="1:14" x14ac:dyDescent="0.25">
      <c r="A1984">
        <v>1107.669562</v>
      </c>
      <c r="B1984" s="1">
        <f>DATE(2013,5,12) + TIME(16,4,10)</f>
        <v>41406.669560185182</v>
      </c>
      <c r="C1984">
        <v>80</v>
      </c>
      <c r="D1984">
        <v>79.978874207000004</v>
      </c>
      <c r="E1984">
        <v>40</v>
      </c>
      <c r="F1984">
        <v>39.542217254999997</v>
      </c>
      <c r="G1984">
        <v>1340.7908935999999</v>
      </c>
      <c r="H1984">
        <v>1337.9857178</v>
      </c>
      <c r="I1984">
        <v>1324.8586425999999</v>
      </c>
      <c r="J1984">
        <v>1322.3140868999999</v>
      </c>
      <c r="K1984">
        <v>2750</v>
      </c>
      <c r="L1984">
        <v>0</v>
      </c>
      <c r="M1984">
        <v>0</v>
      </c>
      <c r="N1984">
        <v>2750</v>
      </c>
    </row>
    <row r="1985" spans="1:14" x14ac:dyDescent="0.25">
      <c r="A1985">
        <v>1107.959914</v>
      </c>
      <c r="B1985" s="1">
        <f>DATE(2013,5,12) + TIME(23,2,16)</f>
        <v>41406.959907407407</v>
      </c>
      <c r="C1985">
        <v>80</v>
      </c>
      <c r="D1985">
        <v>79.978836060000006</v>
      </c>
      <c r="E1985">
        <v>40</v>
      </c>
      <c r="F1985">
        <v>39.533184052000003</v>
      </c>
      <c r="G1985">
        <v>1340.7827147999999</v>
      </c>
      <c r="H1985">
        <v>1337.9829102000001</v>
      </c>
      <c r="I1985">
        <v>1324.8579102000001</v>
      </c>
      <c r="J1985">
        <v>1322.3129882999999</v>
      </c>
      <c r="K1985">
        <v>2750</v>
      </c>
      <c r="L1985">
        <v>0</v>
      </c>
      <c r="M1985">
        <v>0</v>
      </c>
      <c r="N1985">
        <v>2750</v>
      </c>
    </row>
    <row r="1986" spans="1:14" x14ac:dyDescent="0.25">
      <c r="A1986">
        <v>1108.255846</v>
      </c>
      <c r="B1986" s="1">
        <f>DATE(2013,5,13) + TIME(6,8,25)</f>
        <v>41407.255844907406</v>
      </c>
      <c r="C1986">
        <v>80</v>
      </c>
      <c r="D1986">
        <v>79.978797912999994</v>
      </c>
      <c r="E1986">
        <v>40</v>
      </c>
      <c r="F1986">
        <v>39.524051665999998</v>
      </c>
      <c r="G1986">
        <v>1340.7745361</v>
      </c>
      <c r="H1986">
        <v>1337.9802245999999</v>
      </c>
      <c r="I1986">
        <v>1324.8571777</v>
      </c>
      <c r="J1986">
        <v>1322.3120117000001</v>
      </c>
      <c r="K1986">
        <v>2750</v>
      </c>
      <c r="L1986">
        <v>0</v>
      </c>
      <c r="M1986">
        <v>0</v>
      </c>
      <c r="N1986">
        <v>2750</v>
      </c>
    </row>
    <row r="1987" spans="1:14" x14ac:dyDescent="0.25">
      <c r="A1987">
        <v>1108.557814</v>
      </c>
      <c r="B1987" s="1">
        <f>DATE(2013,5,13) + TIME(13,23,15)</f>
        <v>41407.557812500003</v>
      </c>
      <c r="C1987">
        <v>80</v>
      </c>
      <c r="D1987">
        <v>79.978759765999996</v>
      </c>
      <c r="E1987">
        <v>40</v>
      </c>
      <c r="F1987">
        <v>39.514797211000001</v>
      </c>
      <c r="G1987">
        <v>1340.7663574000001</v>
      </c>
      <c r="H1987">
        <v>1337.9774170000001</v>
      </c>
      <c r="I1987">
        <v>1324.8564452999999</v>
      </c>
      <c r="J1987">
        <v>1322.3109131000001</v>
      </c>
      <c r="K1987">
        <v>2750</v>
      </c>
      <c r="L1987">
        <v>0</v>
      </c>
      <c r="M1987">
        <v>0</v>
      </c>
      <c r="N1987">
        <v>2750</v>
      </c>
    </row>
    <row r="1988" spans="1:14" x14ac:dyDescent="0.25">
      <c r="A1988">
        <v>1108.867066</v>
      </c>
      <c r="B1988" s="1">
        <f>DATE(2013,5,13) + TIME(20,48,34)</f>
        <v>41407.867060185185</v>
      </c>
      <c r="C1988">
        <v>80</v>
      </c>
      <c r="D1988">
        <v>79.978721618999998</v>
      </c>
      <c r="E1988">
        <v>40</v>
      </c>
      <c r="F1988">
        <v>39.505401611000003</v>
      </c>
      <c r="G1988">
        <v>1340.7581786999999</v>
      </c>
      <c r="H1988">
        <v>1337.9747314000001</v>
      </c>
      <c r="I1988">
        <v>1324.8555908000001</v>
      </c>
      <c r="J1988">
        <v>1322.3098144999999</v>
      </c>
      <c r="K1988">
        <v>2750</v>
      </c>
      <c r="L1988">
        <v>0</v>
      </c>
      <c r="M1988">
        <v>0</v>
      </c>
      <c r="N1988">
        <v>2750</v>
      </c>
    </row>
    <row r="1989" spans="1:14" x14ac:dyDescent="0.25">
      <c r="A1989">
        <v>1109.185831</v>
      </c>
      <c r="B1989" s="1">
        <f>DATE(2013,5,14) + TIME(4,27,35)</f>
        <v>41408.18582175926</v>
      </c>
      <c r="C1989">
        <v>80</v>
      </c>
      <c r="D1989">
        <v>79.978683472</v>
      </c>
      <c r="E1989">
        <v>40</v>
      </c>
      <c r="F1989">
        <v>39.495815276999998</v>
      </c>
      <c r="G1989">
        <v>1340.75</v>
      </c>
      <c r="H1989">
        <v>1337.9720459</v>
      </c>
      <c r="I1989">
        <v>1324.8547363</v>
      </c>
      <c r="J1989">
        <v>1322.3085937999999</v>
      </c>
      <c r="K1989">
        <v>2750</v>
      </c>
      <c r="L1989">
        <v>0</v>
      </c>
      <c r="M1989">
        <v>0</v>
      </c>
      <c r="N1989">
        <v>2750</v>
      </c>
    </row>
    <row r="1990" spans="1:14" x14ac:dyDescent="0.25">
      <c r="A1990">
        <v>1109.5134929999999</v>
      </c>
      <c r="B1990" s="1">
        <f>DATE(2013,5,14) + TIME(12,19,25)</f>
        <v>41408.513483796298</v>
      </c>
      <c r="C1990">
        <v>80</v>
      </c>
      <c r="D1990">
        <v>79.978645325000002</v>
      </c>
      <c r="E1990">
        <v>40</v>
      </c>
      <c r="F1990">
        <v>39.486038207999997</v>
      </c>
      <c r="G1990">
        <v>1340.7418213000001</v>
      </c>
      <c r="H1990">
        <v>1337.9693603999999</v>
      </c>
      <c r="I1990">
        <v>1324.8538818</v>
      </c>
      <c r="J1990">
        <v>1322.3073730000001</v>
      </c>
      <c r="K1990">
        <v>2750</v>
      </c>
      <c r="L1990">
        <v>0</v>
      </c>
      <c r="M1990">
        <v>0</v>
      </c>
      <c r="N1990">
        <v>2750</v>
      </c>
    </row>
    <row r="1991" spans="1:14" x14ac:dyDescent="0.25">
      <c r="A1991">
        <v>1109.844597</v>
      </c>
      <c r="B1991" s="1">
        <f>DATE(2013,5,14) + TIME(20,16,13)</f>
        <v>41408.844594907408</v>
      </c>
      <c r="C1991">
        <v>80</v>
      </c>
      <c r="D1991">
        <v>79.978607178000004</v>
      </c>
      <c r="E1991">
        <v>40</v>
      </c>
      <c r="F1991">
        <v>39.476188659999998</v>
      </c>
      <c r="G1991">
        <v>1340.7335204999999</v>
      </c>
      <c r="H1991">
        <v>1337.9665527</v>
      </c>
      <c r="I1991">
        <v>1324.8530272999999</v>
      </c>
      <c r="J1991">
        <v>1322.3061522999999</v>
      </c>
      <c r="K1991">
        <v>2750</v>
      </c>
      <c r="L1991">
        <v>0</v>
      </c>
      <c r="M1991">
        <v>0</v>
      </c>
      <c r="N1991">
        <v>2750</v>
      </c>
    </row>
    <row r="1992" spans="1:14" x14ac:dyDescent="0.25">
      <c r="A1992">
        <v>1110.18002</v>
      </c>
      <c r="B1992" s="1">
        <f>DATE(2013,5,15) + TIME(4,19,13)</f>
        <v>41409.180011574077</v>
      </c>
      <c r="C1992">
        <v>80</v>
      </c>
      <c r="D1992">
        <v>79.978569031000006</v>
      </c>
      <c r="E1992">
        <v>40</v>
      </c>
      <c r="F1992">
        <v>39.466259002999998</v>
      </c>
      <c r="G1992">
        <v>1340.7253418</v>
      </c>
      <c r="H1992">
        <v>1337.9639893000001</v>
      </c>
      <c r="I1992">
        <v>1324.8521728999999</v>
      </c>
      <c r="J1992">
        <v>1322.3049315999999</v>
      </c>
      <c r="K1992">
        <v>2750</v>
      </c>
      <c r="L1992">
        <v>0</v>
      </c>
      <c r="M1992">
        <v>0</v>
      </c>
      <c r="N1992">
        <v>2750</v>
      </c>
    </row>
    <row r="1993" spans="1:14" x14ac:dyDescent="0.25">
      <c r="A1993">
        <v>1110.520436</v>
      </c>
      <c r="B1993" s="1">
        <f>DATE(2013,5,15) + TIME(12,29,25)</f>
        <v>41409.520428240743</v>
      </c>
      <c r="C1993">
        <v>80</v>
      </c>
      <c r="D1993">
        <v>79.978530883999994</v>
      </c>
      <c r="E1993">
        <v>40</v>
      </c>
      <c r="F1993">
        <v>39.456245422000002</v>
      </c>
      <c r="G1993">
        <v>1340.7171631000001</v>
      </c>
      <c r="H1993">
        <v>1337.9613036999999</v>
      </c>
      <c r="I1993">
        <v>1324.8511963000001</v>
      </c>
      <c r="J1993">
        <v>1322.3035889</v>
      </c>
      <c r="K1993">
        <v>2750</v>
      </c>
      <c r="L1993">
        <v>0</v>
      </c>
      <c r="M1993">
        <v>0</v>
      </c>
      <c r="N1993">
        <v>2750</v>
      </c>
    </row>
    <row r="1994" spans="1:14" x14ac:dyDescent="0.25">
      <c r="A1994">
        <v>1110.8666700000001</v>
      </c>
      <c r="B1994" s="1">
        <f>DATE(2013,5,15) + TIME(20,48,0)</f>
        <v>41409.866666666669</v>
      </c>
      <c r="C1994">
        <v>80</v>
      </c>
      <c r="D1994">
        <v>79.978492736999996</v>
      </c>
      <c r="E1994">
        <v>40</v>
      </c>
      <c r="F1994">
        <v>39.446128844999997</v>
      </c>
      <c r="G1994">
        <v>1340.7091064000001</v>
      </c>
      <c r="H1994">
        <v>1337.9587402</v>
      </c>
      <c r="I1994">
        <v>1324.8503418</v>
      </c>
      <c r="J1994">
        <v>1322.3022461</v>
      </c>
      <c r="K1994">
        <v>2750</v>
      </c>
      <c r="L1994">
        <v>0</v>
      </c>
      <c r="M1994">
        <v>0</v>
      </c>
      <c r="N1994">
        <v>2750</v>
      </c>
    </row>
    <row r="1995" spans="1:14" x14ac:dyDescent="0.25">
      <c r="A1995">
        <v>1111.2195919999999</v>
      </c>
      <c r="B1995" s="1">
        <f>DATE(2013,5,16) + TIME(5,16,12)</f>
        <v>41410.219583333332</v>
      </c>
      <c r="C1995">
        <v>80</v>
      </c>
      <c r="D1995">
        <v>79.978446959999999</v>
      </c>
      <c r="E1995">
        <v>40</v>
      </c>
      <c r="F1995">
        <v>39.435901641999997</v>
      </c>
      <c r="G1995">
        <v>1340.7011719</v>
      </c>
      <c r="H1995">
        <v>1337.9560547000001</v>
      </c>
      <c r="I1995">
        <v>1324.8493652</v>
      </c>
      <c r="J1995">
        <v>1322.3009033000001</v>
      </c>
      <c r="K1995">
        <v>2750</v>
      </c>
      <c r="L1995">
        <v>0</v>
      </c>
      <c r="M1995">
        <v>0</v>
      </c>
      <c r="N1995">
        <v>2750</v>
      </c>
    </row>
    <row r="1996" spans="1:14" x14ac:dyDescent="0.25">
      <c r="A1996">
        <v>1111.58014</v>
      </c>
      <c r="B1996" s="1">
        <f>DATE(2013,5,16) + TIME(13,55,24)</f>
        <v>41410.580138888887</v>
      </c>
      <c r="C1996">
        <v>80</v>
      </c>
      <c r="D1996">
        <v>79.978408813000001</v>
      </c>
      <c r="E1996">
        <v>40</v>
      </c>
      <c r="F1996">
        <v>39.425537108999997</v>
      </c>
      <c r="G1996">
        <v>1340.6931152</v>
      </c>
      <c r="H1996">
        <v>1337.9534911999999</v>
      </c>
      <c r="I1996">
        <v>1324.8483887</v>
      </c>
      <c r="J1996">
        <v>1322.2994385</v>
      </c>
      <c r="K1996">
        <v>2750</v>
      </c>
      <c r="L1996">
        <v>0</v>
      </c>
      <c r="M1996">
        <v>0</v>
      </c>
      <c r="N1996">
        <v>2750</v>
      </c>
    </row>
    <row r="1997" spans="1:14" x14ac:dyDescent="0.25">
      <c r="A1997">
        <v>1111.949425</v>
      </c>
      <c r="B1997" s="1">
        <f>DATE(2013,5,16) + TIME(22,47,10)</f>
        <v>41410.949421296296</v>
      </c>
      <c r="C1997">
        <v>80</v>
      </c>
      <c r="D1997">
        <v>79.978370666999993</v>
      </c>
      <c r="E1997">
        <v>40</v>
      </c>
      <c r="F1997">
        <v>39.415019989000001</v>
      </c>
      <c r="G1997">
        <v>1340.6851807</v>
      </c>
      <c r="H1997">
        <v>1337.9509277</v>
      </c>
      <c r="I1997">
        <v>1324.8474120999999</v>
      </c>
      <c r="J1997">
        <v>1322.2979736</v>
      </c>
      <c r="K1997">
        <v>2750</v>
      </c>
      <c r="L1997">
        <v>0</v>
      </c>
      <c r="M1997">
        <v>0</v>
      </c>
      <c r="N1997">
        <v>2750</v>
      </c>
    </row>
    <row r="1998" spans="1:14" x14ac:dyDescent="0.25">
      <c r="A1998">
        <v>1112.3301779999999</v>
      </c>
      <c r="B1998" s="1">
        <f>DATE(2013,5,17) + TIME(7,55,27)</f>
        <v>41411.33017361111</v>
      </c>
      <c r="C1998">
        <v>80</v>
      </c>
      <c r="D1998">
        <v>79.978332519999995</v>
      </c>
      <c r="E1998">
        <v>40</v>
      </c>
      <c r="F1998">
        <v>39.404293060000001</v>
      </c>
      <c r="G1998">
        <v>1340.677124</v>
      </c>
      <c r="H1998">
        <v>1337.9483643000001</v>
      </c>
      <c r="I1998">
        <v>1324.8463135</v>
      </c>
      <c r="J1998">
        <v>1322.2965088000001</v>
      </c>
      <c r="K1998">
        <v>2750</v>
      </c>
      <c r="L1998">
        <v>0</v>
      </c>
      <c r="M1998">
        <v>0</v>
      </c>
      <c r="N1998">
        <v>2750</v>
      </c>
    </row>
    <row r="1999" spans="1:14" x14ac:dyDescent="0.25">
      <c r="A1999">
        <v>1112.71712</v>
      </c>
      <c r="B1999" s="1">
        <f>DATE(2013,5,17) + TIME(17,12,39)</f>
        <v>41411.717118055552</v>
      </c>
      <c r="C1999">
        <v>80</v>
      </c>
      <c r="D1999">
        <v>79.978294372999997</v>
      </c>
      <c r="E1999">
        <v>40</v>
      </c>
      <c r="F1999">
        <v>39.393447876000003</v>
      </c>
      <c r="G1999">
        <v>1340.6690673999999</v>
      </c>
      <c r="H1999">
        <v>1337.9458007999999</v>
      </c>
      <c r="I1999">
        <v>1324.8452147999999</v>
      </c>
      <c r="J1999">
        <v>1322.2949219</v>
      </c>
      <c r="K1999">
        <v>2750</v>
      </c>
      <c r="L1999">
        <v>0</v>
      </c>
      <c r="M1999">
        <v>0</v>
      </c>
      <c r="N1999">
        <v>2750</v>
      </c>
    </row>
    <row r="2000" spans="1:14" x14ac:dyDescent="0.25">
      <c r="A2000">
        <v>1113.10637</v>
      </c>
      <c r="B2000" s="1">
        <f>DATE(2013,5,18) + TIME(2,33,10)</f>
        <v>41412.106365740743</v>
      </c>
      <c r="C2000">
        <v>80</v>
      </c>
      <c r="D2000">
        <v>79.978256225999999</v>
      </c>
      <c r="E2000">
        <v>40</v>
      </c>
      <c r="F2000">
        <v>39.382564545000001</v>
      </c>
      <c r="G2000">
        <v>1340.6610106999999</v>
      </c>
      <c r="H2000">
        <v>1337.9432373</v>
      </c>
      <c r="I2000">
        <v>1324.8441161999999</v>
      </c>
      <c r="J2000">
        <v>1322.2933350000001</v>
      </c>
      <c r="K2000">
        <v>2750</v>
      </c>
      <c r="L2000">
        <v>0</v>
      </c>
      <c r="M2000">
        <v>0</v>
      </c>
      <c r="N2000">
        <v>2750</v>
      </c>
    </row>
    <row r="2001" spans="1:14" x14ac:dyDescent="0.25">
      <c r="A2001">
        <v>1113.4992110000001</v>
      </c>
      <c r="B2001" s="1">
        <f>DATE(2013,5,18) + TIME(11,58,51)</f>
        <v>41412.499201388891</v>
      </c>
      <c r="C2001">
        <v>80</v>
      </c>
      <c r="D2001">
        <v>79.978218079000001</v>
      </c>
      <c r="E2001">
        <v>40</v>
      </c>
      <c r="F2001">
        <v>39.371639252000001</v>
      </c>
      <c r="G2001">
        <v>1340.6531981999999</v>
      </c>
      <c r="H2001">
        <v>1337.9407959</v>
      </c>
      <c r="I2001">
        <v>1324.8430175999999</v>
      </c>
      <c r="J2001">
        <v>1322.2917480000001</v>
      </c>
      <c r="K2001">
        <v>2750</v>
      </c>
      <c r="L2001">
        <v>0</v>
      </c>
      <c r="M2001">
        <v>0</v>
      </c>
      <c r="N2001">
        <v>2750</v>
      </c>
    </row>
    <row r="2002" spans="1:14" x14ac:dyDescent="0.25">
      <c r="A2002">
        <v>1113.8965989999999</v>
      </c>
      <c r="B2002" s="1">
        <f>DATE(2013,5,18) + TIME(21,31,6)</f>
        <v>41412.896597222221</v>
      </c>
      <c r="C2002">
        <v>80</v>
      </c>
      <c r="D2002">
        <v>79.978179932000003</v>
      </c>
      <c r="E2002">
        <v>40</v>
      </c>
      <c r="F2002">
        <v>39.360668181999998</v>
      </c>
      <c r="G2002">
        <v>1340.6453856999999</v>
      </c>
      <c r="H2002">
        <v>1337.9383545000001</v>
      </c>
      <c r="I2002">
        <v>1324.8417969</v>
      </c>
      <c r="J2002">
        <v>1322.2900391000001</v>
      </c>
      <c r="K2002">
        <v>2750</v>
      </c>
      <c r="L2002">
        <v>0</v>
      </c>
      <c r="M2002">
        <v>0</v>
      </c>
      <c r="N2002">
        <v>2750</v>
      </c>
    </row>
    <row r="2003" spans="1:14" x14ac:dyDescent="0.25">
      <c r="A2003">
        <v>1114.299657</v>
      </c>
      <c r="B2003" s="1">
        <f>DATE(2013,5,19) + TIME(7,11,30)</f>
        <v>41413.29965277778</v>
      </c>
      <c r="C2003">
        <v>80</v>
      </c>
      <c r="D2003">
        <v>79.978141785000005</v>
      </c>
      <c r="E2003">
        <v>40</v>
      </c>
      <c r="F2003">
        <v>39.349632262999997</v>
      </c>
      <c r="G2003">
        <v>1340.6376952999999</v>
      </c>
      <c r="H2003">
        <v>1337.9359131000001</v>
      </c>
      <c r="I2003">
        <v>1324.8406981999999</v>
      </c>
      <c r="J2003">
        <v>1322.2883300999999</v>
      </c>
      <c r="K2003">
        <v>2750</v>
      </c>
      <c r="L2003">
        <v>0</v>
      </c>
      <c r="M2003">
        <v>0</v>
      </c>
      <c r="N2003">
        <v>2750</v>
      </c>
    </row>
    <row r="2004" spans="1:14" x14ac:dyDescent="0.25">
      <c r="A2004">
        <v>1114.7095770000001</v>
      </c>
      <c r="B2004" s="1">
        <f>DATE(2013,5,19) + TIME(17,1,47)</f>
        <v>41413.70957175926</v>
      </c>
      <c r="C2004">
        <v>80</v>
      </c>
      <c r="D2004">
        <v>79.978103637999993</v>
      </c>
      <c r="E2004">
        <v>40</v>
      </c>
      <c r="F2004">
        <v>39.338512420999997</v>
      </c>
      <c r="G2004">
        <v>1340.6300048999999</v>
      </c>
      <c r="H2004">
        <v>1337.9334716999999</v>
      </c>
      <c r="I2004">
        <v>1324.8394774999999</v>
      </c>
      <c r="J2004">
        <v>1322.2866211</v>
      </c>
      <c r="K2004">
        <v>2750</v>
      </c>
      <c r="L2004">
        <v>0</v>
      </c>
      <c r="M2004">
        <v>0</v>
      </c>
      <c r="N2004">
        <v>2750</v>
      </c>
    </row>
    <row r="2005" spans="1:14" x14ac:dyDescent="0.25">
      <c r="A2005">
        <v>1115.1297520000001</v>
      </c>
      <c r="B2005" s="1">
        <f>DATE(2013,5,20) + TIME(3,6,50)</f>
        <v>41414.129745370374</v>
      </c>
      <c r="C2005">
        <v>80</v>
      </c>
      <c r="D2005">
        <v>79.978065490999995</v>
      </c>
      <c r="E2005">
        <v>40</v>
      </c>
      <c r="F2005">
        <v>39.327247620000001</v>
      </c>
      <c r="G2005">
        <v>1340.6223144999999</v>
      </c>
      <c r="H2005">
        <v>1337.9310303</v>
      </c>
      <c r="I2005">
        <v>1324.8382568</v>
      </c>
      <c r="J2005">
        <v>1322.2847899999999</v>
      </c>
      <c r="K2005">
        <v>2750</v>
      </c>
      <c r="L2005">
        <v>0</v>
      </c>
      <c r="M2005">
        <v>0</v>
      </c>
      <c r="N2005">
        <v>2750</v>
      </c>
    </row>
    <row r="2006" spans="1:14" x14ac:dyDescent="0.25">
      <c r="A2006">
        <v>1115.5635150000001</v>
      </c>
      <c r="B2006" s="1">
        <f>DATE(2013,5,20) + TIME(13,31,27)</f>
        <v>41414.563506944447</v>
      </c>
      <c r="C2006">
        <v>80</v>
      </c>
      <c r="D2006">
        <v>79.978027343999997</v>
      </c>
      <c r="E2006">
        <v>40</v>
      </c>
      <c r="F2006">
        <v>39.315769195999998</v>
      </c>
      <c r="G2006">
        <v>1340.614624</v>
      </c>
      <c r="H2006">
        <v>1337.9287108999999</v>
      </c>
      <c r="I2006">
        <v>1324.8369141000001</v>
      </c>
      <c r="J2006">
        <v>1322.2828368999999</v>
      </c>
      <c r="K2006">
        <v>2750</v>
      </c>
      <c r="L2006">
        <v>0</v>
      </c>
      <c r="M2006">
        <v>0</v>
      </c>
      <c r="N2006">
        <v>2750</v>
      </c>
    </row>
    <row r="2007" spans="1:14" x14ac:dyDescent="0.25">
      <c r="A2007">
        <v>1116.0130469999999</v>
      </c>
      <c r="B2007" s="1">
        <f>DATE(2013,5,21) + TIME(0,18,47)</f>
        <v>41415.013043981482</v>
      </c>
      <c r="C2007">
        <v>80</v>
      </c>
      <c r="D2007">
        <v>79.977989196999999</v>
      </c>
      <c r="E2007">
        <v>40</v>
      </c>
      <c r="F2007">
        <v>39.304027556999998</v>
      </c>
      <c r="G2007">
        <v>1340.6069336</v>
      </c>
      <c r="H2007">
        <v>1337.9262695</v>
      </c>
      <c r="I2007">
        <v>1324.8355713000001</v>
      </c>
      <c r="J2007">
        <v>1322.2808838000001</v>
      </c>
      <c r="K2007">
        <v>2750</v>
      </c>
      <c r="L2007">
        <v>0</v>
      </c>
      <c r="M2007">
        <v>0</v>
      </c>
      <c r="N2007">
        <v>2750</v>
      </c>
    </row>
    <row r="2008" spans="1:14" x14ac:dyDescent="0.25">
      <c r="A2008">
        <v>1116.4808680000001</v>
      </c>
      <c r="B2008" s="1">
        <f>DATE(2013,5,21) + TIME(11,32,26)</f>
        <v>41415.480856481481</v>
      </c>
      <c r="C2008">
        <v>80</v>
      </c>
      <c r="D2008">
        <v>79.977951050000001</v>
      </c>
      <c r="E2008">
        <v>40</v>
      </c>
      <c r="F2008">
        <v>39.291973114000001</v>
      </c>
      <c r="G2008">
        <v>1340.598999</v>
      </c>
      <c r="H2008">
        <v>1337.9238281</v>
      </c>
      <c r="I2008">
        <v>1324.8342285000001</v>
      </c>
      <c r="J2008">
        <v>1322.2788086</v>
      </c>
      <c r="K2008">
        <v>2750</v>
      </c>
      <c r="L2008">
        <v>0</v>
      </c>
      <c r="M2008">
        <v>0</v>
      </c>
      <c r="N2008">
        <v>2750</v>
      </c>
    </row>
    <row r="2009" spans="1:14" x14ac:dyDescent="0.25">
      <c r="A2009">
        <v>1116.9595650000001</v>
      </c>
      <c r="B2009" s="1">
        <f>DATE(2013,5,21) + TIME(23,1,46)</f>
        <v>41415.959560185183</v>
      </c>
      <c r="C2009">
        <v>80</v>
      </c>
      <c r="D2009">
        <v>79.977912903000004</v>
      </c>
      <c r="E2009">
        <v>40</v>
      </c>
      <c r="F2009">
        <v>39.279701232999997</v>
      </c>
      <c r="G2009">
        <v>1340.5910644999999</v>
      </c>
      <c r="H2009">
        <v>1337.9212646000001</v>
      </c>
      <c r="I2009">
        <v>1324.8327637</v>
      </c>
      <c r="J2009">
        <v>1322.2767334</v>
      </c>
      <c r="K2009">
        <v>2750</v>
      </c>
      <c r="L2009">
        <v>0</v>
      </c>
      <c r="M2009">
        <v>0</v>
      </c>
      <c r="N2009">
        <v>2750</v>
      </c>
    </row>
    <row r="2010" spans="1:14" x14ac:dyDescent="0.25">
      <c r="A2010">
        <v>1117.44022</v>
      </c>
      <c r="B2010" s="1">
        <f>DATE(2013,5,22) + TIME(10,33,54)</f>
        <v>41416.440208333333</v>
      </c>
      <c r="C2010">
        <v>80</v>
      </c>
      <c r="D2010">
        <v>79.977874756000006</v>
      </c>
      <c r="E2010">
        <v>40</v>
      </c>
      <c r="F2010">
        <v>39.267379761000001</v>
      </c>
      <c r="G2010">
        <v>1340.5830077999999</v>
      </c>
      <c r="H2010">
        <v>1337.9187012</v>
      </c>
      <c r="I2010">
        <v>1324.8311768000001</v>
      </c>
      <c r="J2010">
        <v>1322.2744141000001</v>
      </c>
      <c r="K2010">
        <v>2750</v>
      </c>
      <c r="L2010">
        <v>0</v>
      </c>
      <c r="M2010">
        <v>0</v>
      </c>
      <c r="N2010">
        <v>2750</v>
      </c>
    </row>
    <row r="2011" spans="1:14" x14ac:dyDescent="0.25">
      <c r="A2011">
        <v>1117.9241649999999</v>
      </c>
      <c r="B2011" s="1">
        <f>DATE(2013,5,22) + TIME(22,10,47)</f>
        <v>41416.924155092594</v>
      </c>
      <c r="C2011">
        <v>80</v>
      </c>
      <c r="D2011">
        <v>79.977836608999993</v>
      </c>
      <c r="E2011">
        <v>40</v>
      </c>
      <c r="F2011">
        <v>39.255027771000002</v>
      </c>
      <c r="G2011">
        <v>1340.5750731999999</v>
      </c>
      <c r="H2011">
        <v>1337.9162598</v>
      </c>
      <c r="I2011">
        <v>1324.8297118999999</v>
      </c>
      <c r="J2011">
        <v>1322.2720947</v>
      </c>
      <c r="K2011">
        <v>2750</v>
      </c>
      <c r="L2011">
        <v>0</v>
      </c>
      <c r="M2011">
        <v>0</v>
      </c>
      <c r="N2011">
        <v>2750</v>
      </c>
    </row>
    <row r="2012" spans="1:14" x14ac:dyDescent="0.25">
      <c r="A2012">
        <v>1118.4127390000001</v>
      </c>
      <c r="B2012" s="1">
        <f>DATE(2013,5,23) + TIME(9,54,20)</f>
        <v>41417.412731481483</v>
      </c>
      <c r="C2012">
        <v>80</v>
      </c>
      <c r="D2012">
        <v>79.977798461999996</v>
      </c>
      <c r="E2012">
        <v>40</v>
      </c>
      <c r="F2012">
        <v>39.242649077999999</v>
      </c>
      <c r="G2012">
        <v>1340.5673827999999</v>
      </c>
      <c r="H2012">
        <v>1337.9138184000001</v>
      </c>
      <c r="I2012">
        <v>1324.828125</v>
      </c>
      <c r="J2012">
        <v>1322.2697754000001</v>
      </c>
      <c r="K2012">
        <v>2750</v>
      </c>
      <c r="L2012">
        <v>0</v>
      </c>
      <c r="M2012">
        <v>0</v>
      </c>
      <c r="N2012">
        <v>2750</v>
      </c>
    </row>
    <row r="2013" spans="1:14" x14ac:dyDescent="0.25">
      <c r="A2013">
        <v>1118.907537</v>
      </c>
      <c r="B2013" s="1">
        <f>DATE(2013,5,23) + TIME(21,46,51)</f>
        <v>41417.907534722224</v>
      </c>
      <c r="C2013">
        <v>80</v>
      </c>
      <c r="D2013">
        <v>79.977760314999998</v>
      </c>
      <c r="E2013">
        <v>40</v>
      </c>
      <c r="F2013">
        <v>39.230236052999999</v>
      </c>
      <c r="G2013">
        <v>1340.5596923999999</v>
      </c>
      <c r="H2013">
        <v>1337.911499</v>
      </c>
      <c r="I2013">
        <v>1324.8264160000001</v>
      </c>
      <c r="J2013">
        <v>1322.2674560999999</v>
      </c>
      <c r="K2013">
        <v>2750</v>
      </c>
      <c r="L2013">
        <v>0</v>
      </c>
      <c r="M2013">
        <v>0</v>
      </c>
      <c r="N2013">
        <v>2750</v>
      </c>
    </row>
    <row r="2014" spans="1:14" x14ac:dyDescent="0.25">
      <c r="A2014">
        <v>1119.4097810000001</v>
      </c>
      <c r="B2014" s="1">
        <f>DATE(2013,5,24) + TIME(9,50,5)</f>
        <v>41418.409780092596</v>
      </c>
      <c r="C2014">
        <v>80</v>
      </c>
      <c r="D2014">
        <v>79.977722168</v>
      </c>
      <c r="E2014">
        <v>40</v>
      </c>
      <c r="F2014">
        <v>39.217765808000003</v>
      </c>
      <c r="G2014">
        <v>1340.5520019999999</v>
      </c>
      <c r="H2014">
        <v>1337.9090576000001</v>
      </c>
      <c r="I2014">
        <v>1324.8248291</v>
      </c>
      <c r="J2014">
        <v>1322.2648925999999</v>
      </c>
      <c r="K2014">
        <v>2750</v>
      </c>
      <c r="L2014">
        <v>0</v>
      </c>
      <c r="M2014">
        <v>0</v>
      </c>
      <c r="N2014">
        <v>2750</v>
      </c>
    </row>
    <row r="2015" spans="1:14" x14ac:dyDescent="0.25">
      <c r="A2015">
        <v>1119.9209989999999</v>
      </c>
      <c r="B2015" s="1">
        <f>DATE(2013,5,24) + TIME(22,6,14)</f>
        <v>41418.920995370368</v>
      </c>
      <c r="C2015">
        <v>80</v>
      </c>
      <c r="D2015">
        <v>79.977684021000002</v>
      </c>
      <c r="E2015">
        <v>40</v>
      </c>
      <c r="F2015">
        <v>39.205215453999998</v>
      </c>
      <c r="G2015">
        <v>1340.5444336</v>
      </c>
      <c r="H2015">
        <v>1337.9067382999999</v>
      </c>
      <c r="I2015">
        <v>1324.8231201000001</v>
      </c>
      <c r="J2015">
        <v>1322.2623291</v>
      </c>
      <c r="K2015">
        <v>2750</v>
      </c>
      <c r="L2015">
        <v>0</v>
      </c>
      <c r="M2015">
        <v>0</v>
      </c>
      <c r="N2015">
        <v>2750</v>
      </c>
    </row>
    <row r="2016" spans="1:14" x14ac:dyDescent="0.25">
      <c r="A2016">
        <v>1120.4431669999999</v>
      </c>
      <c r="B2016" s="1">
        <f>DATE(2013,5,25) + TIME(10,38,9)</f>
        <v>41419.443159722221</v>
      </c>
      <c r="C2016">
        <v>80</v>
      </c>
      <c r="D2016">
        <v>79.977645874000004</v>
      </c>
      <c r="E2016">
        <v>40</v>
      </c>
      <c r="F2016">
        <v>39.192558288999997</v>
      </c>
      <c r="G2016">
        <v>1340.5368652</v>
      </c>
      <c r="H2016">
        <v>1337.9042969</v>
      </c>
      <c r="I2016">
        <v>1324.8212891000001</v>
      </c>
      <c r="J2016">
        <v>1322.2597656</v>
      </c>
      <c r="K2016">
        <v>2750</v>
      </c>
      <c r="L2016">
        <v>0</v>
      </c>
      <c r="M2016">
        <v>0</v>
      </c>
      <c r="N2016">
        <v>2750</v>
      </c>
    </row>
    <row r="2017" spans="1:14" x14ac:dyDescent="0.25">
      <c r="A2017">
        <v>1120.978032</v>
      </c>
      <c r="B2017" s="1">
        <f>DATE(2013,5,25) + TIME(23,28,21)</f>
        <v>41419.978020833332</v>
      </c>
      <c r="C2017">
        <v>80</v>
      </c>
      <c r="D2017">
        <v>79.977607727000006</v>
      </c>
      <c r="E2017">
        <v>40</v>
      </c>
      <c r="F2017">
        <v>39.179752350000001</v>
      </c>
      <c r="G2017">
        <v>1340.5292969</v>
      </c>
      <c r="H2017">
        <v>1337.9019774999999</v>
      </c>
      <c r="I2017">
        <v>1324.8194579999999</v>
      </c>
      <c r="J2017">
        <v>1322.2569579999999</v>
      </c>
      <c r="K2017">
        <v>2750</v>
      </c>
      <c r="L2017">
        <v>0</v>
      </c>
      <c r="M2017">
        <v>0</v>
      </c>
      <c r="N2017">
        <v>2750</v>
      </c>
    </row>
    <row r="2018" spans="1:14" x14ac:dyDescent="0.25">
      <c r="A2018">
        <v>1121.5195699999999</v>
      </c>
      <c r="B2018" s="1">
        <f>DATE(2013,5,26) + TIME(12,28,10)</f>
        <v>41420.519560185188</v>
      </c>
      <c r="C2018">
        <v>80</v>
      </c>
      <c r="D2018">
        <v>79.977577209000003</v>
      </c>
      <c r="E2018">
        <v>40</v>
      </c>
      <c r="F2018">
        <v>39.166881560999997</v>
      </c>
      <c r="G2018">
        <v>1340.5217285000001</v>
      </c>
      <c r="H2018">
        <v>1337.8995361</v>
      </c>
      <c r="I2018">
        <v>1324.8176269999999</v>
      </c>
      <c r="J2018">
        <v>1322.2541504000001</v>
      </c>
      <c r="K2018">
        <v>2750</v>
      </c>
      <c r="L2018">
        <v>0</v>
      </c>
      <c r="M2018">
        <v>0</v>
      </c>
      <c r="N2018">
        <v>2750</v>
      </c>
    </row>
    <row r="2019" spans="1:14" x14ac:dyDescent="0.25">
      <c r="A2019">
        <v>1122.0686720000001</v>
      </c>
      <c r="B2019" s="1">
        <f>DATE(2013,5,27) + TIME(1,38,53)</f>
        <v>41421.068668981483</v>
      </c>
      <c r="C2019">
        <v>80</v>
      </c>
      <c r="D2019">
        <v>79.977539062000005</v>
      </c>
      <c r="E2019">
        <v>40</v>
      </c>
      <c r="F2019">
        <v>39.153953551999997</v>
      </c>
      <c r="G2019">
        <v>1340.5141602000001</v>
      </c>
      <c r="H2019">
        <v>1337.8970947</v>
      </c>
      <c r="I2019">
        <v>1324.8156738</v>
      </c>
      <c r="J2019">
        <v>1322.2512207</v>
      </c>
      <c r="K2019">
        <v>2750</v>
      </c>
      <c r="L2019">
        <v>0</v>
      </c>
      <c r="M2019">
        <v>0</v>
      </c>
      <c r="N2019">
        <v>2750</v>
      </c>
    </row>
    <row r="2020" spans="1:14" x14ac:dyDescent="0.25">
      <c r="A2020">
        <v>1122.627612</v>
      </c>
      <c r="B2020" s="1">
        <f>DATE(2013,5,27) + TIME(15,3,45)</f>
        <v>41421.627604166664</v>
      </c>
      <c r="C2020">
        <v>80</v>
      </c>
      <c r="D2020">
        <v>79.977500915999997</v>
      </c>
      <c r="E2020">
        <v>40</v>
      </c>
      <c r="F2020">
        <v>39.140945434999999</v>
      </c>
      <c r="G2020">
        <v>1340.5067139</v>
      </c>
      <c r="H2020">
        <v>1337.8947754000001</v>
      </c>
      <c r="I2020">
        <v>1324.8135986</v>
      </c>
      <c r="J2020">
        <v>1322.2481689000001</v>
      </c>
      <c r="K2020">
        <v>2750</v>
      </c>
      <c r="L2020">
        <v>0</v>
      </c>
      <c r="M2020">
        <v>0</v>
      </c>
      <c r="N2020">
        <v>2750</v>
      </c>
    </row>
    <row r="2021" spans="1:14" x14ac:dyDescent="0.25">
      <c r="A2021">
        <v>1123.2041079999999</v>
      </c>
      <c r="B2021" s="1">
        <f>DATE(2013,5,28) + TIME(4,53,54)</f>
        <v>41422.204097222224</v>
      </c>
      <c r="C2021">
        <v>80</v>
      </c>
      <c r="D2021">
        <v>79.977462768999999</v>
      </c>
      <c r="E2021">
        <v>40</v>
      </c>
      <c r="F2021">
        <v>39.127754211000003</v>
      </c>
      <c r="G2021">
        <v>1340.4992675999999</v>
      </c>
      <c r="H2021">
        <v>1337.8923339999999</v>
      </c>
      <c r="I2021">
        <v>1324.8116454999999</v>
      </c>
      <c r="J2021">
        <v>1322.2451172000001</v>
      </c>
      <c r="K2021">
        <v>2750</v>
      </c>
      <c r="L2021">
        <v>0</v>
      </c>
      <c r="M2021">
        <v>0</v>
      </c>
      <c r="N2021">
        <v>2750</v>
      </c>
    </row>
    <row r="2022" spans="1:14" x14ac:dyDescent="0.25">
      <c r="A2022">
        <v>1123.7925319999999</v>
      </c>
      <c r="B2022" s="1">
        <f>DATE(2013,5,28) + TIME(19,1,14)</f>
        <v>41422.792523148149</v>
      </c>
      <c r="C2022">
        <v>80</v>
      </c>
      <c r="D2022">
        <v>79.977432250999996</v>
      </c>
      <c r="E2022">
        <v>40</v>
      </c>
      <c r="F2022">
        <v>39.114433288999997</v>
      </c>
      <c r="G2022">
        <v>1340.4916992000001</v>
      </c>
      <c r="H2022">
        <v>1337.8898925999999</v>
      </c>
      <c r="I2022">
        <v>1324.8094481999999</v>
      </c>
      <c r="J2022">
        <v>1322.2418213000001</v>
      </c>
      <c r="K2022">
        <v>2750</v>
      </c>
      <c r="L2022">
        <v>0</v>
      </c>
      <c r="M2022">
        <v>0</v>
      </c>
      <c r="N2022">
        <v>2750</v>
      </c>
    </row>
    <row r="2023" spans="1:14" x14ac:dyDescent="0.25">
      <c r="A2023">
        <v>1124.3957250000001</v>
      </c>
      <c r="B2023" s="1">
        <f>DATE(2013,5,29) + TIME(9,29,50)</f>
        <v>41423.39571759259</v>
      </c>
      <c r="C2023">
        <v>80</v>
      </c>
      <c r="D2023">
        <v>79.977394103999998</v>
      </c>
      <c r="E2023">
        <v>40</v>
      </c>
      <c r="F2023">
        <v>39.100952147999998</v>
      </c>
      <c r="G2023">
        <v>1340.4841309000001</v>
      </c>
      <c r="H2023">
        <v>1337.8874512</v>
      </c>
      <c r="I2023">
        <v>1324.807251</v>
      </c>
      <c r="J2023">
        <v>1322.2384033000001</v>
      </c>
      <c r="K2023">
        <v>2750</v>
      </c>
      <c r="L2023">
        <v>0</v>
      </c>
      <c r="M2023">
        <v>0</v>
      </c>
      <c r="N2023">
        <v>2750</v>
      </c>
    </row>
    <row r="2024" spans="1:14" x14ac:dyDescent="0.25">
      <c r="A2024">
        <v>1125.0203449999999</v>
      </c>
      <c r="B2024" s="1">
        <f>DATE(2013,5,30) + TIME(0,29,17)</f>
        <v>41424.020335648151</v>
      </c>
      <c r="C2024">
        <v>80</v>
      </c>
      <c r="D2024">
        <v>79.977355957</v>
      </c>
      <c r="E2024">
        <v>40</v>
      </c>
      <c r="F2024">
        <v>39.087230681999998</v>
      </c>
      <c r="G2024">
        <v>1340.4764404</v>
      </c>
      <c r="H2024">
        <v>1337.8850098</v>
      </c>
      <c r="I2024">
        <v>1324.8049315999999</v>
      </c>
      <c r="J2024">
        <v>1322.2348632999999</v>
      </c>
      <c r="K2024">
        <v>2750</v>
      </c>
      <c r="L2024">
        <v>0</v>
      </c>
      <c r="M2024">
        <v>0</v>
      </c>
      <c r="N2024">
        <v>2750</v>
      </c>
    </row>
    <row r="2025" spans="1:14" x14ac:dyDescent="0.25">
      <c r="A2025">
        <v>1125.6700080000001</v>
      </c>
      <c r="B2025" s="1">
        <f>DATE(2013,5,30) + TIME(16,4,48)</f>
        <v>41424.67</v>
      </c>
      <c r="C2025">
        <v>80</v>
      </c>
      <c r="D2025">
        <v>79.977317810000002</v>
      </c>
      <c r="E2025">
        <v>40</v>
      </c>
      <c r="F2025">
        <v>39.073211669999999</v>
      </c>
      <c r="G2025">
        <v>1340.46875</v>
      </c>
      <c r="H2025">
        <v>1337.8824463000001</v>
      </c>
      <c r="I2025">
        <v>1324.8024902</v>
      </c>
      <c r="J2025">
        <v>1322.2310791</v>
      </c>
      <c r="K2025">
        <v>2750</v>
      </c>
      <c r="L2025">
        <v>0</v>
      </c>
      <c r="M2025">
        <v>0</v>
      </c>
      <c r="N2025">
        <v>2750</v>
      </c>
    </row>
    <row r="2026" spans="1:14" x14ac:dyDescent="0.25">
      <c r="A2026">
        <v>1126.3434589999999</v>
      </c>
      <c r="B2026" s="1">
        <f>DATE(2013,5,31) + TIME(8,14,34)</f>
        <v>41425.343449074076</v>
      </c>
      <c r="C2026">
        <v>80</v>
      </c>
      <c r="D2026">
        <v>79.977287292</v>
      </c>
      <c r="E2026">
        <v>40</v>
      </c>
      <c r="F2026">
        <v>39.058887482000003</v>
      </c>
      <c r="G2026">
        <v>1340.4609375</v>
      </c>
      <c r="H2026">
        <v>1337.8798827999999</v>
      </c>
      <c r="I2026">
        <v>1324.7999268000001</v>
      </c>
      <c r="J2026">
        <v>1322.2271728999999</v>
      </c>
      <c r="K2026">
        <v>2750</v>
      </c>
      <c r="L2026">
        <v>0</v>
      </c>
      <c r="M2026">
        <v>0</v>
      </c>
      <c r="N2026">
        <v>2750</v>
      </c>
    </row>
    <row r="2027" spans="1:14" x14ac:dyDescent="0.25">
      <c r="A2027">
        <v>1127</v>
      </c>
      <c r="B2027" s="1">
        <f>DATE(2013,6,1) + TIME(0,0,0)</f>
        <v>41426</v>
      </c>
      <c r="C2027">
        <v>80</v>
      </c>
      <c r="D2027">
        <v>79.977249146000005</v>
      </c>
      <c r="E2027">
        <v>40</v>
      </c>
      <c r="F2027">
        <v>39.044715881000002</v>
      </c>
      <c r="G2027">
        <v>1340.4528809000001</v>
      </c>
      <c r="H2027">
        <v>1337.8771973</v>
      </c>
      <c r="I2027">
        <v>1324.7972411999999</v>
      </c>
      <c r="J2027">
        <v>1322.2230225000001</v>
      </c>
      <c r="K2027">
        <v>2750</v>
      </c>
      <c r="L2027">
        <v>0</v>
      </c>
      <c r="M2027">
        <v>0</v>
      </c>
      <c r="N2027">
        <v>2750</v>
      </c>
    </row>
    <row r="2028" spans="1:14" x14ac:dyDescent="0.25">
      <c r="A2028">
        <v>1127.679054</v>
      </c>
      <c r="B2028" s="1">
        <f>DATE(2013,6,1) + TIME(16,17,50)</f>
        <v>41426.679050925923</v>
      </c>
      <c r="C2028">
        <v>80</v>
      </c>
      <c r="D2028">
        <v>79.977210998999993</v>
      </c>
      <c r="E2028">
        <v>40</v>
      </c>
      <c r="F2028">
        <v>39.030445098999998</v>
      </c>
      <c r="G2028">
        <v>1340.4451904</v>
      </c>
      <c r="H2028">
        <v>1337.8746338000001</v>
      </c>
      <c r="I2028">
        <v>1324.7945557</v>
      </c>
      <c r="J2028">
        <v>1322.2188721</v>
      </c>
      <c r="K2028">
        <v>2750</v>
      </c>
      <c r="L2028">
        <v>0</v>
      </c>
      <c r="M2028">
        <v>0</v>
      </c>
      <c r="N2028">
        <v>2750</v>
      </c>
    </row>
    <row r="2029" spans="1:14" x14ac:dyDescent="0.25">
      <c r="A2029">
        <v>1128.3767350000001</v>
      </c>
      <c r="B2029" s="1">
        <f>DATE(2013,6,2) + TIME(9,2,29)</f>
        <v>41427.37672453704</v>
      </c>
      <c r="C2029">
        <v>80</v>
      </c>
      <c r="D2029">
        <v>79.977172851999995</v>
      </c>
      <c r="E2029">
        <v>40</v>
      </c>
      <c r="F2029">
        <v>39.016048431000002</v>
      </c>
      <c r="G2029">
        <v>1340.4375</v>
      </c>
      <c r="H2029">
        <v>1337.8720702999999</v>
      </c>
      <c r="I2029">
        <v>1324.7917480000001</v>
      </c>
      <c r="J2029">
        <v>1322.2144774999999</v>
      </c>
      <c r="K2029">
        <v>2750</v>
      </c>
      <c r="L2029">
        <v>0</v>
      </c>
      <c r="M2029">
        <v>0</v>
      </c>
      <c r="N2029">
        <v>2750</v>
      </c>
    </row>
    <row r="2030" spans="1:14" x14ac:dyDescent="0.25">
      <c r="A2030">
        <v>1129.0813700000001</v>
      </c>
      <c r="B2030" s="1">
        <f>DATE(2013,6,3) + TIME(1,57,10)</f>
        <v>41428.081365740742</v>
      </c>
      <c r="C2030">
        <v>80</v>
      </c>
      <c r="D2030">
        <v>79.977142334000007</v>
      </c>
      <c r="E2030">
        <v>40</v>
      </c>
      <c r="F2030">
        <v>39.001632690000001</v>
      </c>
      <c r="G2030">
        <v>1340.4296875</v>
      </c>
      <c r="H2030">
        <v>1337.8693848</v>
      </c>
      <c r="I2030">
        <v>1324.7886963000001</v>
      </c>
      <c r="J2030">
        <v>1322.2099608999999</v>
      </c>
      <c r="K2030">
        <v>2750</v>
      </c>
      <c r="L2030">
        <v>0</v>
      </c>
      <c r="M2030">
        <v>0</v>
      </c>
      <c r="N2030">
        <v>2750</v>
      </c>
    </row>
    <row r="2031" spans="1:14" x14ac:dyDescent="0.25">
      <c r="A2031">
        <v>1129.796556</v>
      </c>
      <c r="B2031" s="1">
        <f>DATE(2013,6,3) + TIME(19,7,2)</f>
        <v>41428.796550925923</v>
      </c>
      <c r="C2031">
        <v>80</v>
      </c>
      <c r="D2031">
        <v>79.977104186999995</v>
      </c>
      <c r="E2031">
        <v>40</v>
      </c>
      <c r="F2031">
        <v>38.987216949</v>
      </c>
      <c r="G2031">
        <v>1340.421875</v>
      </c>
      <c r="H2031">
        <v>1337.8668213000001</v>
      </c>
      <c r="I2031">
        <v>1324.7857666</v>
      </c>
      <c r="J2031">
        <v>1322.2053223</v>
      </c>
      <c r="K2031">
        <v>2750</v>
      </c>
      <c r="L2031">
        <v>0</v>
      </c>
      <c r="M2031">
        <v>0</v>
      </c>
      <c r="N2031">
        <v>2750</v>
      </c>
    </row>
    <row r="2032" spans="1:14" x14ac:dyDescent="0.25">
      <c r="A2032">
        <v>1130.5168860000001</v>
      </c>
      <c r="B2032" s="1">
        <f>DATE(2013,6,4) + TIME(12,24,18)</f>
        <v>41429.516875000001</v>
      </c>
      <c r="C2032">
        <v>80</v>
      </c>
      <c r="D2032">
        <v>79.977073669000006</v>
      </c>
      <c r="E2032">
        <v>40</v>
      </c>
      <c r="F2032">
        <v>38.972869873</v>
      </c>
      <c r="G2032">
        <v>1340.4141846</v>
      </c>
      <c r="H2032">
        <v>1337.8641356999999</v>
      </c>
      <c r="I2032">
        <v>1324.7825928</v>
      </c>
      <c r="J2032">
        <v>1322.2004394999999</v>
      </c>
      <c r="K2032">
        <v>2750</v>
      </c>
      <c r="L2032">
        <v>0</v>
      </c>
      <c r="M2032">
        <v>0</v>
      </c>
      <c r="N2032">
        <v>2750</v>
      </c>
    </row>
    <row r="2033" spans="1:14" x14ac:dyDescent="0.25">
      <c r="A2033">
        <v>1131.2429119999999</v>
      </c>
      <c r="B2033" s="1">
        <f>DATE(2013,6,5) + TIME(5,49,47)</f>
        <v>41430.242905092593</v>
      </c>
      <c r="C2033">
        <v>80</v>
      </c>
      <c r="D2033">
        <v>79.977035521999994</v>
      </c>
      <c r="E2033">
        <v>40</v>
      </c>
      <c r="F2033">
        <v>38.958625793000003</v>
      </c>
      <c r="G2033">
        <v>1340.4066161999999</v>
      </c>
      <c r="H2033">
        <v>1337.8614502</v>
      </c>
      <c r="I2033">
        <v>1324.7795410000001</v>
      </c>
      <c r="J2033">
        <v>1322.1954346</v>
      </c>
      <c r="K2033">
        <v>2750</v>
      </c>
      <c r="L2033">
        <v>0</v>
      </c>
      <c r="M2033">
        <v>0</v>
      </c>
      <c r="N2033">
        <v>2750</v>
      </c>
    </row>
    <row r="2034" spans="1:14" x14ac:dyDescent="0.25">
      <c r="A2034">
        <v>1131.9778590000001</v>
      </c>
      <c r="B2034" s="1">
        <f>DATE(2013,6,5) + TIME(23,28,6)</f>
        <v>41430.977847222224</v>
      </c>
      <c r="C2034">
        <v>80</v>
      </c>
      <c r="D2034">
        <v>79.977005004999995</v>
      </c>
      <c r="E2034">
        <v>40</v>
      </c>
      <c r="F2034">
        <v>38.944469452</v>
      </c>
      <c r="G2034">
        <v>1340.3990478999999</v>
      </c>
      <c r="H2034">
        <v>1337.8588867000001</v>
      </c>
      <c r="I2034">
        <v>1324.7762451000001</v>
      </c>
      <c r="J2034">
        <v>1322.1904297000001</v>
      </c>
      <c r="K2034">
        <v>2750</v>
      </c>
      <c r="L2034">
        <v>0</v>
      </c>
      <c r="M2034">
        <v>0</v>
      </c>
      <c r="N2034">
        <v>2750</v>
      </c>
    </row>
    <row r="2035" spans="1:14" x14ac:dyDescent="0.25">
      <c r="A2035">
        <v>1132.7250140000001</v>
      </c>
      <c r="B2035" s="1">
        <f>DATE(2013,6,6) + TIME(17,24,1)</f>
        <v>41431.725011574075</v>
      </c>
      <c r="C2035">
        <v>80</v>
      </c>
      <c r="D2035">
        <v>79.976966857999997</v>
      </c>
      <c r="E2035">
        <v>40</v>
      </c>
      <c r="F2035">
        <v>38.930377960000001</v>
      </c>
      <c r="G2035">
        <v>1340.3916016000001</v>
      </c>
      <c r="H2035">
        <v>1337.8562012</v>
      </c>
      <c r="I2035">
        <v>1324.7729492000001</v>
      </c>
      <c r="J2035">
        <v>1322.1851807</v>
      </c>
      <c r="K2035">
        <v>2750</v>
      </c>
      <c r="L2035">
        <v>0</v>
      </c>
      <c r="M2035">
        <v>0</v>
      </c>
      <c r="N2035">
        <v>2750</v>
      </c>
    </row>
    <row r="2036" spans="1:14" x14ac:dyDescent="0.25">
      <c r="A2036">
        <v>1133.487359</v>
      </c>
      <c r="B2036" s="1">
        <f>DATE(2013,6,7) + TIME(11,41,47)</f>
        <v>41432.487349537034</v>
      </c>
      <c r="C2036">
        <v>80</v>
      </c>
      <c r="D2036">
        <v>79.976936339999995</v>
      </c>
      <c r="E2036">
        <v>40</v>
      </c>
      <c r="F2036">
        <v>38.916313170999999</v>
      </c>
      <c r="G2036">
        <v>1340.3841553</v>
      </c>
      <c r="H2036">
        <v>1337.8536377</v>
      </c>
      <c r="I2036">
        <v>1324.7695312000001</v>
      </c>
      <c r="J2036">
        <v>1322.1796875</v>
      </c>
      <c r="K2036">
        <v>2750</v>
      </c>
      <c r="L2036">
        <v>0</v>
      </c>
      <c r="M2036">
        <v>0</v>
      </c>
      <c r="N2036">
        <v>2750</v>
      </c>
    </row>
    <row r="2037" spans="1:14" x14ac:dyDescent="0.25">
      <c r="A2037">
        <v>1134.2781230000001</v>
      </c>
      <c r="B2037" s="1">
        <f>DATE(2013,6,8) + TIME(6,40,29)</f>
        <v>41433.278113425928</v>
      </c>
      <c r="C2037">
        <v>80</v>
      </c>
      <c r="D2037">
        <v>79.976905822999996</v>
      </c>
      <c r="E2037">
        <v>40</v>
      </c>
      <c r="F2037">
        <v>38.902160645000002</v>
      </c>
      <c r="G2037">
        <v>1340.3765868999999</v>
      </c>
      <c r="H2037">
        <v>1337.8509521000001</v>
      </c>
      <c r="I2037">
        <v>1324.7659911999999</v>
      </c>
      <c r="J2037">
        <v>1322.1740723</v>
      </c>
      <c r="K2037">
        <v>2750</v>
      </c>
      <c r="L2037">
        <v>0</v>
      </c>
      <c r="M2037">
        <v>0</v>
      </c>
      <c r="N2037">
        <v>2750</v>
      </c>
    </row>
    <row r="2038" spans="1:14" x14ac:dyDescent="0.25">
      <c r="A2038">
        <v>1135.095969</v>
      </c>
      <c r="B2038" s="1">
        <f>DATE(2013,6,9) + TIME(2,18,11)</f>
        <v>41434.095960648148</v>
      </c>
      <c r="C2038">
        <v>80</v>
      </c>
      <c r="D2038">
        <v>79.976875304999993</v>
      </c>
      <c r="E2038">
        <v>40</v>
      </c>
      <c r="F2038">
        <v>38.887886047000002</v>
      </c>
      <c r="G2038">
        <v>1340.3690185999999</v>
      </c>
      <c r="H2038">
        <v>1337.8482666</v>
      </c>
      <c r="I2038">
        <v>1324.762207</v>
      </c>
      <c r="J2038">
        <v>1322.1680908000001</v>
      </c>
      <c r="K2038">
        <v>2750</v>
      </c>
      <c r="L2038">
        <v>0</v>
      </c>
      <c r="M2038">
        <v>0</v>
      </c>
      <c r="N2038">
        <v>2750</v>
      </c>
    </row>
    <row r="2039" spans="1:14" x14ac:dyDescent="0.25">
      <c r="A2039">
        <v>1135.947437</v>
      </c>
      <c r="B2039" s="1">
        <f>DATE(2013,6,9) + TIME(22,44,18)</f>
        <v>41434.947430555556</v>
      </c>
      <c r="C2039">
        <v>80</v>
      </c>
      <c r="D2039">
        <v>79.976837157999995</v>
      </c>
      <c r="E2039">
        <v>40</v>
      </c>
      <c r="F2039">
        <v>38.873443604000002</v>
      </c>
      <c r="G2039">
        <v>1340.3613281</v>
      </c>
      <c r="H2039">
        <v>1337.8454589999999</v>
      </c>
      <c r="I2039">
        <v>1324.7583007999999</v>
      </c>
      <c r="J2039">
        <v>1322.1618652</v>
      </c>
      <c r="K2039">
        <v>2750</v>
      </c>
      <c r="L2039">
        <v>0</v>
      </c>
      <c r="M2039">
        <v>0</v>
      </c>
      <c r="N2039">
        <v>2750</v>
      </c>
    </row>
    <row r="2040" spans="1:14" x14ac:dyDescent="0.25">
      <c r="A2040">
        <v>1136.820201</v>
      </c>
      <c r="B2040" s="1">
        <f>DATE(2013,6,10) + TIME(19,41,5)</f>
        <v>41435.820196759261</v>
      </c>
      <c r="C2040">
        <v>80</v>
      </c>
      <c r="D2040">
        <v>79.976806640999996</v>
      </c>
      <c r="E2040">
        <v>40</v>
      </c>
      <c r="F2040">
        <v>38.858924866000002</v>
      </c>
      <c r="G2040">
        <v>1340.3533935999999</v>
      </c>
      <c r="H2040">
        <v>1337.8425293</v>
      </c>
      <c r="I2040">
        <v>1324.7542725000001</v>
      </c>
      <c r="J2040">
        <v>1322.1552733999999</v>
      </c>
      <c r="K2040">
        <v>2750</v>
      </c>
      <c r="L2040">
        <v>0</v>
      </c>
      <c r="M2040">
        <v>0</v>
      </c>
      <c r="N2040">
        <v>2750</v>
      </c>
    </row>
    <row r="2041" spans="1:14" x14ac:dyDescent="0.25">
      <c r="A2041">
        <v>1137.6970180000001</v>
      </c>
      <c r="B2041" s="1">
        <f>DATE(2013,6,11) + TIME(16,43,42)</f>
        <v>41436.697013888886</v>
      </c>
      <c r="C2041">
        <v>80</v>
      </c>
      <c r="D2041">
        <v>79.976776122999993</v>
      </c>
      <c r="E2041">
        <v>40</v>
      </c>
      <c r="F2041">
        <v>38.844539642000001</v>
      </c>
      <c r="G2041">
        <v>1340.3454589999999</v>
      </c>
      <c r="H2041">
        <v>1337.8395995999999</v>
      </c>
      <c r="I2041">
        <v>1324.75</v>
      </c>
      <c r="J2041">
        <v>1322.1484375</v>
      </c>
      <c r="K2041">
        <v>2750</v>
      </c>
      <c r="L2041">
        <v>0</v>
      </c>
      <c r="M2041">
        <v>0</v>
      </c>
      <c r="N2041">
        <v>2750</v>
      </c>
    </row>
    <row r="2042" spans="1:14" x14ac:dyDescent="0.25">
      <c r="A2042">
        <v>1138.5831350000001</v>
      </c>
      <c r="B2042" s="1">
        <f>DATE(2013,6,12) + TIME(13,59,42)</f>
        <v>41437.583124999997</v>
      </c>
      <c r="C2042">
        <v>80</v>
      </c>
      <c r="D2042">
        <v>79.976745605000005</v>
      </c>
      <c r="E2042">
        <v>40</v>
      </c>
      <c r="F2042">
        <v>38.830375670999999</v>
      </c>
      <c r="G2042">
        <v>1340.3376464999999</v>
      </c>
      <c r="H2042">
        <v>1337.8366699000001</v>
      </c>
      <c r="I2042">
        <v>1324.7456055</v>
      </c>
      <c r="J2042">
        <v>1322.1414795000001</v>
      </c>
      <c r="K2042">
        <v>2750</v>
      </c>
      <c r="L2042">
        <v>0</v>
      </c>
      <c r="M2042">
        <v>0</v>
      </c>
      <c r="N2042">
        <v>2750</v>
      </c>
    </row>
    <row r="2043" spans="1:14" x14ac:dyDescent="0.25">
      <c r="A2043">
        <v>1139.4836049999999</v>
      </c>
      <c r="B2043" s="1">
        <f>DATE(2013,6,13) + TIME(11,36,23)</f>
        <v>41438.483599537038</v>
      </c>
      <c r="C2043">
        <v>80</v>
      </c>
      <c r="D2043">
        <v>79.976707458000007</v>
      </c>
      <c r="E2043">
        <v>40</v>
      </c>
      <c r="F2043">
        <v>38.816452026</v>
      </c>
      <c r="G2043">
        <v>1340.3299560999999</v>
      </c>
      <c r="H2043">
        <v>1337.8337402</v>
      </c>
      <c r="I2043">
        <v>1324.7412108999999</v>
      </c>
      <c r="J2043">
        <v>1322.1342772999999</v>
      </c>
      <c r="K2043">
        <v>2750</v>
      </c>
      <c r="L2043">
        <v>0</v>
      </c>
      <c r="M2043">
        <v>0</v>
      </c>
      <c r="N2043">
        <v>2750</v>
      </c>
    </row>
    <row r="2044" spans="1:14" x14ac:dyDescent="0.25">
      <c r="A2044">
        <v>1140.4035690000001</v>
      </c>
      <c r="B2044" s="1">
        <f>DATE(2013,6,14) + TIME(9,41,8)</f>
        <v>41439.403564814813</v>
      </c>
      <c r="C2044">
        <v>80</v>
      </c>
      <c r="D2044">
        <v>79.976676940999994</v>
      </c>
      <c r="E2044">
        <v>40</v>
      </c>
      <c r="F2044">
        <v>38.802761078000003</v>
      </c>
      <c r="G2044">
        <v>1340.3222656</v>
      </c>
      <c r="H2044">
        <v>1337.8308105000001</v>
      </c>
      <c r="I2044">
        <v>1324.7365723</v>
      </c>
      <c r="J2044">
        <v>1322.1268310999999</v>
      </c>
      <c r="K2044">
        <v>2750</v>
      </c>
      <c r="L2044">
        <v>0</v>
      </c>
      <c r="M2044">
        <v>0</v>
      </c>
      <c r="N2044">
        <v>2750</v>
      </c>
    </row>
    <row r="2045" spans="1:14" x14ac:dyDescent="0.25">
      <c r="A2045">
        <v>1141.340543</v>
      </c>
      <c r="B2045" s="1">
        <f>DATE(2013,6,15) + TIME(8,10,22)</f>
        <v>41440.340532407405</v>
      </c>
      <c r="C2045">
        <v>80</v>
      </c>
      <c r="D2045">
        <v>79.976646423000005</v>
      </c>
      <c r="E2045">
        <v>40</v>
      </c>
      <c r="F2045">
        <v>38.789333343999999</v>
      </c>
      <c r="G2045">
        <v>1340.3144531</v>
      </c>
      <c r="H2045">
        <v>1337.8278809000001</v>
      </c>
      <c r="I2045">
        <v>1324.7318115</v>
      </c>
      <c r="J2045">
        <v>1322.1190185999999</v>
      </c>
      <c r="K2045">
        <v>2750</v>
      </c>
      <c r="L2045">
        <v>0</v>
      </c>
      <c r="M2045">
        <v>0</v>
      </c>
      <c r="N2045">
        <v>2750</v>
      </c>
    </row>
    <row r="2046" spans="1:14" x14ac:dyDescent="0.25">
      <c r="A2046">
        <v>1142.2855420000001</v>
      </c>
      <c r="B2046" s="1">
        <f>DATE(2013,6,16) + TIME(6,51,10)</f>
        <v>41441.285532407404</v>
      </c>
      <c r="C2046">
        <v>80</v>
      </c>
      <c r="D2046">
        <v>79.976623535000002</v>
      </c>
      <c r="E2046">
        <v>40</v>
      </c>
      <c r="F2046">
        <v>38.776283264</v>
      </c>
      <c r="G2046">
        <v>1340.3067627</v>
      </c>
      <c r="H2046">
        <v>1337.8248291</v>
      </c>
      <c r="I2046">
        <v>1324.7270507999999</v>
      </c>
      <c r="J2046">
        <v>1322.1110839999999</v>
      </c>
      <c r="K2046">
        <v>2750</v>
      </c>
      <c r="L2046">
        <v>0</v>
      </c>
      <c r="M2046">
        <v>0</v>
      </c>
      <c r="N2046">
        <v>2750</v>
      </c>
    </row>
    <row r="2047" spans="1:14" x14ac:dyDescent="0.25">
      <c r="A2047">
        <v>1143.243242</v>
      </c>
      <c r="B2047" s="1">
        <f>DATE(2013,6,17) + TIME(5,50,16)</f>
        <v>41442.24324074074</v>
      </c>
      <c r="C2047">
        <v>80</v>
      </c>
      <c r="D2047">
        <v>79.976593018000003</v>
      </c>
      <c r="E2047">
        <v>40</v>
      </c>
      <c r="F2047">
        <v>38.763660430999998</v>
      </c>
      <c r="G2047">
        <v>1340.2991943</v>
      </c>
      <c r="H2047">
        <v>1337.8218993999999</v>
      </c>
      <c r="I2047">
        <v>1324.7220459</v>
      </c>
      <c r="J2047">
        <v>1322.1029053</v>
      </c>
      <c r="K2047">
        <v>2750</v>
      </c>
      <c r="L2047">
        <v>0</v>
      </c>
      <c r="M2047">
        <v>0</v>
      </c>
      <c r="N2047">
        <v>2750</v>
      </c>
    </row>
    <row r="2048" spans="1:14" x14ac:dyDescent="0.25">
      <c r="A2048">
        <v>1144.218801</v>
      </c>
      <c r="B2048" s="1">
        <f>DATE(2013,6,18) + TIME(5,15,4)</f>
        <v>41443.2187962963</v>
      </c>
      <c r="C2048">
        <v>80</v>
      </c>
      <c r="D2048">
        <v>79.9765625</v>
      </c>
      <c r="E2048">
        <v>40</v>
      </c>
      <c r="F2048">
        <v>38.751491547000001</v>
      </c>
      <c r="G2048">
        <v>1340.2915039</v>
      </c>
      <c r="H2048">
        <v>1337.8188477000001</v>
      </c>
      <c r="I2048">
        <v>1324.7169189000001</v>
      </c>
      <c r="J2048">
        <v>1322.0944824000001</v>
      </c>
      <c r="K2048">
        <v>2750</v>
      </c>
      <c r="L2048">
        <v>0</v>
      </c>
      <c r="M2048">
        <v>0</v>
      </c>
      <c r="N2048">
        <v>2750</v>
      </c>
    </row>
    <row r="2049" spans="1:14" x14ac:dyDescent="0.25">
      <c r="A2049">
        <v>1145.2226539999999</v>
      </c>
      <c r="B2049" s="1">
        <f>DATE(2013,6,19) + TIME(5,20,37)</f>
        <v>41444.222650462965</v>
      </c>
      <c r="C2049">
        <v>80</v>
      </c>
      <c r="D2049">
        <v>79.976531981999997</v>
      </c>
      <c r="E2049">
        <v>40</v>
      </c>
      <c r="F2049">
        <v>38.739768982000001</v>
      </c>
      <c r="G2049">
        <v>1340.2839355000001</v>
      </c>
      <c r="H2049">
        <v>1337.815918</v>
      </c>
      <c r="I2049">
        <v>1324.7117920000001</v>
      </c>
      <c r="J2049">
        <v>1322.0858154</v>
      </c>
      <c r="K2049">
        <v>2750</v>
      </c>
      <c r="L2049">
        <v>0</v>
      </c>
      <c r="M2049">
        <v>0</v>
      </c>
      <c r="N2049">
        <v>2750</v>
      </c>
    </row>
    <row r="2050" spans="1:14" x14ac:dyDescent="0.25">
      <c r="A2050">
        <v>1146.2616800000001</v>
      </c>
      <c r="B2050" s="1">
        <f>DATE(2013,6,20) + TIME(6,16,49)</f>
        <v>41445.261678240742</v>
      </c>
      <c r="C2050">
        <v>80</v>
      </c>
      <c r="D2050">
        <v>79.976509093999994</v>
      </c>
      <c r="E2050">
        <v>40</v>
      </c>
      <c r="F2050">
        <v>38.728496552000003</v>
      </c>
      <c r="G2050">
        <v>1340.2762451000001</v>
      </c>
      <c r="H2050">
        <v>1337.8127440999999</v>
      </c>
      <c r="I2050">
        <v>1324.7064209</v>
      </c>
      <c r="J2050">
        <v>1322.0767822</v>
      </c>
      <c r="K2050">
        <v>2750</v>
      </c>
      <c r="L2050">
        <v>0</v>
      </c>
      <c r="M2050">
        <v>0</v>
      </c>
      <c r="N2050">
        <v>2750</v>
      </c>
    </row>
    <row r="2051" spans="1:14" x14ac:dyDescent="0.25">
      <c r="A2051">
        <v>1147.318336</v>
      </c>
      <c r="B2051" s="1">
        <f>DATE(2013,6,21) + TIME(7,38,24)</f>
        <v>41446.318333333336</v>
      </c>
      <c r="C2051">
        <v>80</v>
      </c>
      <c r="D2051">
        <v>79.976478576999995</v>
      </c>
      <c r="E2051">
        <v>40</v>
      </c>
      <c r="F2051">
        <v>38.717819214000002</v>
      </c>
      <c r="G2051">
        <v>1340.2684326000001</v>
      </c>
      <c r="H2051">
        <v>1337.8095702999999</v>
      </c>
      <c r="I2051">
        <v>1324.7008057</v>
      </c>
      <c r="J2051">
        <v>1322.0673827999999</v>
      </c>
      <c r="K2051">
        <v>2750</v>
      </c>
      <c r="L2051">
        <v>0</v>
      </c>
      <c r="M2051">
        <v>0</v>
      </c>
      <c r="N2051">
        <v>2750</v>
      </c>
    </row>
    <row r="2052" spans="1:14" x14ac:dyDescent="0.25">
      <c r="A2052">
        <v>1148.3944750000001</v>
      </c>
      <c r="B2052" s="1">
        <f>DATE(2013,6,22) + TIME(9,28,2)</f>
        <v>41447.394467592596</v>
      </c>
      <c r="C2052">
        <v>80</v>
      </c>
      <c r="D2052">
        <v>79.976448059000006</v>
      </c>
      <c r="E2052">
        <v>40</v>
      </c>
      <c r="F2052">
        <v>38.707881927000003</v>
      </c>
      <c r="G2052">
        <v>1340.2607422000001</v>
      </c>
      <c r="H2052">
        <v>1337.8063964999999</v>
      </c>
      <c r="I2052">
        <v>1324.6949463000001</v>
      </c>
      <c r="J2052">
        <v>1322.0576172000001</v>
      </c>
      <c r="K2052">
        <v>2750</v>
      </c>
      <c r="L2052">
        <v>0</v>
      </c>
      <c r="M2052">
        <v>0</v>
      </c>
      <c r="N2052">
        <v>2750</v>
      </c>
    </row>
    <row r="2053" spans="1:14" x14ac:dyDescent="0.25">
      <c r="A2053">
        <v>1149.489918</v>
      </c>
      <c r="B2053" s="1">
        <f>DATE(2013,6,23) + TIME(11,45,28)</f>
        <v>41448.489907407406</v>
      </c>
      <c r="C2053">
        <v>80</v>
      </c>
      <c r="D2053">
        <v>79.976425171000002</v>
      </c>
      <c r="E2053">
        <v>40</v>
      </c>
      <c r="F2053">
        <v>38.698814392000003</v>
      </c>
      <c r="G2053">
        <v>1340.2529297000001</v>
      </c>
      <c r="H2053">
        <v>1337.8032227000001</v>
      </c>
      <c r="I2053">
        <v>1324.6890868999999</v>
      </c>
      <c r="J2053">
        <v>1322.0476074000001</v>
      </c>
      <c r="K2053">
        <v>2750</v>
      </c>
      <c r="L2053">
        <v>0</v>
      </c>
      <c r="M2053">
        <v>0</v>
      </c>
      <c r="N2053">
        <v>2750</v>
      </c>
    </row>
    <row r="2054" spans="1:14" x14ac:dyDescent="0.25">
      <c r="A2054">
        <v>1150.612185</v>
      </c>
      <c r="B2054" s="1">
        <f>DATE(2013,6,24) + TIME(14,41,32)</f>
        <v>41449.612175925926</v>
      </c>
      <c r="C2054">
        <v>80</v>
      </c>
      <c r="D2054">
        <v>79.976394653</v>
      </c>
      <c r="E2054">
        <v>40</v>
      </c>
      <c r="F2054">
        <v>38.690746306999998</v>
      </c>
      <c r="G2054">
        <v>1340.2451172000001</v>
      </c>
      <c r="H2054">
        <v>1337.7999268000001</v>
      </c>
      <c r="I2054">
        <v>1324.6831055</v>
      </c>
      <c r="J2054">
        <v>1322.0372314000001</v>
      </c>
      <c r="K2054">
        <v>2750</v>
      </c>
      <c r="L2054">
        <v>0</v>
      </c>
      <c r="M2054">
        <v>0</v>
      </c>
      <c r="N2054">
        <v>2750</v>
      </c>
    </row>
    <row r="2055" spans="1:14" x14ac:dyDescent="0.25">
      <c r="A2055">
        <v>1151.766492</v>
      </c>
      <c r="B2055" s="1">
        <f>DATE(2013,6,25) + TIME(18,23,44)</f>
        <v>41450.766481481478</v>
      </c>
      <c r="C2055">
        <v>80</v>
      </c>
      <c r="D2055">
        <v>79.976371764999996</v>
      </c>
      <c r="E2055">
        <v>40</v>
      </c>
      <c r="F2055">
        <v>38.683807373</v>
      </c>
      <c r="G2055">
        <v>1340.2373047000001</v>
      </c>
      <c r="H2055">
        <v>1337.7966309000001</v>
      </c>
      <c r="I2055">
        <v>1324.6768798999999</v>
      </c>
      <c r="J2055">
        <v>1322.0266113</v>
      </c>
      <c r="K2055">
        <v>2750</v>
      </c>
      <c r="L2055">
        <v>0</v>
      </c>
      <c r="M2055">
        <v>0</v>
      </c>
      <c r="N2055">
        <v>2750</v>
      </c>
    </row>
    <row r="2056" spans="1:14" x14ac:dyDescent="0.25">
      <c r="A2056">
        <v>1152.953242</v>
      </c>
      <c r="B2056" s="1">
        <f>DATE(2013,6,26) + TIME(22,52,40)</f>
        <v>41451.953240740739</v>
      </c>
      <c r="C2056">
        <v>80</v>
      </c>
      <c r="D2056">
        <v>79.976348877000007</v>
      </c>
      <c r="E2056">
        <v>40</v>
      </c>
      <c r="F2056">
        <v>38.678173065000003</v>
      </c>
      <c r="G2056">
        <v>1340.2293701000001</v>
      </c>
      <c r="H2056">
        <v>1337.7932129000001</v>
      </c>
      <c r="I2056">
        <v>1324.6704102000001</v>
      </c>
      <c r="J2056">
        <v>1322.0155029</v>
      </c>
      <c r="K2056">
        <v>2750</v>
      </c>
      <c r="L2056">
        <v>0</v>
      </c>
      <c r="M2056">
        <v>0</v>
      </c>
      <c r="N2056">
        <v>2750</v>
      </c>
    </row>
    <row r="2057" spans="1:14" x14ac:dyDescent="0.25">
      <c r="A2057">
        <v>1154.1758380000001</v>
      </c>
      <c r="B2057" s="1">
        <f>DATE(2013,6,28) + TIME(4,13,12)</f>
        <v>41453.175833333335</v>
      </c>
      <c r="C2057">
        <v>80</v>
      </c>
      <c r="D2057">
        <v>79.976318359000004</v>
      </c>
      <c r="E2057">
        <v>40</v>
      </c>
      <c r="F2057">
        <v>38.674060822000001</v>
      </c>
      <c r="G2057">
        <v>1340.2213135</v>
      </c>
      <c r="H2057">
        <v>1337.7896728999999</v>
      </c>
      <c r="I2057">
        <v>1324.6638184000001</v>
      </c>
      <c r="J2057">
        <v>1322.0040283000001</v>
      </c>
      <c r="K2057">
        <v>2750</v>
      </c>
      <c r="L2057">
        <v>0</v>
      </c>
      <c r="M2057">
        <v>0</v>
      </c>
      <c r="N2057">
        <v>2750</v>
      </c>
    </row>
    <row r="2058" spans="1:14" x14ac:dyDescent="0.25">
      <c r="A2058">
        <v>1155.413994</v>
      </c>
      <c r="B2058" s="1">
        <f>DATE(2013,6,29) + TIME(9,56,9)</f>
        <v>41454.413993055554</v>
      </c>
      <c r="C2058">
        <v>80</v>
      </c>
      <c r="D2058">
        <v>79.976295471</v>
      </c>
      <c r="E2058">
        <v>40</v>
      </c>
      <c r="F2058">
        <v>38.671756744</v>
      </c>
      <c r="G2058">
        <v>1340.2132568</v>
      </c>
      <c r="H2058">
        <v>1337.7862548999999</v>
      </c>
      <c r="I2058">
        <v>1324.6571045000001</v>
      </c>
      <c r="J2058">
        <v>1321.9921875</v>
      </c>
      <c r="K2058">
        <v>2750</v>
      </c>
      <c r="L2058">
        <v>0</v>
      </c>
      <c r="M2058">
        <v>0</v>
      </c>
      <c r="N2058">
        <v>2750</v>
      </c>
    </row>
    <row r="2059" spans="1:14" x14ac:dyDescent="0.25">
      <c r="A2059">
        <v>1156.669298</v>
      </c>
      <c r="B2059" s="1">
        <f>DATE(2013,6,30) + TIME(16,3,47)</f>
        <v>41455.669293981482</v>
      </c>
      <c r="C2059">
        <v>80</v>
      </c>
      <c r="D2059">
        <v>79.976272582999997</v>
      </c>
      <c r="E2059">
        <v>40</v>
      </c>
      <c r="F2059">
        <v>38.671531676999997</v>
      </c>
      <c r="G2059">
        <v>1340.2052002</v>
      </c>
      <c r="H2059">
        <v>1337.7827147999999</v>
      </c>
      <c r="I2059">
        <v>1324.6502685999999</v>
      </c>
      <c r="J2059">
        <v>1321.9801024999999</v>
      </c>
      <c r="K2059">
        <v>2750</v>
      </c>
      <c r="L2059">
        <v>0</v>
      </c>
      <c r="M2059">
        <v>0</v>
      </c>
      <c r="N2059">
        <v>2750</v>
      </c>
    </row>
    <row r="2060" spans="1:14" x14ac:dyDescent="0.25">
      <c r="A2060">
        <v>1157</v>
      </c>
      <c r="B2060" s="1">
        <f>DATE(2013,7,1) + TIME(0,0,0)</f>
        <v>41456</v>
      </c>
      <c r="C2060">
        <v>80</v>
      </c>
      <c r="D2060">
        <v>79.976249695000007</v>
      </c>
      <c r="E2060">
        <v>40</v>
      </c>
      <c r="F2060">
        <v>38.672576904000003</v>
      </c>
      <c r="G2060">
        <v>1340.1972656</v>
      </c>
      <c r="H2060">
        <v>1337.7791748</v>
      </c>
      <c r="I2060">
        <v>1324.6445312000001</v>
      </c>
      <c r="J2060">
        <v>1321.9696045000001</v>
      </c>
      <c r="K2060">
        <v>2750</v>
      </c>
      <c r="L2060">
        <v>0</v>
      </c>
      <c r="M2060">
        <v>0</v>
      </c>
      <c r="N2060">
        <v>2750</v>
      </c>
    </row>
    <row r="2061" spans="1:14" x14ac:dyDescent="0.25">
      <c r="A2061">
        <v>1158.2731610000001</v>
      </c>
      <c r="B2061" s="1">
        <f>DATE(2013,7,2) + TIME(6,33,21)</f>
        <v>41457.273159722223</v>
      </c>
      <c r="C2061">
        <v>80</v>
      </c>
      <c r="D2061">
        <v>79.976242064999994</v>
      </c>
      <c r="E2061">
        <v>40</v>
      </c>
      <c r="F2061">
        <v>38.675094604000002</v>
      </c>
      <c r="G2061">
        <v>1340.1951904</v>
      </c>
      <c r="H2061">
        <v>1337.7781981999999</v>
      </c>
      <c r="I2061">
        <v>1324.6408690999999</v>
      </c>
      <c r="J2061">
        <v>1321.963501</v>
      </c>
      <c r="K2061">
        <v>2750</v>
      </c>
      <c r="L2061">
        <v>0</v>
      </c>
      <c r="M2061">
        <v>0</v>
      </c>
      <c r="N2061">
        <v>2750</v>
      </c>
    </row>
    <row r="2062" spans="1:14" x14ac:dyDescent="0.25">
      <c r="A2062">
        <v>1159.569454</v>
      </c>
      <c r="B2062" s="1">
        <f>DATE(2013,7,3) + TIME(13,40,0)</f>
        <v>41458.569444444445</v>
      </c>
      <c r="C2062">
        <v>80</v>
      </c>
      <c r="D2062">
        <v>79.976219177000004</v>
      </c>
      <c r="E2062">
        <v>40</v>
      </c>
      <c r="F2062">
        <v>38.680553435999997</v>
      </c>
      <c r="G2062">
        <v>1340.1873779</v>
      </c>
      <c r="H2062">
        <v>1337.7746582</v>
      </c>
      <c r="I2062">
        <v>1324.6342772999999</v>
      </c>
      <c r="J2062">
        <v>1321.9514160000001</v>
      </c>
      <c r="K2062">
        <v>2750</v>
      </c>
      <c r="L2062">
        <v>0</v>
      </c>
      <c r="M2062">
        <v>0</v>
      </c>
      <c r="N2062">
        <v>2750</v>
      </c>
    </row>
    <row r="2063" spans="1:14" x14ac:dyDescent="0.25">
      <c r="A2063">
        <v>1160.8922909999999</v>
      </c>
      <c r="B2063" s="1">
        <f>DATE(2013,7,4) + TIME(21,24,53)</f>
        <v>41459.892280092594</v>
      </c>
      <c r="C2063">
        <v>80</v>
      </c>
      <c r="D2063">
        <v>79.976196289000001</v>
      </c>
      <c r="E2063">
        <v>40</v>
      </c>
      <c r="F2063">
        <v>38.689212799000003</v>
      </c>
      <c r="G2063">
        <v>1340.1794434000001</v>
      </c>
      <c r="H2063">
        <v>1337.7711182</v>
      </c>
      <c r="I2063">
        <v>1324.6273193</v>
      </c>
      <c r="J2063">
        <v>1321.9387207</v>
      </c>
      <c r="K2063">
        <v>2750</v>
      </c>
      <c r="L2063">
        <v>0</v>
      </c>
      <c r="M2063">
        <v>0</v>
      </c>
      <c r="N2063">
        <v>2750</v>
      </c>
    </row>
    <row r="2064" spans="1:14" x14ac:dyDescent="0.25">
      <c r="A2064">
        <v>1162.251604</v>
      </c>
      <c r="B2064" s="1">
        <f>DATE(2013,7,6) + TIME(6,2,18)</f>
        <v>41461.251597222225</v>
      </c>
      <c r="C2064">
        <v>80</v>
      </c>
      <c r="D2064">
        <v>79.976173400999997</v>
      </c>
      <c r="E2064">
        <v>40</v>
      </c>
      <c r="F2064">
        <v>38.701503754000001</v>
      </c>
      <c r="G2064">
        <v>1340.1715088000001</v>
      </c>
      <c r="H2064">
        <v>1337.7674560999999</v>
      </c>
      <c r="I2064">
        <v>1324.6202393000001</v>
      </c>
      <c r="J2064">
        <v>1321.9256591999999</v>
      </c>
      <c r="K2064">
        <v>2750</v>
      </c>
      <c r="L2064">
        <v>0</v>
      </c>
      <c r="M2064">
        <v>0</v>
      </c>
      <c r="N2064">
        <v>2750</v>
      </c>
    </row>
    <row r="2065" spans="1:14" x14ac:dyDescent="0.25">
      <c r="A2065">
        <v>1163.6443609999999</v>
      </c>
      <c r="B2065" s="1">
        <f>DATE(2013,7,7) + TIME(15,27,52)</f>
        <v>41462.64435185185</v>
      </c>
      <c r="C2065">
        <v>80</v>
      </c>
      <c r="D2065">
        <v>79.976158142000003</v>
      </c>
      <c r="E2065">
        <v>40</v>
      </c>
      <c r="F2065">
        <v>38.717975615999997</v>
      </c>
      <c r="G2065">
        <v>1340.1635742000001</v>
      </c>
      <c r="H2065">
        <v>1337.7637939000001</v>
      </c>
      <c r="I2065">
        <v>1324.6129149999999</v>
      </c>
      <c r="J2065">
        <v>1321.9122314000001</v>
      </c>
      <c r="K2065">
        <v>2750</v>
      </c>
      <c r="L2065">
        <v>0</v>
      </c>
      <c r="M2065">
        <v>0</v>
      </c>
      <c r="N2065">
        <v>2750</v>
      </c>
    </row>
    <row r="2066" spans="1:14" x14ac:dyDescent="0.25">
      <c r="A2066">
        <v>1165.0823949999999</v>
      </c>
      <c r="B2066" s="1">
        <f>DATE(2013,7,9) + TIME(1,58,38)</f>
        <v>41464.082384259258</v>
      </c>
      <c r="C2066">
        <v>80</v>
      </c>
      <c r="D2066">
        <v>79.976135253999999</v>
      </c>
      <c r="E2066">
        <v>40</v>
      </c>
      <c r="F2066">
        <v>38.739307404000002</v>
      </c>
      <c r="G2066">
        <v>1340.1556396000001</v>
      </c>
      <c r="H2066">
        <v>1337.7600098</v>
      </c>
      <c r="I2066">
        <v>1324.6055908000001</v>
      </c>
      <c r="J2066">
        <v>1321.8984375</v>
      </c>
      <c r="K2066">
        <v>2750</v>
      </c>
      <c r="L2066">
        <v>0</v>
      </c>
      <c r="M2066">
        <v>0</v>
      </c>
      <c r="N2066">
        <v>2750</v>
      </c>
    </row>
    <row r="2067" spans="1:14" x14ac:dyDescent="0.25">
      <c r="A2067">
        <v>1166.588454</v>
      </c>
      <c r="B2067" s="1">
        <f>DATE(2013,7,10) + TIME(14,7,22)</f>
        <v>41465.588449074072</v>
      </c>
      <c r="C2067">
        <v>80</v>
      </c>
      <c r="D2067">
        <v>79.976119995000005</v>
      </c>
      <c r="E2067">
        <v>40</v>
      </c>
      <c r="F2067">
        <v>38.766506194999998</v>
      </c>
      <c r="G2067">
        <v>1340.1474608999999</v>
      </c>
      <c r="H2067">
        <v>1337.7562256000001</v>
      </c>
      <c r="I2067">
        <v>1324.5981445</v>
      </c>
      <c r="J2067">
        <v>1321.8841553</v>
      </c>
      <c r="K2067">
        <v>2750</v>
      </c>
      <c r="L2067">
        <v>0</v>
      </c>
      <c r="M2067">
        <v>0</v>
      </c>
      <c r="N2067">
        <v>2750</v>
      </c>
    </row>
    <row r="2068" spans="1:14" x14ac:dyDescent="0.25">
      <c r="A2068">
        <v>1168.126305</v>
      </c>
      <c r="B2068" s="1">
        <f>DATE(2013,7,12) + TIME(3,1,52)</f>
        <v>41467.126296296294</v>
      </c>
      <c r="C2068">
        <v>80</v>
      </c>
      <c r="D2068">
        <v>79.976097107000001</v>
      </c>
      <c r="E2068">
        <v>40</v>
      </c>
      <c r="F2068">
        <v>38.800621032999999</v>
      </c>
      <c r="G2068">
        <v>1340.1391602000001</v>
      </c>
      <c r="H2068">
        <v>1337.7521973</v>
      </c>
      <c r="I2068">
        <v>1324.5905762</v>
      </c>
      <c r="J2068">
        <v>1321.8695068</v>
      </c>
      <c r="K2068">
        <v>2750</v>
      </c>
      <c r="L2068">
        <v>0</v>
      </c>
      <c r="M2068">
        <v>0</v>
      </c>
      <c r="N2068">
        <v>2750</v>
      </c>
    </row>
    <row r="2069" spans="1:14" x14ac:dyDescent="0.25">
      <c r="A2069">
        <v>1168.91246</v>
      </c>
      <c r="B2069" s="1">
        <f>DATE(2013,7,12) + TIME(21,53,56)</f>
        <v>41467.912453703706</v>
      </c>
      <c r="C2069">
        <v>80</v>
      </c>
      <c r="D2069">
        <v>79.976074218999997</v>
      </c>
      <c r="E2069">
        <v>40</v>
      </c>
      <c r="F2069">
        <v>38.832469940000003</v>
      </c>
      <c r="G2069">
        <v>1340.1308594</v>
      </c>
      <c r="H2069">
        <v>1337.7481689000001</v>
      </c>
      <c r="I2069">
        <v>1324.5839844</v>
      </c>
      <c r="J2069">
        <v>1321.8558350000001</v>
      </c>
      <c r="K2069">
        <v>2750</v>
      </c>
      <c r="L2069">
        <v>0</v>
      </c>
      <c r="M2069">
        <v>0</v>
      </c>
      <c r="N2069">
        <v>2750</v>
      </c>
    </row>
    <row r="2070" spans="1:14" x14ac:dyDescent="0.25">
      <c r="A2070">
        <v>1170.3833999999999</v>
      </c>
      <c r="B2070" s="1">
        <f>DATE(2013,7,14) + TIME(9,12,5)</f>
        <v>41469.383391203701</v>
      </c>
      <c r="C2070">
        <v>80</v>
      </c>
      <c r="D2070">
        <v>79.976066588999998</v>
      </c>
      <c r="E2070">
        <v>40</v>
      </c>
      <c r="F2070">
        <v>38.870326996000003</v>
      </c>
      <c r="G2070">
        <v>1340.1267089999999</v>
      </c>
      <c r="H2070">
        <v>1337.7462158000001</v>
      </c>
      <c r="I2070">
        <v>1324.5784911999999</v>
      </c>
      <c r="J2070">
        <v>1321.8459473</v>
      </c>
      <c r="K2070">
        <v>2750</v>
      </c>
      <c r="L2070">
        <v>0</v>
      </c>
      <c r="M2070">
        <v>0</v>
      </c>
      <c r="N2070">
        <v>2750</v>
      </c>
    </row>
    <row r="2071" spans="1:14" x14ac:dyDescent="0.25">
      <c r="A2071">
        <v>1171.9343200000001</v>
      </c>
      <c r="B2071" s="1">
        <f>DATE(2013,7,15) + TIME(22,25,25)</f>
        <v>41470.934317129628</v>
      </c>
      <c r="C2071">
        <v>80</v>
      </c>
      <c r="D2071">
        <v>79.976051330999994</v>
      </c>
      <c r="E2071">
        <v>40</v>
      </c>
      <c r="F2071">
        <v>38.920631409000002</v>
      </c>
      <c r="G2071">
        <v>1340.1190185999999</v>
      </c>
      <c r="H2071">
        <v>1337.7424315999999</v>
      </c>
      <c r="I2071">
        <v>1324.5718993999999</v>
      </c>
      <c r="J2071">
        <v>1321.8325195</v>
      </c>
      <c r="K2071">
        <v>2750</v>
      </c>
      <c r="L2071">
        <v>0</v>
      </c>
      <c r="M2071">
        <v>0</v>
      </c>
      <c r="N2071">
        <v>2750</v>
      </c>
    </row>
    <row r="2072" spans="1:14" x14ac:dyDescent="0.25">
      <c r="A2072">
        <v>1173.507895</v>
      </c>
      <c r="B2072" s="1">
        <f>DATE(2013,7,17) + TIME(12,11,22)</f>
        <v>41472.507893518516</v>
      </c>
      <c r="C2072">
        <v>80</v>
      </c>
      <c r="D2072">
        <v>79.976036071999999</v>
      </c>
      <c r="E2072">
        <v>40</v>
      </c>
      <c r="F2072">
        <v>38.982669829999999</v>
      </c>
      <c r="G2072">
        <v>1340.1109618999999</v>
      </c>
      <c r="H2072">
        <v>1337.7385254000001</v>
      </c>
      <c r="I2072">
        <v>1324.5649414</v>
      </c>
      <c r="J2072">
        <v>1321.8183594</v>
      </c>
      <c r="K2072">
        <v>2750</v>
      </c>
      <c r="L2072">
        <v>0</v>
      </c>
      <c r="M2072">
        <v>0</v>
      </c>
      <c r="N2072">
        <v>2750</v>
      </c>
    </row>
    <row r="2073" spans="1:14" x14ac:dyDescent="0.25">
      <c r="A2073">
        <v>1174.301772</v>
      </c>
      <c r="B2073" s="1">
        <f>DATE(2013,7,18) + TIME(7,14,33)</f>
        <v>41473.301770833335</v>
      </c>
      <c r="C2073">
        <v>80</v>
      </c>
      <c r="D2073">
        <v>79.976013183999996</v>
      </c>
      <c r="E2073">
        <v>40</v>
      </c>
      <c r="F2073">
        <v>39.038833617999998</v>
      </c>
      <c r="G2073">
        <v>1340.1030272999999</v>
      </c>
      <c r="H2073">
        <v>1337.7344971</v>
      </c>
      <c r="I2073">
        <v>1324.5594481999999</v>
      </c>
      <c r="J2073">
        <v>1321.8051757999999</v>
      </c>
      <c r="K2073">
        <v>2750</v>
      </c>
      <c r="L2073">
        <v>0</v>
      </c>
      <c r="M2073">
        <v>0</v>
      </c>
      <c r="N2073">
        <v>2750</v>
      </c>
    </row>
    <row r="2074" spans="1:14" x14ac:dyDescent="0.25">
      <c r="A2074">
        <v>1175.7745219999999</v>
      </c>
      <c r="B2074" s="1">
        <f>DATE(2013,7,19) + TIME(18,35,18)</f>
        <v>41474.774513888886</v>
      </c>
      <c r="C2074">
        <v>80</v>
      </c>
      <c r="D2074">
        <v>79.976005553999997</v>
      </c>
      <c r="E2074">
        <v>40</v>
      </c>
      <c r="F2074">
        <v>39.103454589999998</v>
      </c>
      <c r="G2074">
        <v>1340.0991211</v>
      </c>
      <c r="H2074">
        <v>1337.7325439000001</v>
      </c>
      <c r="I2074">
        <v>1324.5540771000001</v>
      </c>
      <c r="J2074">
        <v>1321.7958983999999</v>
      </c>
      <c r="K2074">
        <v>2750</v>
      </c>
      <c r="L2074">
        <v>0</v>
      </c>
      <c r="M2074">
        <v>0</v>
      </c>
      <c r="N2074">
        <v>2750</v>
      </c>
    </row>
    <row r="2075" spans="1:14" x14ac:dyDescent="0.25">
      <c r="A2075">
        <v>1177.3243990000001</v>
      </c>
      <c r="B2075" s="1">
        <f>DATE(2013,7,21) + TIME(7,47,8)</f>
        <v>41476.32439814815</v>
      </c>
      <c r="C2075">
        <v>80</v>
      </c>
      <c r="D2075">
        <v>79.975997925000001</v>
      </c>
      <c r="E2075">
        <v>40</v>
      </c>
      <c r="F2075">
        <v>39.186775208</v>
      </c>
      <c r="G2075">
        <v>1340.0919189000001</v>
      </c>
      <c r="H2075">
        <v>1337.7288818</v>
      </c>
      <c r="I2075">
        <v>1324.5484618999999</v>
      </c>
      <c r="J2075">
        <v>1321.7833252</v>
      </c>
      <c r="K2075">
        <v>2750</v>
      </c>
      <c r="L2075">
        <v>0</v>
      </c>
      <c r="M2075">
        <v>0</v>
      </c>
      <c r="N2075">
        <v>2750</v>
      </c>
    </row>
    <row r="2076" spans="1:14" x14ac:dyDescent="0.25">
      <c r="A2076">
        <v>1178.8907610000001</v>
      </c>
      <c r="B2076" s="1">
        <f>DATE(2013,7,22) + TIME(21,22,41)</f>
        <v>41477.890752314815</v>
      </c>
      <c r="C2076">
        <v>80</v>
      </c>
      <c r="D2076">
        <v>79.975982665999993</v>
      </c>
      <c r="E2076">
        <v>40</v>
      </c>
      <c r="F2076">
        <v>39.286933898999997</v>
      </c>
      <c r="G2076">
        <v>1340.0843506000001</v>
      </c>
      <c r="H2076">
        <v>1337.7250977000001</v>
      </c>
      <c r="I2076">
        <v>1324.5428466999999</v>
      </c>
      <c r="J2076">
        <v>1321.7703856999999</v>
      </c>
      <c r="K2076">
        <v>2750</v>
      </c>
      <c r="L2076">
        <v>0</v>
      </c>
      <c r="M2076">
        <v>0</v>
      </c>
      <c r="N2076">
        <v>2750</v>
      </c>
    </row>
    <row r="2077" spans="1:14" x14ac:dyDescent="0.25">
      <c r="A2077">
        <v>1179.68631</v>
      </c>
      <c r="B2077" s="1">
        <f>DATE(2013,7,23) + TIME(16,28,17)</f>
        <v>41478.686307870368</v>
      </c>
      <c r="C2077">
        <v>80</v>
      </c>
      <c r="D2077">
        <v>79.975967406999999</v>
      </c>
      <c r="E2077">
        <v>40</v>
      </c>
      <c r="F2077">
        <v>39.376026154000002</v>
      </c>
      <c r="G2077">
        <v>1340.0766602000001</v>
      </c>
      <c r="H2077">
        <v>1337.7210693</v>
      </c>
      <c r="I2077">
        <v>1324.5386963000001</v>
      </c>
      <c r="J2077">
        <v>1321.7586670000001</v>
      </c>
      <c r="K2077">
        <v>2750</v>
      </c>
      <c r="L2077">
        <v>0</v>
      </c>
      <c r="M2077">
        <v>0</v>
      </c>
      <c r="N2077">
        <v>2750</v>
      </c>
    </row>
    <row r="2078" spans="1:14" x14ac:dyDescent="0.25">
      <c r="A2078">
        <v>1181.153327</v>
      </c>
      <c r="B2078" s="1">
        <f>DATE(2013,7,25) + TIME(3,40,47)</f>
        <v>41480.153321759259</v>
      </c>
      <c r="C2078">
        <v>80</v>
      </c>
      <c r="D2078">
        <v>79.975959778000004</v>
      </c>
      <c r="E2078">
        <v>40</v>
      </c>
      <c r="F2078">
        <v>39.476783752000003</v>
      </c>
      <c r="G2078">
        <v>1340.072876</v>
      </c>
      <c r="H2078">
        <v>1337.7191161999999</v>
      </c>
      <c r="I2078">
        <v>1324.5339355000001</v>
      </c>
      <c r="J2078">
        <v>1321.7503661999999</v>
      </c>
      <c r="K2078">
        <v>2750</v>
      </c>
      <c r="L2078">
        <v>0</v>
      </c>
      <c r="M2078">
        <v>0</v>
      </c>
      <c r="N2078">
        <v>2750</v>
      </c>
    </row>
    <row r="2079" spans="1:14" x14ac:dyDescent="0.25">
      <c r="A2079">
        <v>1182.698568</v>
      </c>
      <c r="B2079" s="1">
        <f>DATE(2013,7,26) + TIME(16,45,56)</f>
        <v>41481.698564814818</v>
      </c>
      <c r="C2079">
        <v>80</v>
      </c>
      <c r="D2079">
        <v>79.975952148000005</v>
      </c>
      <c r="E2079">
        <v>40</v>
      </c>
      <c r="F2079">
        <v>39.604839325</v>
      </c>
      <c r="G2079">
        <v>1340.065918</v>
      </c>
      <c r="H2079">
        <v>1337.7154541</v>
      </c>
      <c r="I2079">
        <v>1324.5295410000001</v>
      </c>
      <c r="J2079">
        <v>1321.7395019999999</v>
      </c>
      <c r="K2079">
        <v>2750</v>
      </c>
      <c r="L2079">
        <v>0</v>
      </c>
      <c r="M2079">
        <v>0</v>
      </c>
      <c r="N2079">
        <v>2750</v>
      </c>
    </row>
    <row r="2080" spans="1:14" x14ac:dyDescent="0.25">
      <c r="A2080">
        <v>1184.2574179999999</v>
      </c>
      <c r="B2080" s="1">
        <f>DATE(2013,7,28) + TIME(6,10,40)</f>
        <v>41483.257407407407</v>
      </c>
      <c r="C2080">
        <v>80</v>
      </c>
      <c r="D2080">
        <v>79.975944518999995</v>
      </c>
      <c r="E2080">
        <v>40</v>
      </c>
      <c r="F2080">
        <v>39.756717682000001</v>
      </c>
      <c r="G2080">
        <v>1340.0587158000001</v>
      </c>
      <c r="H2080">
        <v>1337.7116699000001</v>
      </c>
      <c r="I2080">
        <v>1324.5253906</v>
      </c>
      <c r="J2080">
        <v>1321.7285156</v>
      </c>
      <c r="K2080">
        <v>2750</v>
      </c>
      <c r="L2080">
        <v>0</v>
      </c>
      <c r="M2080">
        <v>0</v>
      </c>
      <c r="N2080">
        <v>2750</v>
      </c>
    </row>
    <row r="2081" spans="1:14" x14ac:dyDescent="0.25">
      <c r="A2081">
        <v>1185.0506379999999</v>
      </c>
      <c r="B2081" s="1">
        <f>DATE(2013,7,29) + TIME(1,12,55)</f>
        <v>41484.050636574073</v>
      </c>
      <c r="C2081">
        <v>80</v>
      </c>
      <c r="D2081">
        <v>79.975921631000006</v>
      </c>
      <c r="E2081">
        <v>40</v>
      </c>
      <c r="F2081">
        <v>39.890434265000003</v>
      </c>
      <c r="G2081">
        <v>1340.0515137</v>
      </c>
      <c r="H2081">
        <v>1337.7078856999999</v>
      </c>
      <c r="I2081">
        <v>1324.5230713000001</v>
      </c>
      <c r="J2081">
        <v>1321.7188721</v>
      </c>
      <c r="K2081">
        <v>2750</v>
      </c>
      <c r="L2081">
        <v>0</v>
      </c>
      <c r="M2081">
        <v>0</v>
      </c>
      <c r="N2081">
        <v>2750</v>
      </c>
    </row>
    <row r="2082" spans="1:14" x14ac:dyDescent="0.25">
      <c r="A2082">
        <v>1186.5026290000001</v>
      </c>
      <c r="B2082" s="1">
        <f>DATE(2013,7,30) + TIME(12,3,47)</f>
        <v>41485.502627314818</v>
      </c>
      <c r="C2082">
        <v>80</v>
      </c>
      <c r="D2082">
        <v>79.975921631000006</v>
      </c>
      <c r="E2082">
        <v>40</v>
      </c>
      <c r="F2082">
        <v>40.039466857999997</v>
      </c>
      <c r="G2082">
        <v>1340.0479736</v>
      </c>
      <c r="H2082">
        <v>1337.7059326000001</v>
      </c>
      <c r="I2082">
        <v>1324.5189209</v>
      </c>
      <c r="J2082">
        <v>1321.7121582</v>
      </c>
      <c r="K2082">
        <v>2750</v>
      </c>
      <c r="L2082">
        <v>0</v>
      </c>
      <c r="M2082">
        <v>0</v>
      </c>
      <c r="N2082">
        <v>2750</v>
      </c>
    </row>
    <row r="2083" spans="1:14" x14ac:dyDescent="0.25">
      <c r="A2083">
        <v>1188</v>
      </c>
      <c r="B2083" s="1">
        <f>DATE(2013,8,1) + TIME(0,0,0)</f>
        <v>41487</v>
      </c>
      <c r="C2083">
        <v>80</v>
      </c>
      <c r="D2083">
        <v>79.975914001000007</v>
      </c>
      <c r="E2083">
        <v>40</v>
      </c>
      <c r="F2083">
        <v>40.225360870000003</v>
      </c>
      <c r="G2083">
        <v>1340.0415039</v>
      </c>
      <c r="H2083">
        <v>1337.7023925999999</v>
      </c>
      <c r="I2083">
        <v>1324.5162353999999</v>
      </c>
      <c r="J2083">
        <v>1321.7036132999999</v>
      </c>
      <c r="K2083">
        <v>2750</v>
      </c>
      <c r="L2083">
        <v>0</v>
      </c>
      <c r="M2083">
        <v>0</v>
      </c>
      <c r="N2083">
        <v>2750</v>
      </c>
    </row>
    <row r="2084" spans="1:14" x14ac:dyDescent="0.25">
      <c r="A2084">
        <v>1189.5376839999999</v>
      </c>
      <c r="B2084" s="1">
        <f>DATE(2013,8,2) + TIME(12,54,15)</f>
        <v>41488.537673611114</v>
      </c>
      <c r="C2084">
        <v>80</v>
      </c>
      <c r="D2084">
        <v>79.975906371999997</v>
      </c>
      <c r="E2084">
        <v>40</v>
      </c>
      <c r="F2084">
        <v>40.442016602000002</v>
      </c>
      <c r="G2084">
        <v>1340.0349120999999</v>
      </c>
      <c r="H2084">
        <v>1337.6988524999999</v>
      </c>
      <c r="I2084">
        <v>1324.5136719</v>
      </c>
      <c r="J2084">
        <v>1321.6953125</v>
      </c>
      <c r="K2084">
        <v>2750</v>
      </c>
      <c r="L2084">
        <v>0</v>
      </c>
      <c r="M2084">
        <v>0</v>
      </c>
      <c r="N2084">
        <v>2750</v>
      </c>
    </row>
    <row r="2085" spans="1:14" x14ac:dyDescent="0.25">
      <c r="A2085">
        <v>1190.3258679999999</v>
      </c>
      <c r="B2085" s="1">
        <f>DATE(2013,8,3) + TIME(7,49,14)</f>
        <v>41489.325856481482</v>
      </c>
      <c r="C2085">
        <v>80</v>
      </c>
      <c r="D2085">
        <v>79.975891113000003</v>
      </c>
      <c r="E2085">
        <v>40</v>
      </c>
      <c r="F2085">
        <v>40.632358551000003</v>
      </c>
      <c r="G2085">
        <v>1340.0281981999999</v>
      </c>
      <c r="H2085">
        <v>1337.6951904</v>
      </c>
      <c r="I2085">
        <v>1324.5135498</v>
      </c>
      <c r="J2085">
        <v>1321.6885986</v>
      </c>
      <c r="K2085">
        <v>2750</v>
      </c>
      <c r="L2085">
        <v>0</v>
      </c>
      <c r="M2085">
        <v>0</v>
      </c>
      <c r="N2085">
        <v>2750</v>
      </c>
    </row>
    <row r="2086" spans="1:14" x14ac:dyDescent="0.25">
      <c r="A2086">
        <v>1191.754134</v>
      </c>
      <c r="B2086" s="1">
        <f>DATE(2013,8,4) + TIME(18,5,57)</f>
        <v>41490.754131944443</v>
      </c>
      <c r="C2086">
        <v>80</v>
      </c>
      <c r="D2086">
        <v>79.975891113000003</v>
      </c>
      <c r="E2086">
        <v>40</v>
      </c>
      <c r="F2086">
        <v>40.841800689999999</v>
      </c>
      <c r="G2086">
        <v>1340.0249022999999</v>
      </c>
      <c r="H2086">
        <v>1337.6933594</v>
      </c>
      <c r="I2086">
        <v>1324.5100098</v>
      </c>
      <c r="J2086">
        <v>1321.684082</v>
      </c>
      <c r="K2086">
        <v>2750</v>
      </c>
      <c r="L2086">
        <v>0</v>
      </c>
      <c r="M2086">
        <v>0</v>
      </c>
      <c r="N2086">
        <v>2750</v>
      </c>
    </row>
    <row r="2087" spans="1:14" x14ac:dyDescent="0.25">
      <c r="A2087">
        <v>1193.281504</v>
      </c>
      <c r="B2087" s="1">
        <f>DATE(2013,8,6) + TIME(6,45,21)</f>
        <v>41492.281493055554</v>
      </c>
      <c r="C2087">
        <v>80</v>
      </c>
      <c r="D2087">
        <v>79.975891113000003</v>
      </c>
      <c r="E2087">
        <v>40</v>
      </c>
      <c r="F2087">
        <v>41.102462768999999</v>
      </c>
      <c r="G2087">
        <v>1340.0189209</v>
      </c>
      <c r="H2087">
        <v>1337.6900635</v>
      </c>
      <c r="I2087">
        <v>1324.5089111</v>
      </c>
      <c r="J2087">
        <v>1321.6782227000001</v>
      </c>
      <c r="K2087">
        <v>2750</v>
      </c>
      <c r="L2087">
        <v>0</v>
      </c>
      <c r="M2087">
        <v>0</v>
      </c>
      <c r="N2087">
        <v>2750</v>
      </c>
    </row>
    <row r="2088" spans="1:14" x14ac:dyDescent="0.25">
      <c r="A2088">
        <v>1194.8242419999999</v>
      </c>
      <c r="B2088" s="1">
        <f>DATE(2013,8,7) + TIME(19,46,54)</f>
        <v>41493.824236111112</v>
      </c>
      <c r="C2088">
        <v>80</v>
      </c>
      <c r="D2088">
        <v>79.975883483999993</v>
      </c>
      <c r="E2088">
        <v>40</v>
      </c>
      <c r="F2088">
        <v>41.406200409</v>
      </c>
      <c r="G2088">
        <v>1340.0125731999999</v>
      </c>
      <c r="H2088">
        <v>1337.6866454999999</v>
      </c>
      <c r="I2088">
        <v>1324.5081786999999</v>
      </c>
      <c r="J2088">
        <v>1321.6729736</v>
      </c>
      <c r="K2088">
        <v>2750</v>
      </c>
      <c r="L2088">
        <v>0</v>
      </c>
      <c r="M2088">
        <v>0</v>
      </c>
      <c r="N2088">
        <v>2750</v>
      </c>
    </row>
    <row r="2089" spans="1:14" x14ac:dyDescent="0.25">
      <c r="A2089">
        <v>1195.6095829999999</v>
      </c>
      <c r="B2089" s="1">
        <f>DATE(2013,8,8) + TIME(14,37,47)</f>
        <v>41494.609571759262</v>
      </c>
      <c r="C2089">
        <v>80</v>
      </c>
      <c r="D2089">
        <v>79.975868224999999</v>
      </c>
      <c r="E2089">
        <v>40</v>
      </c>
      <c r="F2089">
        <v>41.669548034999998</v>
      </c>
      <c r="G2089">
        <v>1340.0062256000001</v>
      </c>
      <c r="H2089">
        <v>1337.6831055</v>
      </c>
      <c r="I2089">
        <v>1324.510376</v>
      </c>
      <c r="J2089">
        <v>1321.6694336</v>
      </c>
      <c r="K2089">
        <v>2750</v>
      </c>
      <c r="L2089">
        <v>0</v>
      </c>
      <c r="M2089">
        <v>0</v>
      </c>
      <c r="N2089">
        <v>2750</v>
      </c>
    </row>
    <row r="2090" spans="1:14" x14ac:dyDescent="0.25">
      <c r="A2090">
        <v>1197.007106</v>
      </c>
      <c r="B2090" s="1">
        <f>DATE(2013,8,10) + TIME(0,10,13)</f>
        <v>41496.007094907407</v>
      </c>
      <c r="C2090">
        <v>80</v>
      </c>
      <c r="D2090">
        <v>79.975868224999999</v>
      </c>
      <c r="E2090">
        <v>40</v>
      </c>
      <c r="F2090">
        <v>41.951168060000001</v>
      </c>
      <c r="G2090">
        <v>1340.0030518000001</v>
      </c>
      <c r="H2090">
        <v>1337.6812743999999</v>
      </c>
      <c r="I2090">
        <v>1324.5074463000001</v>
      </c>
      <c r="J2090">
        <v>1321.6673584</v>
      </c>
      <c r="K2090">
        <v>2750</v>
      </c>
      <c r="L2090">
        <v>0</v>
      </c>
      <c r="M2090">
        <v>0</v>
      </c>
      <c r="N2090">
        <v>2750</v>
      </c>
    </row>
    <row r="2091" spans="1:14" x14ac:dyDescent="0.25">
      <c r="A2091">
        <v>1198.5215310000001</v>
      </c>
      <c r="B2091" s="1">
        <f>DATE(2013,8,11) + TIME(12,31,0)</f>
        <v>41497.521527777775</v>
      </c>
      <c r="C2091">
        <v>80</v>
      </c>
      <c r="D2091">
        <v>79.975868224999999</v>
      </c>
      <c r="E2091">
        <v>40</v>
      </c>
      <c r="F2091">
        <v>42.292873383</v>
      </c>
      <c r="G2091">
        <v>1339.9974365</v>
      </c>
      <c r="H2091">
        <v>1337.6782227000001</v>
      </c>
      <c r="I2091">
        <v>1324.5076904</v>
      </c>
      <c r="J2091">
        <v>1321.6647949000001</v>
      </c>
      <c r="K2091">
        <v>2750</v>
      </c>
      <c r="L2091">
        <v>0</v>
      </c>
      <c r="M2091">
        <v>0</v>
      </c>
      <c r="N2091">
        <v>2750</v>
      </c>
    </row>
    <row r="2092" spans="1:14" x14ac:dyDescent="0.25">
      <c r="A2092">
        <v>1200.0601059999999</v>
      </c>
      <c r="B2092" s="1">
        <f>DATE(2013,8,13) + TIME(1,26,33)</f>
        <v>41499.060104166667</v>
      </c>
      <c r="C2092">
        <v>80</v>
      </c>
      <c r="D2092">
        <v>79.975868224999999</v>
      </c>
      <c r="E2092">
        <v>40</v>
      </c>
      <c r="F2092">
        <v>42.690025329999997</v>
      </c>
      <c r="G2092">
        <v>1339.9914550999999</v>
      </c>
      <c r="H2092">
        <v>1337.6748047000001</v>
      </c>
      <c r="I2092">
        <v>1324.5085449000001</v>
      </c>
      <c r="J2092">
        <v>1321.6630858999999</v>
      </c>
      <c r="K2092">
        <v>2750</v>
      </c>
      <c r="L2092">
        <v>0</v>
      </c>
      <c r="M2092">
        <v>0</v>
      </c>
      <c r="N2092">
        <v>2750</v>
      </c>
    </row>
    <row r="2093" spans="1:14" x14ac:dyDescent="0.25">
      <c r="A2093">
        <v>1200.8474639999999</v>
      </c>
      <c r="B2093" s="1">
        <f>DATE(2013,8,13) + TIME(20,20,20)</f>
        <v>41499.847453703704</v>
      </c>
      <c r="C2093">
        <v>80</v>
      </c>
      <c r="D2093">
        <v>79.975852966000005</v>
      </c>
      <c r="E2093">
        <v>40</v>
      </c>
      <c r="F2093">
        <v>43.025188446000001</v>
      </c>
      <c r="G2093">
        <v>1339.9855957</v>
      </c>
      <c r="H2093">
        <v>1337.6713867000001</v>
      </c>
      <c r="I2093">
        <v>1324.5126952999999</v>
      </c>
      <c r="J2093">
        <v>1321.6629639</v>
      </c>
      <c r="K2093">
        <v>2750</v>
      </c>
      <c r="L2093">
        <v>0</v>
      </c>
      <c r="M2093">
        <v>0</v>
      </c>
      <c r="N2093">
        <v>2750</v>
      </c>
    </row>
    <row r="2094" spans="1:14" x14ac:dyDescent="0.25">
      <c r="A2094">
        <v>1202.2238110000001</v>
      </c>
      <c r="B2094" s="1">
        <f>DATE(2013,8,15) + TIME(5,22,17)</f>
        <v>41501.223807870374</v>
      </c>
      <c r="C2094">
        <v>80</v>
      </c>
      <c r="D2094">
        <v>79.975860596000004</v>
      </c>
      <c r="E2094">
        <v>40</v>
      </c>
      <c r="F2094">
        <v>43.372695923000002</v>
      </c>
      <c r="G2094">
        <v>1339.9825439000001</v>
      </c>
      <c r="H2094">
        <v>1337.6696777</v>
      </c>
      <c r="I2094">
        <v>1324.510376</v>
      </c>
      <c r="J2094">
        <v>1321.6634521000001</v>
      </c>
      <c r="K2094">
        <v>2750</v>
      </c>
      <c r="L2094">
        <v>0</v>
      </c>
      <c r="M2094">
        <v>0</v>
      </c>
      <c r="N2094">
        <v>2750</v>
      </c>
    </row>
    <row r="2095" spans="1:14" x14ac:dyDescent="0.25">
      <c r="A2095">
        <v>1203.729448</v>
      </c>
      <c r="B2095" s="1">
        <f>DATE(2013,8,16) + TIME(17,30,24)</f>
        <v>41502.729444444441</v>
      </c>
      <c r="C2095">
        <v>80</v>
      </c>
      <c r="D2095">
        <v>79.975860596000004</v>
      </c>
      <c r="E2095">
        <v>40</v>
      </c>
      <c r="F2095">
        <v>43.800106049</v>
      </c>
      <c r="G2095">
        <v>1339.9772949000001</v>
      </c>
      <c r="H2095">
        <v>1337.6667480000001</v>
      </c>
      <c r="I2095">
        <v>1324.5118408000001</v>
      </c>
      <c r="J2095">
        <v>1321.6639404</v>
      </c>
      <c r="K2095">
        <v>2750</v>
      </c>
      <c r="L2095">
        <v>0</v>
      </c>
      <c r="M2095">
        <v>0</v>
      </c>
      <c r="N2095">
        <v>2750</v>
      </c>
    </row>
    <row r="2096" spans="1:14" x14ac:dyDescent="0.25">
      <c r="A2096">
        <v>1205.2814020000001</v>
      </c>
      <c r="B2096" s="1">
        <f>DATE(2013,8,18) + TIME(6,45,13)</f>
        <v>41504.281400462962</v>
      </c>
      <c r="C2096">
        <v>80</v>
      </c>
      <c r="D2096">
        <v>79.975852966000005</v>
      </c>
      <c r="E2096">
        <v>40</v>
      </c>
      <c r="F2096">
        <v>44.257030487000002</v>
      </c>
      <c r="G2096">
        <v>1339.9716797000001</v>
      </c>
      <c r="H2096">
        <v>1337.6635742000001</v>
      </c>
      <c r="I2096">
        <v>1324.5140381000001</v>
      </c>
      <c r="J2096">
        <v>1321.6654053</v>
      </c>
      <c r="K2096">
        <v>2750</v>
      </c>
      <c r="L2096">
        <v>0</v>
      </c>
      <c r="M2096">
        <v>0</v>
      </c>
      <c r="N2096">
        <v>2750</v>
      </c>
    </row>
    <row r="2097" spans="1:14" x14ac:dyDescent="0.25">
      <c r="A2097">
        <v>1206.889263</v>
      </c>
      <c r="B2097" s="1">
        <f>DATE(2013,8,19) + TIME(21,20,32)</f>
        <v>41505.88925925926</v>
      </c>
      <c r="C2097">
        <v>80</v>
      </c>
      <c r="D2097">
        <v>79.975852966000005</v>
      </c>
      <c r="E2097">
        <v>40</v>
      </c>
      <c r="F2097">
        <v>44.758724213000001</v>
      </c>
      <c r="G2097">
        <v>1339.9659423999999</v>
      </c>
      <c r="H2097">
        <v>1337.6602783000001</v>
      </c>
      <c r="I2097">
        <v>1324.5166016000001</v>
      </c>
      <c r="J2097">
        <v>1321.6677245999999</v>
      </c>
      <c r="K2097">
        <v>2750</v>
      </c>
      <c r="L2097">
        <v>0</v>
      </c>
      <c r="M2097">
        <v>0</v>
      </c>
      <c r="N2097">
        <v>2750</v>
      </c>
    </row>
    <row r="2098" spans="1:14" x14ac:dyDescent="0.25">
      <c r="A2098">
        <v>1208.530577</v>
      </c>
      <c r="B2098" s="1">
        <f>DATE(2013,8,21) + TIME(12,44,1)</f>
        <v>41507.53056712963</v>
      </c>
      <c r="C2098">
        <v>80</v>
      </c>
      <c r="D2098">
        <v>79.975852966000005</v>
      </c>
      <c r="E2098">
        <v>40</v>
      </c>
      <c r="F2098">
        <v>45.303062439000001</v>
      </c>
      <c r="G2098">
        <v>1339.9602050999999</v>
      </c>
      <c r="H2098">
        <v>1337.6568603999999</v>
      </c>
      <c r="I2098">
        <v>1324.5195312000001</v>
      </c>
      <c r="J2098">
        <v>1321.6712646000001</v>
      </c>
      <c r="K2098">
        <v>2750</v>
      </c>
      <c r="L2098">
        <v>0</v>
      </c>
      <c r="M2098">
        <v>0</v>
      </c>
      <c r="N2098">
        <v>2750</v>
      </c>
    </row>
    <row r="2099" spans="1:14" x14ac:dyDescent="0.25">
      <c r="A2099">
        <v>1210.2241630000001</v>
      </c>
      <c r="B2099" s="1">
        <f>DATE(2013,8,23) + TIME(5,22,47)</f>
        <v>41509.22415509259</v>
      </c>
      <c r="C2099">
        <v>80</v>
      </c>
      <c r="D2099">
        <v>79.975852966000005</v>
      </c>
      <c r="E2099">
        <v>40</v>
      </c>
      <c r="F2099">
        <v>45.879249573000003</v>
      </c>
      <c r="G2099">
        <v>1339.9543457</v>
      </c>
      <c r="H2099">
        <v>1337.6534423999999</v>
      </c>
      <c r="I2099">
        <v>1324.5228271000001</v>
      </c>
      <c r="J2099">
        <v>1321.6760254000001</v>
      </c>
      <c r="K2099">
        <v>2750</v>
      </c>
      <c r="L2099">
        <v>0</v>
      </c>
      <c r="M2099">
        <v>0</v>
      </c>
      <c r="N2099">
        <v>2750</v>
      </c>
    </row>
    <row r="2100" spans="1:14" x14ac:dyDescent="0.25">
      <c r="A2100">
        <v>1212.000399</v>
      </c>
      <c r="B2100" s="1">
        <f>DATE(2013,8,25) + TIME(0,0,34)</f>
        <v>41511.000393518516</v>
      </c>
      <c r="C2100">
        <v>80</v>
      </c>
      <c r="D2100">
        <v>79.975852966000005</v>
      </c>
      <c r="E2100">
        <v>40</v>
      </c>
      <c r="F2100">
        <v>46.483478546000001</v>
      </c>
      <c r="G2100">
        <v>1339.9483643000001</v>
      </c>
      <c r="H2100">
        <v>1337.6500243999999</v>
      </c>
      <c r="I2100">
        <v>1324.5264893000001</v>
      </c>
      <c r="J2100">
        <v>1321.6815185999999</v>
      </c>
      <c r="K2100">
        <v>2750</v>
      </c>
      <c r="L2100">
        <v>0</v>
      </c>
      <c r="M2100">
        <v>0</v>
      </c>
      <c r="N2100">
        <v>2750</v>
      </c>
    </row>
    <row r="2101" spans="1:14" x14ac:dyDescent="0.25">
      <c r="A2101">
        <v>1213.8800429999999</v>
      </c>
      <c r="B2101" s="1">
        <f>DATE(2013,8,26) + TIME(21,7,15)</f>
        <v>41512.88003472222</v>
      </c>
      <c r="C2101">
        <v>80</v>
      </c>
      <c r="D2101">
        <v>79.975852966000005</v>
      </c>
      <c r="E2101">
        <v>40</v>
      </c>
      <c r="F2101">
        <v>47.117057799999998</v>
      </c>
      <c r="G2101">
        <v>1339.9422606999999</v>
      </c>
      <c r="H2101">
        <v>1337.6464844</v>
      </c>
      <c r="I2101">
        <v>1324.5307617000001</v>
      </c>
      <c r="J2101">
        <v>1321.6881103999999</v>
      </c>
      <c r="K2101">
        <v>2750</v>
      </c>
      <c r="L2101">
        <v>0</v>
      </c>
      <c r="M2101">
        <v>0</v>
      </c>
      <c r="N2101">
        <v>2750</v>
      </c>
    </row>
    <row r="2102" spans="1:14" x14ac:dyDescent="0.25">
      <c r="A2102">
        <v>1215.8119380000001</v>
      </c>
      <c r="B2102" s="1">
        <f>DATE(2013,8,28) + TIME(19,29,11)</f>
        <v>41514.811932870369</v>
      </c>
      <c r="C2102">
        <v>80</v>
      </c>
      <c r="D2102">
        <v>79.975852966000005</v>
      </c>
      <c r="E2102">
        <v>40</v>
      </c>
      <c r="F2102">
        <v>47.775627135999997</v>
      </c>
      <c r="G2102">
        <v>1339.9359131000001</v>
      </c>
      <c r="H2102">
        <v>1337.6428223</v>
      </c>
      <c r="I2102">
        <v>1324.5356445</v>
      </c>
      <c r="J2102">
        <v>1321.6956786999999</v>
      </c>
      <c r="K2102">
        <v>2750</v>
      </c>
      <c r="L2102">
        <v>0</v>
      </c>
      <c r="M2102">
        <v>0</v>
      </c>
      <c r="N2102">
        <v>2750</v>
      </c>
    </row>
    <row r="2103" spans="1:14" x14ac:dyDescent="0.25">
      <c r="A2103">
        <v>1217.845773</v>
      </c>
      <c r="B2103" s="1">
        <f>DATE(2013,8,30) + TIME(20,17,54)</f>
        <v>41516.845763888887</v>
      </c>
      <c r="C2103">
        <v>80</v>
      </c>
      <c r="D2103">
        <v>79.975852966000005</v>
      </c>
      <c r="E2103">
        <v>40</v>
      </c>
      <c r="F2103">
        <v>48.448360442999999</v>
      </c>
      <c r="G2103">
        <v>1339.9294434000001</v>
      </c>
      <c r="H2103">
        <v>1337.6390381000001</v>
      </c>
      <c r="I2103">
        <v>1324.5410156</v>
      </c>
      <c r="J2103">
        <v>1321.7042236</v>
      </c>
      <c r="K2103">
        <v>2750</v>
      </c>
      <c r="L2103">
        <v>0</v>
      </c>
      <c r="M2103">
        <v>0</v>
      </c>
      <c r="N2103">
        <v>2750</v>
      </c>
    </row>
    <row r="2104" spans="1:14" x14ac:dyDescent="0.25">
      <c r="A2104">
        <v>1219</v>
      </c>
      <c r="B2104" s="1">
        <f>DATE(2013,9,1) + TIME(0,0,0)</f>
        <v>41518</v>
      </c>
      <c r="C2104">
        <v>80</v>
      </c>
      <c r="D2104">
        <v>79.975845336999996</v>
      </c>
      <c r="E2104">
        <v>40</v>
      </c>
      <c r="F2104">
        <v>49.033294677999997</v>
      </c>
      <c r="G2104">
        <v>1339.9229736</v>
      </c>
      <c r="H2104">
        <v>1337.6351318</v>
      </c>
      <c r="I2104">
        <v>1324.5498047000001</v>
      </c>
      <c r="J2104">
        <v>1321.7137451000001</v>
      </c>
      <c r="K2104">
        <v>2750</v>
      </c>
      <c r="L2104">
        <v>0</v>
      </c>
      <c r="M2104">
        <v>0</v>
      </c>
      <c r="N2104">
        <v>2750</v>
      </c>
    </row>
    <row r="2105" spans="1:14" x14ac:dyDescent="0.25">
      <c r="A2105">
        <v>1221.0811619999999</v>
      </c>
      <c r="B2105" s="1">
        <f>DATE(2013,9,3) + TIME(1,56,52)</f>
        <v>41520.081157407411</v>
      </c>
      <c r="C2105">
        <v>80</v>
      </c>
      <c r="D2105">
        <v>79.975852966000005</v>
      </c>
      <c r="E2105">
        <v>40</v>
      </c>
      <c r="F2105">
        <v>49.552986144999998</v>
      </c>
      <c r="G2105">
        <v>1339.9191894999999</v>
      </c>
      <c r="H2105">
        <v>1337.6330565999999</v>
      </c>
      <c r="I2105">
        <v>1324.5511475000001</v>
      </c>
      <c r="J2105">
        <v>1321.7220459</v>
      </c>
      <c r="K2105">
        <v>2750</v>
      </c>
      <c r="L2105">
        <v>0</v>
      </c>
      <c r="M2105">
        <v>0</v>
      </c>
      <c r="N2105">
        <v>2750</v>
      </c>
    </row>
    <row r="2106" spans="1:14" x14ac:dyDescent="0.25">
      <c r="A2106">
        <v>1223.2368140000001</v>
      </c>
      <c r="B2106" s="1">
        <f>DATE(2013,9,5) + TIME(5,41,0)</f>
        <v>41522.236805555556</v>
      </c>
      <c r="C2106">
        <v>80</v>
      </c>
      <c r="D2106">
        <v>79.975860596000004</v>
      </c>
      <c r="E2106">
        <v>40</v>
      </c>
      <c r="F2106">
        <v>50.184127808</v>
      </c>
      <c r="G2106">
        <v>1339.9127197</v>
      </c>
      <c r="H2106">
        <v>1337.6291504000001</v>
      </c>
      <c r="I2106">
        <v>1324.5579834</v>
      </c>
      <c r="J2106">
        <v>1321.7305908000001</v>
      </c>
      <c r="K2106">
        <v>2750</v>
      </c>
      <c r="L2106">
        <v>0</v>
      </c>
      <c r="M2106">
        <v>0</v>
      </c>
      <c r="N2106">
        <v>2750</v>
      </c>
    </row>
    <row r="2107" spans="1:14" x14ac:dyDescent="0.25">
      <c r="A2107">
        <v>1225.457731</v>
      </c>
      <c r="B2107" s="1">
        <f>DATE(2013,9,7) + TIME(10,59,7)</f>
        <v>41524.457719907405</v>
      </c>
      <c r="C2107">
        <v>80</v>
      </c>
      <c r="D2107">
        <v>79.975860596000004</v>
      </c>
      <c r="E2107">
        <v>40</v>
      </c>
      <c r="F2107">
        <v>50.83625412</v>
      </c>
      <c r="G2107">
        <v>1339.9061279</v>
      </c>
      <c r="H2107">
        <v>1337.6252440999999</v>
      </c>
      <c r="I2107">
        <v>1324.5655518000001</v>
      </c>
      <c r="J2107">
        <v>1321.7415771000001</v>
      </c>
      <c r="K2107">
        <v>2750</v>
      </c>
      <c r="L2107">
        <v>0</v>
      </c>
      <c r="M2107">
        <v>0</v>
      </c>
      <c r="N2107">
        <v>2750</v>
      </c>
    </row>
    <row r="2108" spans="1:14" x14ac:dyDescent="0.25">
      <c r="A2108">
        <v>1227.7379350000001</v>
      </c>
      <c r="B2108" s="1">
        <f>DATE(2013,9,9) + TIME(17,42,37)</f>
        <v>41526.737928240742</v>
      </c>
      <c r="C2108">
        <v>80</v>
      </c>
      <c r="D2108">
        <v>79.975868224999999</v>
      </c>
      <c r="E2108">
        <v>40</v>
      </c>
      <c r="F2108">
        <v>51.486846923999998</v>
      </c>
      <c r="G2108">
        <v>1339.8994141000001</v>
      </c>
      <c r="H2108">
        <v>1337.6213379000001</v>
      </c>
      <c r="I2108">
        <v>1324.5738524999999</v>
      </c>
      <c r="J2108">
        <v>1321.7536620999999</v>
      </c>
      <c r="K2108">
        <v>2750</v>
      </c>
      <c r="L2108">
        <v>0</v>
      </c>
      <c r="M2108">
        <v>0</v>
      </c>
      <c r="N2108">
        <v>2750</v>
      </c>
    </row>
    <row r="2109" spans="1:14" x14ac:dyDescent="0.25">
      <c r="A2109">
        <v>1230.123057</v>
      </c>
      <c r="B2109" s="1">
        <f>DATE(2013,9,12) + TIME(2,57,12)</f>
        <v>41529.123055555552</v>
      </c>
      <c r="C2109">
        <v>80</v>
      </c>
      <c r="D2109">
        <v>79.975875853999995</v>
      </c>
      <c r="E2109">
        <v>40</v>
      </c>
      <c r="F2109">
        <v>52.132160186999997</v>
      </c>
      <c r="G2109">
        <v>1339.8927002</v>
      </c>
      <c r="H2109">
        <v>1337.6174315999999</v>
      </c>
      <c r="I2109">
        <v>1324.5826416</v>
      </c>
      <c r="J2109">
        <v>1321.7666016000001</v>
      </c>
      <c r="K2109">
        <v>2750</v>
      </c>
      <c r="L2109">
        <v>0</v>
      </c>
      <c r="M2109">
        <v>0</v>
      </c>
      <c r="N2109">
        <v>2750</v>
      </c>
    </row>
    <row r="2110" spans="1:14" x14ac:dyDescent="0.25">
      <c r="A2110">
        <v>1232.624695</v>
      </c>
      <c r="B2110" s="1">
        <f>DATE(2013,9,14) + TIME(14,59,33)</f>
        <v>41531.6246875</v>
      </c>
      <c r="C2110">
        <v>80</v>
      </c>
      <c r="D2110">
        <v>79.975875853999995</v>
      </c>
      <c r="E2110">
        <v>40</v>
      </c>
      <c r="F2110">
        <v>52.777755737</v>
      </c>
      <c r="G2110">
        <v>1339.8858643000001</v>
      </c>
      <c r="H2110">
        <v>1337.6134033000001</v>
      </c>
      <c r="I2110">
        <v>1324.5921631000001</v>
      </c>
      <c r="J2110">
        <v>1321.7801514</v>
      </c>
      <c r="K2110">
        <v>2750</v>
      </c>
      <c r="L2110">
        <v>0</v>
      </c>
      <c r="M2110">
        <v>0</v>
      </c>
      <c r="N2110">
        <v>2750</v>
      </c>
    </row>
    <row r="2111" spans="1:14" x14ac:dyDescent="0.25">
      <c r="A2111">
        <v>1235.246402</v>
      </c>
      <c r="B2111" s="1">
        <f>DATE(2013,9,17) + TIME(5,54,49)</f>
        <v>41534.246400462966</v>
      </c>
      <c r="C2111">
        <v>80</v>
      </c>
      <c r="D2111">
        <v>79.975883483999993</v>
      </c>
      <c r="E2111">
        <v>40</v>
      </c>
      <c r="F2111">
        <v>53.423126220999997</v>
      </c>
      <c r="G2111">
        <v>1339.8789062000001</v>
      </c>
      <c r="H2111">
        <v>1337.6092529</v>
      </c>
      <c r="I2111">
        <v>1324.6021728999999</v>
      </c>
      <c r="J2111">
        <v>1321.7944336</v>
      </c>
      <c r="K2111">
        <v>2750</v>
      </c>
      <c r="L2111">
        <v>0</v>
      </c>
      <c r="M2111">
        <v>0</v>
      </c>
      <c r="N2111">
        <v>2750</v>
      </c>
    </row>
    <row r="2112" spans="1:14" x14ac:dyDescent="0.25">
      <c r="A2112">
        <v>1237.946899</v>
      </c>
      <c r="B2112" s="1">
        <f>DATE(2013,9,19) + TIME(22,43,32)</f>
        <v>41536.946898148148</v>
      </c>
      <c r="C2112">
        <v>80</v>
      </c>
      <c r="D2112">
        <v>79.975891113000003</v>
      </c>
      <c r="E2112">
        <v>40</v>
      </c>
      <c r="F2112">
        <v>54.063949585000003</v>
      </c>
      <c r="G2112">
        <v>1339.8717041</v>
      </c>
      <c r="H2112">
        <v>1337.6049805</v>
      </c>
      <c r="I2112">
        <v>1324.6129149999999</v>
      </c>
      <c r="J2112">
        <v>1321.8093262</v>
      </c>
      <c r="K2112">
        <v>2750</v>
      </c>
      <c r="L2112">
        <v>0</v>
      </c>
      <c r="M2112">
        <v>0</v>
      </c>
      <c r="N2112">
        <v>2750</v>
      </c>
    </row>
    <row r="2113" spans="1:14" x14ac:dyDescent="0.25">
      <c r="A2113">
        <v>1240.7075010000001</v>
      </c>
      <c r="B2113" s="1">
        <f>DATE(2013,9,22) + TIME(16,58,48)</f>
        <v>41539.707499999997</v>
      </c>
      <c r="C2113">
        <v>80</v>
      </c>
      <c r="D2113">
        <v>79.975898743000002</v>
      </c>
      <c r="E2113">
        <v>40</v>
      </c>
      <c r="F2113">
        <v>54.689338683999999</v>
      </c>
      <c r="G2113">
        <v>1339.8645019999999</v>
      </c>
      <c r="H2113">
        <v>1337.6007079999999</v>
      </c>
      <c r="I2113">
        <v>1324.6240233999999</v>
      </c>
      <c r="J2113">
        <v>1321.8248291</v>
      </c>
      <c r="K2113">
        <v>2750</v>
      </c>
      <c r="L2113">
        <v>0</v>
      </c>
      <c r="M2113">
        <v>0</v>
      </c>
      <c r="N2113">
        <v>2750</v>
      </c>
    </row>
    <row r="2114" spans="1:14" x14ac:dyDescent="0.25">
      <c r="A2114">
        <v>1243.5628959999999</v>
      </c>
      <c r="B2114" s="1">
        <f>DATE(2013,9,25) + TIME(13,30,34)</f>
        <v>41542.562893518516</v>
      </c>
      <c r="C2114">
        <v>80</v>
      </c>
      <c r="D2114">
        <v>79.975906371999997</v>
      </c>
      <c r="E2114">
        <v>40</v>
      </c>
      <c r="F2114">
        <v>55.299324036000002</v>
      </c>
      <c r="G2114">
        <v>1339.8574219</v>
      </c>
      <c r="H2114">
        <v>1337.5965576000001</v>
      </c>
      <c r="I2114">
        <v>1324.6352539</v>
      </c>
      <c r="J2114">
        <v>1321.8404541</v>
      </c>
      <c r="K2114">
        <v>2750</v>
      </c>
      <c r="L2114">
        <v>0</v>
      </c>
      <c r="M2114">
        <v>0</v>
      </c>
      <c r="N2114">
        <v>2750</v>
      </c>
    </row>
    <row r="2115" spans="1:14" x14ac:dyDescent="0.25">
      <c r="A2115">
        <v>1246.5301790000001</v>
      </c>
      <c r="B2115" s="1">
        <f>DATE(2013,9,28) + TIME(12,43,27)</f>
        <v>41545.530173611114</v>
      </c>
      <c r="C2115">
        <v>80</v>
      </c>
      <c r="D2115">
        <v>79.975921631000006</v>
      </c>
      <c r="E2115">
        <v>40</v>
      </c>
      <c r="F2115">
        <v>55.891136168999999</v>
      </c>
      <c r="G2115">
        <v>1339.8502197</v>
      </c>
      <c r="H2115">
        <v>1337.5922852000001</v>
      </c>
      <c r="I2115">
        <v>1324.6469727000001</v>
      </c>
      <c r="J2115">
        <v>1321.8560791</v>
      </c>
      <c r="K2115">
        <v>2750</v>
      </c>
      <c r="L2115">
        <v>0</v>
      </c>
      <c r="M2115">
        <v>0</v>
      </c>
      <c r="N2115">
        <v>2750</v>
      </c>
    </row>
    <row r="2116" spans="1:14" x14ac:dyDescent="0.25">
      <c r="A2116">
        <v>1249</v>
      </c>
      <c r="B2116" s="1">
        <f>DATE(2013,10,1) + TIME(0,0,0)</f>
        <v>41548</v>
      </c>
      <c r="C2116">
        <v>80</v>
      </c>
      <c r="D2116">
        <v>79.975921631000006</v>
      </c>
      <c r="E2116">
        <v>40</v>
      </c>
      <c r="F2116">
        <v>56.458396911999998</v>
      </c>
      <c r="G2116">
        <v>1339.8430175999999</v>
      </c>
      <c r="H2116">
        <v>1337.5880127</v>
      </c>
      <c r="I2116">
        <v>1324.6593018000001</v>
      </c>
      <c r="J2116">
        <v>1321.8719481999999</v>
      </c>
      <c r="K2116">
        <v>2750</v>
      </c>
      <c r="L2116">
        <v>0</v>
      </c>
      <c r="M2116">
        <v>0</v>
      </c>
      <c r="N2116">
        <v>2750</v>
      </c>
    </row>
    <row r="2117" spans="1:14" x14ac:dyDescent="0.25">
      <c r="A2117">
        <v>1252.0147959999999</v>
      </c>
      <c r="B2117" s="1">
        <f>DATE(2013,10,4) + TIME(0,21,18)</f>
        <v>41551.014791666668</v>
      </c>
      <c r="C2117">
        <v>80</v>
      </c>
      <c r="D2117">
        <v>79.97593689</v>
      </c>
      <c r="E2117">
        <v>40</v>
      </c>
      <c r="F2117">
        <v>56.939685822000001</v>
      </c>
      <c r="G2117">
        <v>1339.8371582</v>
      </c>
      <c r="H2117">
        <v>1337.5845947</v>
      </c>
      <c r="I2117">
        <v>1324.6694336</v>
      </c>
      <c r="J2117">
        <v>1321.8867187999999</v>
      </c>
      <c r="K2117">
        <v>2750</v>
      </c>
      <c r="L2117">
        <v>0</v>
      </c>
      <c r="M2117">
        <v>0</v>
      </c>
      <c r="N2117">
        <v>2750</v>
      </c>
    </row>
    <row r="2118" spans="1:14" x14ac:dyDescent="0.25">
      <c r="A2118">
        <v>1255.2121340000001</v>
      </c>
      <c r="B2118" s="1">
        <f>DATE(2013,10,7) + TIME(5,5,28)</f>
        <v>41554.212129629632</v>
      </c>
      <c r="C2118">
        <v>80</v>
      </c>
      <c r="D2118">
        <v>79.975952148000005</v>
      </c>
      <c r="E2118">
        <v>40</v>
      </c>
      <c r="F2118">
        <v>57.470874786000003</v>
      </c>
      <c r="G2118">
        <v>1339.8300781</v>
      </c>
      <c r="H2118">
        <v>1337.5804443</v>
      </c>
      <c r="I2118">
        <v>1324.6805420000001</v>
      </c>
      <c r="J2118">
        <v>1321.9005127</v>
      </c>
      <c r="K2118">
        <v>2750</v>
      </c>
      <c r="L2118">
        <v>0</v>
      </c>
      <c r="M2118">
        <v>0</v>
      </c>
      <c r="N2118">
        <v>2750</v>
      </c>
    </row>
    <row r="2119" spans="1:14" x14ac:dyDescent="0.25">
      <c r="A2119">
        <v>1258.5021879999999</v>
      </c>
      <c r="B2119" s="1">
        <f>DATE(2013,10,10) + TIME(12,3,9)</f>
        <v>41557.502187500002</v>
      </c>
      <c r="C2119">
        <v>80</v>
      </c>
      <c r="D2119">
        <v>79.975959778000004</v>
      </c>
      <c r="E2119">
        <v>40</v>
      </c>
      <c r="F2119">
        <v>57.981010437000002</v>
      </c>
      <c r="G2119">
        <v>1339.822876</v>
      </c>
      <c r="H2119">
        <v>1337.5761719</v>
      </c>
      <c r="I2119">
        <v>1324.692749</v>
      </c>
      <c r="J2119">
        <v>1321.9156493999999</v>
      </c>
      <c r="K2119">
        <v>2750</v>
      </c>
      <c r="L2119">
        <v>0</v>
      </c>
      <c r="M2119">
        <v>0</v>
      </c>
      <c r="N2119">
        <v>2750</v>
      </c>
    </row>
    <row r="2120" spans="1:14" x14ac:dyDescent="0.25">
      <c r="A2120">
        <v>1261.8653200000001</v>
      </c>
      <c r="B2120" s="1">
        <f>DATE(2013,10,13) + TIME(20,46,3)</f>
        <v>41560.865312499998</v>
      </c>
      <c r="C2120">
        <v>80</v>
      </c>
      <c r="D2120">
        <v>79.975975036999998</v>
      </c>
      <c r="E2120">
        <v>40</v>
      </c>
      <c r="F2120">
        <v>58.510269164999997</v>
      </c>
      <c r="G2120">
        <v>1339.8156738</v>
      </c>
      <c r="H2120">
        <v>1337.5718993999999</v>
      </c>
      <c r="I2120">
        <v>1324.7052002</v>
      </c>
      <c r="J2120">
        <v>1321.9312743999999</v>
      </c>
      <c r="K2120">
        <v>2750</v>
      </c>
      <c r="L2120">
        <v>0</v>
      </c>
      <c r="M2120">
        <v>0</v>
      </c>
      <c r="N2120">
        <v>2750</v>
      </c>
    </row>
    <row r="2121" spans="1:14" x14ac:dyDescent="0.25">
      <c r="A2121">
        <v>1265.3209199999999</v>
      </c>
      <c r="B2121" s="1">
        <f>DATE(2013,10,17) + TIME(7,42,7)</f>
        <v>41564.320914351854</v>
      </c>
      <c r="C2121">
        <v>80</v>
      </c>
      <c r="D2121">
        <v>79.975990295000003</v>
      </c>
      <c r="E2121">
        <v>40</v>
      </c>
      <c r="F2121">
        <v>58.956840515000003</v>
      </c>
      <c r="G2121">
        <v>1339.8084716999999</v>
      </c>
      <c r="H2121">
        <v>1337.567749</v>
      </c>
      <c r="I2121">
        <v>1324.7180175999999</v>
      </c>
      <c r="J2121">
        <v>1321.9467772999999</v>
      </c>
      <c r="K2121">
        <v>2750</v>
      </c>
      <c r="L2121">
        <v>0</v>
      </c>
      <c r="M2121">
        <v>0</v>
      </c>
      <c r="N2121">
        <v>2750</v>
      </c>
    </row>
    <row r="2122" spans="1:14" x14ac:dyDescent="0.25">
      <c r="A2122">
        <v>1268.8793639999999</v>
      </c>
      <c r="B2122" s="1">
        <f>DATE(2013,10,20) + TIME(21,6,17)</f>
        <v>41567.879363425927</v>
      </c>
      <c r="C2122">
        <v>80</v>
      </c>
      <c r="D2122">
        <v>79.976005553999997</v>
      </c>
      <c r="E2122">
        <v>40</v>
      </c>
      <c r="F2122">
        <v>59.497840881000002</v>
      </c>
      <c r="G2122">
        <v>1339.8012695</v>
      </c>
      <c r="H2122">
        <v>1337.5634766000001</v>
      </c>
      <c r="I2122">
        <v>1324.7302245999999</v>
      </c>
      <c r="J2122">
        <v>1321.9625243999999</v>
      </c>
      <c r="K2122">
        <v>2750</v>
      </c>
      <c r="L2122">
        <v>0</v>
      </c>
      <c r="M2122">
        <v>0</v>
      </c>
      <c r="N2122">
        <v>2750</v>
      </c>
    </row>
    <row r="2123" spans="1:14" x14ac:dyDescent="0.25">
      <c r="A2123">
        <v>1272.5400480000001</v>
      </c>
      <c r="B2123" s="1">
        <f>DATE(2013,10,24) + TIME(12,57,40)</f>
        <v>41571.540046296293</v>
      </c>
      <c r="C2123">
        <v>80</v>
      </c>
      <c r="D2123">
        <v>79.976028442</v>
      </c>
      <c r="E2123">
        <v>40</v>
      </c>
      <c r="F2123">
        <v>59.805099487</v>
      </c>
      <c r="G2123">
        <v>1339.7941894999999</v>
      </c>
      <c r="H2123">
        <v>1337.5593262</v>
      </c>
      <c r="I2123">
        <v>1324.7438964999999</v>
      </c>
      <c r="J2123">
        <v>1321.9774170000001</v>
      </c>
      <c r="K2123">
        <v>2750</v>
      </c>
      <c r="L2123">
        <v>0</v>
      </c>
      <c r="M2123">
        <v>0</v>
      </c>
      <c r="N2123">
        <v>2750</v>
      </c>
    </row>
    <row r="2124" spans="1:14" x14ac:dyDescent="0.25">
      <c r="A2124">
        <v>1274.374996</v>
      </c>
      <c r="B2124" s="1">
        <f>DATE(2013,10,26) + TIME(8,59,59)</f>
        <v>41573.374988425923</v>
      </c>
      <c r="C2124">
        <v>80</v>
      </c>
      <c r="D2124">
        <v>79.976020813000005</v>
      </c>
      <c r="E2124">
        <v>40</v>
      </c>
      <c r="F2124">
        <v>60.382938385000003</v>
      </c>
      <c r="G2124">
        <v>1339.7869873</v>
      </c>
      <c r="H2124">
        <v>1337.5550536999999</v>
      </c>
      <c r="I2124">
        <v>1324.7570800999999</v>
      </c>
      <c r="J2124">
        <v>1321.9932861</v>
      </c>
      <c r="K2124">
        <v>2750</v>
      </c>
      <c r="L2124">
        <v>0</v>
      </c>
      <c r="M2124">
        <v>0</v>
      </c>
      <c r="N2124">
        <v>2750</v>
      </c>
    </row>
    <row r="2125" spans="1:14" x14ac:dyDescent="0.25">
      <c r="A2125">
        <v>1277.5505439999999</v>
      </c>
      <c r="B2125" s="1">
        <f>DATE(2013,10,29) + TIME(13,12,46)</f>
        <v>41576.550532407404</v>
      </c>
      <c r="C2125">
        <v>80</v>
      </c>
      <c r="D2125">
        <v>79.976043700999995</v>
      </c>
      <c r="E2125">
        <v>40</v>
      </c>
      <c r="F2125">
        <v>60.592823029000002</v>
      </c>
      <c r="G2125">
        <v>1339.7835693</v>
      </c>
      <c r="H2125">
        <v>1337.5531006000001</v>
      </c>
      <c r="I2125">
        <v>1324.7650146000001</v>
      </c>
      <c r="J2125">
        <v>1322.0070800999999</v>
      </c>
      <c r="K2125">
        <v>2750</v>
      </c>
      <c r="L2125">
        <v>0</v>
      </c>
      <c r="M2125">
        <v>0</v>
      </c>
      <c r="N2125">
        <v>2750</v>
      </c>
    </row>
    <row r="2126" spans="1:14" x14ac:dyDescent="0.25">
      <c r="A2126">
        <v>1280</v>
      </c>
      <c r="B2126" s="1">
        <f>DATE(2013,11,1) + TIME(0,0,0)</f>
        <v>41579</v>
      </c>
      <c r="C2126">
        <v>80</v>
      </c>
      <c r="D2126">
        <v>79.976051330999994</v>
      </c>
      <c r="E2126">
        <v>40</v>
      </c>
      <c r="F2126">
        <v>60.842662810999997</v>
      </c>
      <c r="G2126">
        <v>1339.7777100000001</v>
      </c>
      <c r="H2126">
        <v>1337.5496826000001</v>
      </c>
      <c r="I2126">
        <v>1324.7749022999999</v>
      </c>
      <c r="J2126">
        <v>1322.015625</v>
      </c>
      <c r="K2126">
        <v>2750</v>
      </c>
      <c r="L2126">
        <v>0</v>
      </c>
      <c r="M2126">
        <v>0</v>
      </c>
      <c r="N2126">
        <v>2750</v>
      </c>
    </row>
    <row r="2127" spans="1:14" x14ac:dyDescent="0.25">
      <c r="A2127">
        <v>1280.0000010000001</v>
      </c>
      <c r="B2127" s="1">
        <f>DATE(2013,11,1) + TIME(0,0,0)</f>
        <v>41579</v>
      </c>
      <c r="C2127">
        <v>80</v>
      </c>
      <c r="D2127">
        <v>79.975952148000005</v>
      </c>
      <c r="E2127">
        <v>40</v>
      </c>
      <c r="F2127">
        <v>60.842761993000003</v>
      </c>
      <c r="G2127">
        <v>1336.8496094</v>
      </c>
      <c r="H2127">
        <v>1336.0588379000001</v>
      </c>
      <c r="I2127">
        <v>1328.4829102000001</v>
      </c>
      <c r="J2127">
        <v>1325.8328856999999</v>
      </c>
      <c r="K2127">
        <v>0</v>
      </c>
      <c r="L2127">
        <v>2750</v>
      </c>
      <c r="M2127">
        <v>2750</v>
      </c>
      <c r="N2127">
        <v>0</v>
      </c>
    </row>
    <row r="2128" spans="1:14" x14ac:dyDescent="0.25">
      <c r="A2128">
        <v>1280.000004</v>
      </c>
      <c r="B2128" s="1">
        <f>DATE(2013,11,1) + TIME(0,0,0)</f>
        <v>41579</v>
      </c>
      <c r="C2128">
        <v>80</v>
      </c>
      <c r="D2128">
        <v>79.975814818999993</v>
      </c>
      <c r="E2128">
        <v>40</v>
      </c>
      <c r="F2128">
        <v>60.842842101999999</v>
      </c>
      <c r="G2128">
        <v>1335.9138184000001</v>
      </c>
      <c r="H2128">
        <v>1335.1101074000001</v>
      </c>
      <c r="I2128">
        <v>1329.8493652</v>
      </c>
      <c r="J2128">
        <v>1327.324707</v>
      </c>
      <c r="K2128">
        <v>0</v>
      </c>
      <c r="L2128">
        <v>2750</v>
      </c>
      <c r="M2128">
        <v>2750</v>
      </c>
      <c r="N2128">
        <v>0</v>
      </c>
    </row>
    <row r="2129" spans="1:14" x14ac:dyDescent="0.25">
      <c r="A2129">
        <v>1280.0000130000001</v>
      </c>
      <c r="B2129" s="1">
        <f>DATE(2013,11,1) + TIME(0,0,1)</f>
        <v>41579.000011574077</v>
      </c>
      <c r="C2129">
        <v>80</v>
      </c>
      <c r="D2129">
        <v>79.975677489999995</v>
      </c>
      <c r="E2129">
        <v>40</v>
      </c>
      <c r="F2129">
        <v>60.842704773000001</v>
      </c>
      <c r="G2129">
        <v>1334.9433594</v>
      </c>
      <c r="H2129">
        <v>1334.1057129000001</v>
      </c>
      <c r="I2129">
        <v>1331.5083007999999</v>
      </c>
      <c r="J2129">
        <v>1328.9649658000001</v>
      </c>
      <c r="K2129">
        <v>0</v>
      </c>
      <c r="L2129">
        <v>2750</v>
      </c>
      <c r="M2129">
        <v>2750</v>
      </c>
      <c r="N2129">
        <v>0</v>
      </c>
    </row>
    <row r="2130" spans="1:14" x14ac:dyDescent="0.25">
      <c r="A2130">
        <v>1280.0000399999999</v>
      </c>
      <c r="B2130" s="1">
        <f>DATE(2013,11,1) + TIME(0,0,3)</f>
        <v>41579.000034722223</v>
      </c>
      <c r="C2130">
        <v>80</v>
      </c>
      <c r="D2130">
        <v>79.975540160999998</v>
      </c>
      <c r="E2130">
        <v>40</v>
      </c>
      <c r="F2130">
        <v>60.841835021999998</v>
      </c>
      <c r="G2130">
        <v>1333.984375</v>
      </c>
      <c r="H2130">
        <v>1333.098999</v>
      </c>
      <c r="I2130">
        <v>1333.1934814000001</v>
      </c>
      <c r="J2130">
        <v>1330.6031493999999</v>
      </c>
      <c r="K2130">
        <v>0</v>
      </c>
      <c r="L2130">
        <v>2750</v>
      </c>
      <c r="M2130">
        <v>2750</v>
      </c>
      <c r="N2130">
        <v>0</v>
      </c>
    </row>
    <row r="2131" spans="1:14" x14ac:dyDescent="0.25">
      <c r="A2131">
        <v>1280.000121</v>
      </c>
      <c r="B2131" s="1">
        <f>DATE(2013,11,1) + TIME(0,0,10)</f>
        <v>41579.000115740739</v>
      </c>
      <c r="C2131">
        <v>80</v>
      </c>
      <c r="D2131">
        <v>79.975387573000006</v>
      </c>
      <c r="E2131">
        <v>40</v>
      </c>
      <c r="F2131">
        <v>60.838733673</v>
      </c>
      <c r="G2131">
        <v>1332.9893798999999</v>
      </c>
      <c r="H2131">
        <v>1332.0404053</v>
      </c>
      <c r="I2131">
        <v>1334.8576660000001</v>
      </c>
      <c r="J2131">
        <v>1332.2218018000001</v>
      </c>
      <c r="K2131">
        <v>0</v>
      </c>
      <c r="L2131">
        <v>2750</v>
      </c>
      <c r="M2131">
        <v>2750</v>
      </c>
      <c r="N2131">
        <v>0</v>
      </c>
    </row>
    <row r="2132" spans="1:14" x14ac:dyDescent="0.25">
      <c r="A2132">
        <v>1280.000364</v>
      </c>
      <c r="B2132" s="1">
        <f>DATE(2013,11,1) + TIME(0,0,31)</f>
        <v>41579.000358796293</v>
      </c>
      <c r="C2132">
        <v>80</v>
      </c>
      <c r="D2132">
        <v>79.975212096999996</v>
      </c>
      <c r="E2132">
        <v>40</v>
      </c>
      <c r="F2132">
        <v>60.828788756999998</v>
      </c>
      <c r="G2132">
        <v>1331.9307861</v>
      </c>
      <c r="H2132">
        <v>1330.9089355000001</v>
      </c>
      <c r="I2132">
        <v>1336.5018310999999</v>
      </c>
      <c r="J2132">
        <v>1333.8088379000001</v>
      </c>
      <c r="K2132">
        <v>0</v>
      </c>
      <c r="L2132">
        <v>2750</v>
      </c>
      <c r="M2132">
        <v>2750</v>
      </c>
      <c r="N2132">
        <v>0</v>
      </c>
    </row>
    <row r="2133" spans="1:14" x14ac:dyDescent="0.25">
      <c r="A2133">
        <v>1280.0010930000001</v>
      </c>
      <c r="B2133" s="1">
        <f>DATE(2013,11,1) + TIME(0,1,34)</f>
        <v>41579.001087962963</v>
      </c>
      <c r="C2133">
        <v>80</v>
      </c>
      <c r="D2133">
        <v>79.974975585999999</v>
      </c>
      <c r="E2133">
        <v>40</v>
      </c>
      <c r="F2133">
        <v>60.797836304</v>
      </c>
      <c r="G2133">
        <v>1330.9095459</v>
      </c>
      <c r="H2133">
        <v>1329.8239745999999</v>
      </c>
      <c r="I2133">
        <v>1338.0018310999999</v>
      </c>
      <c r="J2133">
        <v>1335.2427978999999</v>
      </c>
      <c r="K2133">
        <v>0</v>
      </c>
      <c r="L2133">
        <v>2750</v>
      </c>
      <c r="M2133">
        <v>2750</v>
      </c>
      <c r="N2133">
        <v>0</v>
      </c>
    </row>
    <row r="2134" spans="1:14" x14ac:dyDescent="0.25">
      <c r="A2134">
        <v>1280.0032799999999</v>
      </c>
      <c r="B2134" s="1">
        <f>DATE(2013,11,1) + TIME(0,4,43)</f>
        <v>41579.003275462965</v>
      </c>
      <c r="C2134">
        <v>80</v>
      </c>
      <c r="D2134">
        <v>79.974586486999996</v>
      </c>
      <c r="E2134">
        <v>40</v>
      </c>
      <c r="F2134">
        <v>60.703414917000003</v>
      </c>
      <c r="G2134">
        <v>1330.1445312000001</v>
      </c>
      <c r="H2134">
        <v>1329.0241699000001</v>
      </c>
      <c r="I2134">
        <v>1339.1018065999999</v>
      </c>
      <c r="J2134">
        <v>1336.2923584</v>
      </c>
      <c r="K2134">
        <v>0</v>
      </c>
      <c r="L2134">
        <v>2750</v>
      </c>
      <c r="M2134">
        <v>2750</v>
      </c>
      <c r="N2134">
        <v>0</v>
      </c>
    </row>
    <row r="2135" spans="1:14" x14ac:dyDescent="0.25">
      <c r="A2135">
        <v>1280.0098410000001</v>
      </c>
      <c r="B2135" s="1">
        <f>DATE(2013,11,1) + TIME(0,14,10)</f>
        <v>41579.009837962964</v>
      </c>
      <c r="C2135">
        <v>80</v>
      </c>
      <c r="D2135">
        <v>79.973686217999997</v>
      </c>
      <c r="E2135">
        <v>40</v>
      </c>
      <c r="F2135">
        <v>60.422378539999997</v>
      </c>
      <c r="G2135">
        <v>1329.7604980000001</v>
      </c>
      <c r="H2135">
        <v>1328.6292725000001</v>
      </c>
      <c r="I2135">
        <v>1339.6501464999999</v>
      </c>
      <c r="J2135">
        <v>1336.815918</v>
      </c>
      <c r="K2135">
        <v>0</v>
      </c>
      <c r="L2135">
        <v>2750</v>
      </c>
      <c r="M2135">
        <v>2750</v>
      </c>
      <c r="N2135">
        <v>0</v>
      </c>
    </row>
    <row r="2136" spans="1:14" x14ac:dyDescent="0.25">
      <c r="A2136">
        <v>1280.029524</v>
      </c>
      <c r="B2136" s="1">
        <f>DATE(2013,11,1) + TIME(0,42,30)</f>
        <v>41579.029513888891</v>
      </c>
      <c r="C2136">
        <v>80</v>
      </c>
      <c r="D2136">
        <v>79.971183776999993</v>
      </c>
      <c r="E2136">
        <v>40</v>
      </c>
      <c r="F2136">
        <v>59.617694855000003</v>
      </c>
      <c r="G2136">
        <v>1329.6594238</v>
      </c>
      <c r="H2136">
        <v>1328.5253906</v>
      </c>
      <c r="I2136">
        <v>1339.7891846</v>
      </c>
      <c r="J2136">
        <v>1336.9403076000001</v>
      </c>
      <c r="K2136">
        <v>0</v>
      </c>
      <c r="L2136">
        <v>2750</v>
      </c>
      <c r="M2136">
        <v>2750</v>
      </c>
      <c r="N2136">
        <v>0</v>
      </c>
    </row>
    <row r="2137" spans="1:14" x14ac:dyDescent="0.25">
      <c r="A2137">
        <v>1280.053985</v>
      </c>
      <c r="B2137" s="1">
        <f>DATE(2013,11,1) + TIME(1,17,44)</f>
        <v>41579.053981481484</v>
      </c>
      <c r="C2137">
        <v>80</v>
      </c>
      <c r="D2137">
        <v>79.968116760000001</v>
      </c>
      <c r="E2137">
        <v>40</v>
      </c>
      <c r="F2137">
        <v>58.676685333000002</v>
      </c>
      <c r="G2137">
        <v>1329.6463623</v>
      </c>
      <c r="H2137">
        <v>1328.5107422000001</v>
      </c>
      <c r="I2137">
        <v>1339.7894286999999</v>
      </c>
      <c r="J2137">
        <v>1336.9331055</v>
      </c>
      <c r="K2137">
        <v>0</v>
      </c>
      <c r="L2137">
        <v>2750</v>
      </c>
      <c r="M2137">
        <v>2750</v>
      </c>
      <c r="N2137">
        <v>0</v>
      </c>
    </row>
    <row r="2138" spans="1:14" x14ac:dyDescent="0.25">
      <c r="A2138">
        <v>1280.079978</v>
      </c>
      <c r="B2138" s="1">
        <f>DATE(2013,11,1) + TIME(1,55,10)</f>
        <v>41579.079976851855</v>
      </c>
      <c r="C2138">
        <v>80</v>
      </c>
      <c r="D2138">
        <v>79.964889525999993</v>
      </c>
      <c r="E2138">
        <v>40</v>
      </c>
      <c r="F2138">
        <v>57.739021301000001</v>
      </c>
      <c r="G2138">
        <v>1329.6419678</v>
      </c>
      <c r="H2138">
        <v>1328.5043945</v>
      </c>
      <c r="I2138">
        <v>1339.7736815999999</v>
      </c>
      <c r="J2138">
        <v>1336.9118652</v>
      </c>
      <c r="K2138">
        <v>0</v>
      </c>
      <c r="L2138">
        <v>2750</v>
      </c>
      <c r="M2138">
        <v>2750</v>
      </c>
      <c r="N2138">
        <v>0</v>
      </c>
    </row>
    <row r="2139" spans="1:14" x14ac:dyDescent="0.25">
      <c r="A2139">
        <v>1280.1077</v>
      </c>
      <c r="B2139" s="1">
        <f>DATE(2013,11,1) + TIME(2,35,5)</f>
        <v>41579.10769675926</v>
      </c>
      <c r="C2139">
        <v>80</v>
      </c>
      <c r="D2139">
        <v>79.961471558</v>
      </c>
      <c r="E2139">
        <v>40</v>
      </c>
      <c r="F2139">
        <v>56.803981780999997</v>
      </c>
      <c r="G2139">
        <v>1329.6380615</v>
      </c>
      <c r="H2139">
        <v>1328.4985352000001</v>
      </c>
      <c r="I2139">
        <v>1339.7565918</v>
      </c>
      <c r="J2139">
        <v>1336.8892822</v>
      </c>
      <c r="K2139">
        <v>0</v>
      </c>
      <c r="L2139">
        <v>2750</v>
      </c>
      <c r="M2139">
        <v>2750</v>
      </c>
      <c r="N2139">
        <v>0</v>
      </c>
    </row>
    <row r="2140" spans="1:14" x14ac:dyDescent="0.25">
      <c r="A2140">
        <v>1280.137348</v>
      </c>
      <c r="B2140" s="1">
        <f>DATE(2013,11,1) + TIME(3,17,46)</f>
        <v>41579.137337962966</v>
      </c>
      <c r="C2140">
        <v>80</v>
      </c>
      <c r="D2140">
        <v>79.957855225000003</v>
      </c>
      <c r="E2140">
        <v>40</v>
      </c>
      <c r="F2140">
        <v>55.871810912999997</v>
      </c>
      <c r="G2140">
        <v>1329.6340332</v>
      </c>
      <c r="H2140">
        <v>1328.4924315999999</v>
      </c>
      <c r="I2140">
        <v>1339.7392577999999</v>
      </c>
      <c r="J2140">
        <v>1336.8665771000001</v>
      </c>
      <c r="K2140">
        <v>0</v>
      </c>
      <c r="L2140">
        <v>2750</v>
      </c>
      <c r="M2140">
        <v>2750</v>
      </c>
      <c r="N2140">
        <v>0</v>
      </c>
    </row>
    <row r="2141" spans="1:14" x14ac:dyDescent="0.25">
      <c r="A2141">
        <v>1280.1691539999999</v>
      </c>
      <c r="B2141" s="1">
        <f>DATE(2013,11,1) + TIME(4,3,34)</f>
        <v>41579.16914351852</v>
      </c>
      <c r="C2141">
        <v>80</v>
      </c>
      <c r="D2141">
        <v>79.954010010000005</v>
      </c>
      <c r="E2141">
        <v>40</v>
      </c>
      <c r="F2141">
        <v>54.942798615000001</v>
      </c>
      <c r="G2141">
        <v>1329.6298827999999</v>
      </c>
      <c r="H2141">
        <v>1328.4860839999999</v>
      </c>
      <c r="I2141">
        <v>1339.7218018000001</v>
      </c>
      <c r="J2141">
        <v>1336.8438721</v>
      </c>
      <c r="K2141">
        <v>0</v>
      </c>
      <c r="L2141">
        <v>2750</v>
      </c>
      <c r="M2141">
        <v>2750</v>
      </c>
      <c r="N2141">
        <v>0</v>
      </c>
    </row>
    <row r="2142" spans="1:14" x14ac:dyDescent="0.25">
      <c r="A2142">
        <v>1280.203389</v>
      </c>
      <c r="B2142" s="1">
        <f>DATE(2013,11,1) + TIME(4,52,52)</f>
        <v>41579.203379629631</v>
      </c>
      <c r="C2142">
        <v>80</v>
      </c>
      <c r="D2142">
        <v>79.949913025000001</v>
      </c>
      <c r="E2142">
        <v>40</v>
      </c>
      <c r="F2142">
        <v>54.017284392999997</v>
      </c>
      <c r="G2142">
        <v>1329.6253661999999</v>
      </c>
      <c r="H2142">
        <v>1328.4793701000001</v>
      </c>
      <c r="I2142">
        <v>1339.7042236</v>
      </c>
      <c r="J2142">
        <v>1336.8210449000001</v>
      </c>
      <c r="K2142">
        <v>0</v>
      </c>
      <c r="L2142">
        <v>2750</v>
      </c>
      <c r="M2142">
        <v>2750</v>
      </c>
      <c r="N2142">
        <v>0</v>
      </c>
    </row>
    <row r="2143" spans="1:14" x14ac:dyDescent="0.25">
      <c r="A2143">
        <v>1280.24038</v>
      </c>
      <c r="B2143" s="1">
        <f>DATE(2013,11,1) + TIME(5,46,8)</f>
        <v>41579.240370370368</v>
      </c>
      <c r="C2143">
        <v>80</v>
      </c>
      <c r="D2143">
        <v>79.945541382000002</v>
      </c>
      <c r="E2143">
        <v>40</v>
      </c>
      <c r="F2143">
        <v>53.095668793000002</v>
      </c>
      <c r="G2143">
        <v>1329.6207274999999</v>
      </c>
      <c r="H2143">
        <v>1328.4722899999999</v>
      </c>
      <c r="I2143">
        <v>1339.6864014</v>
      </c>
      <c r="J2143">
        <v>1336.7980957</v>
      </c>
      <c r="K2143">
        <v>0</v>
      </c>
      <c r="L2143">
        <v>2750</v>
      </c>
      <c r="M2143">
        <v>2750</v>
      </c>
      <c r="N2143">
        <v>0</v>
      </c>
    </row>
    <row r="2144" spans="1:14" x14ac:dyDescent="0.25">
      <c r="A2144">
        <v>1280.2805169999999</v>
      </c>
      <c r="B2144" s="1">
        <f>DATE(2013,11,1) + TIME(6,43,56)</f>
        <v>41579.280509259261</v>
      </c>
      <c r="C2144">
        <v>80</v>
      </c>
      <c r="D2144">
        <v>79.940849303999997</v>
      </c>
      <c r="E2144">
        <v>40</v>
      </c>
      <c r="F2144">
        <v>52.178432465</v>
      </c>
      <c r="G2144">
        <v>1329.6157227000001</v>
      </c>
      <c r="H2144">
        <v>1328.4648437999999</v>
      </c>
      <c r="I2144">
        <v>1339.668457</v>
      </c>
      <c r="J2144">
        <v>1336.7751464999999</v>
      </c>
      <c r="K2144">
        <v>0</v>
      </c>
      <c r="L2144">
        <v>2750</v>
      </c>
      <c r="M2144">
        <v>2750</v>
      </c>
      <c r="N2144">
        <v>0</v>
      </c>
    </row>
    <row r="2145" spans="1:14" x14ac:dyDescent="0.25">
      <c r="A2145">
        <v>1280.3242749999999</v>
      </c>
      <c r="B2145" s="1">
        <f>DATE(2013,11,1) + TIME(7,46,57)</f>
        <v>41579.324270833335</v>
      </c>
      <c r="C2145">
        <v>80</v>
      </c>
      <c r="D2145">
        <v>79.935798645000006</v>
      </c>
      <c r="E2145">
        <v>40</v>
      </c>
      <c r="F2145">
        <v>51.266132355000003</v>
      </c>
      <c r="G2145">
        <v>1329.6103516000001</v>
      </c>
      <c r="H2145">
        <v>1328.4567870999999</v>
      </c>
      <c r="I2145">
        <v>1339.6503906</v>
      </c>
      <c r="J2145">
        <v>1336.7520752</v>
      </c>
      <c r="K2145">
        <v>0</v>
      </c>
      <c r="L2145">
        <v>2750</v>
      </c>
      <c r="M2145">
        <v>2750</v>
      </c>
      <c r="N2145">
        <v>0</v>
      </c>
    </row>
    <row r="2146" spans="1:14" x14ac:dyDescent="0.25">
      <c r="A2146">
        <v>1280.372241</v>
      </c>
      <c r="B2146" s="1">
        <f>DATE(2013,11,1) + TIME(8,56,1)</f>
        <v>41579.372233796297</v>
      </c>
      <c r="C2146">
        <v>80</v>
      </c>
      <c r="D2146">
        <v>79.930335998999993</v>
      </c>
      <c r="E2146">
        <v>40</v>
      </c>
      <c r="F2146">
        <v>50.359455109000002</v>
      </c>
      <c r="G2146">
        <v>1329.6047363</v>
      </c>
      <c r="H2146">
        <v>1328.4482422000001</v>
      </c>
      <c r="I2146">
        <v>1339.6320800999999</v>
      </c>
      <c r="J2146">
        <v>1336.729126</v>
      </c>
      <c r="K2146">
        <v>0</v>
      </c>
      <c r="L2146">
        <v>2750</v>
      </c>
      <c r="M2146">
        <v>2750</v>
      </c>
      <c r="N2146">
        <v>0</v>
      </c>
    </row>
    <row r="2147" spans="1:14" x14ac:dyDescent="0.25">
      <c r="A2147">
        <v>1280.4251429999999</v>
      </c>
      <c r="B2147" s="1">
        <f>DATE(2013,11,1) + TIME(10,12,12)</f>
        <v>41579.425138888888</v>
      </c>
      <c r="C2147">
        <v>80</v>
      </c>
      <c r="D2147">
        <v>79.924400329999997</v>
      </c>
      <c r="E2147">
        <v>40</v>
      </c>
      <c r="F2147">
        <v>49.458976745999998</v>
      </c>
      <c r="G2147">
        <v>1329.5986327999999</v>
      </c>
      <c r="H2147">
        <v>1328.4392089999999</v>
      </c>
      <c r="I2147">
        <v>1339.6136475000001</v>
      </c>
      <c r="J2147">
        <v>1336.7060547000001</v>
      </c>
      <c r="K2147">
        <v>0</v>
      </c>
      <c r="L2147">
        <v>2750</v>
      </c>
      <c r="M2147">
        <v>2750</v>
      </c>
      <c r="N2147">
        <v>0</v>
      </c>
    </row>
    <row r="2148" spans="1:14" x14ac:dyDescent="0.25">
      <c r="A2148">
        <v>1280.4838910000001</v>
      </c>
      <c r="B2148" s="1">
        <f>DATE(2013,11,1) + TIME(11,36,48)</f>
        <v>41579.483888888892</v>
      </c>
      <c r="C2148">
        <v>80</v>
      </c>
      <c r="D2148">
        <v>79.917922974000007</v>
      </c>
      <c r="E2148">
        <v>40</v>
      </c>
      <c r="F2148">
        <v>48.566032409999998</v>
      </c>
      <c r="G2148">
        <v>1329.5921631000001</v>
      </c>
      <c r="H2148">
        <v>1328.4293213000001</v>
      </c>
      <c r="I2148">
        <v>1339.5949707</v>
      </c>
      <c r="J2148">
        <v>1336.6829834</v>
      </c>
      <c r="K2148">
        <v>0</v>
      </c>
      <c r="L2148">
        <v>2750</v>
      </c>
      <c r="M2148">
        <v>2750</v>
      </c>
      <c r="N2148">
        <v>0</v>
      </c>
    </row>
    <row r="2149" spans="1:14" x14ac:dyDescent="0.25">
      <c r="A2149">
        <v>1280.5496840000001</v>
      </c>
      <c r="B2149" s="1">
        <f>DATE(2013,11,1) + TIME(13,11,32)</f>
        <v>41579.549675925926</v>
      </c>
      <c r="C2149">
        <v>80</v>
      </c>
      <c r="D2149">
        <v>79.910789489999999</v>
      </c>
      <c r="E2149">
        <v>40</v>
      </c>
      <c r="F2149">
        <v>47.682029724000003</v>
      </c>
      <c r="G2149">
        <v>1329.5849608999999</v>
      </c>
      <c r="H2149">
        <v>1328.4187012</v>
      </c>
      <c r="I2149">
        <v>1339.5760498</v>
      </c>
      <c r="J2149">
        <v>1336.6599120999999</v>
      </c>
      <c r="K2149">
        <v>0</v>
      </c>
      <c r="L2149">
        <v>2750</v>
      </c>
      <c r="M2149">
        <v>2750</v>
      </c>
      <c r="N2149">
        <v>0</v>
      </c>
    </row>
    <row r="2150" spans="1:14" x14ac:dyDescent="0.25">
      <c r="A2150">
        <v>1280.6241090000001</v>
      </c>
      <c r="B2150" s="1">
        <f>DATE(2013,11,1) + TIME(14,58,43)</f>
        <v>41579.624108796299</v>
      </c>
      <c r="C2150">
        <v>80</v>
      </c>
      <c r="D2150">
        <v>79.902885436999995</v>
      </c>
      <c r="E2150">
        <v>40</v>
      </c>
      <c r="F2150">
        <v>46.808475494</v>
      </c>
      <c r="G2150">
        <v>1329.5772704999999</v>
      </c>
      <c r="H2150">
        <v>1328.4071045000001</v>
      </c>
      <c r="I2150">
        <v>1339.5570068</v>
      </c>
      <c r="J2150">
        <v>1336.6369629000001</v>
      </c>
      <c r="K2150">
        <v>0</v>
      </c>
      <c r="L2150">
        <v>2750</v>
      </c>
      <c r="M2150">
        <v>2750</v>
      </c>
      <c r="N2150">
        <v>0</v>
      </c>
    </row>
    <row r="2151" spans="1:14" x14ac:dyDescent="0.25">
      <c r="A2151">
        <v>1280.7013529999999</v>
      </c>
      <c r="B2151" s="1">
        <f>DATE(2013,11,1) + TIME(16,49,56)</f>
        <v>41579.701342592591</v>
      </c>
      <c r="C2151">
        <v>80</v>
      </c>
      <c r="D2151">
        <v>79.894790649000001</v>
      </c>
      <c r="E2151">
        <v>40</v>
      </c>
      <c r="F2151">
        <v>46.017913817999997</v>
      </c>
      <c r="G2151">
        <v>1329.5689697</v>
      </c>
      <c r="H2151">
        <v>1328.3946533000001</v>
      </c>
      <c r="I2151">
        <v>1339.5386963000001</v>
      </c>
      <c r="J2151">
        <v>1336.6157227000001</v>
      </c>
      <c r="K2151">
        <v>0</v>
      </c>
      <c r="L2151">
        <v>2750</v>
      </c>
      <c r="M2151">
        <v>2750</v>
      </c>
      <c r="N2151">
        <v>0</v>
      </c>
    </row>
    <row r="2152" spans="1:14" x14ac:dyDescent="0.25">
      <c r="A2152">
        <v>1280.781606</v>
      </c>
      <c r="B2152" s="1">
        <f>DATE(2013,11,1) + TIME(18,45,30)</f>
        <v>41579.781597222223</v>
      </c>
      <c r="C2152">
        <v>80</v>
      </c>
      <c r="D2152">
        <v>79.886497497999997</v>
      </c>
      <c r="E2152">
        <v>40</v>
      </c>
      <c r="F2152">
        <v>45.303104400999999</v>
      </c>
      <c r="G2152">
        <v>1329.5606689000001</v>
      </c>
      <c r="H2152">
        <v>1328.3822021000001</v>
      </c>
      <c r="I2152">
        <v>1339.5218506000001</v>
      </c>
      <c r="J2152">
        <v>1336.5965576000001</v>
      </c>
      <c r="K2152">
        <v>0</v>
      </c>
      <c r="L2152">
        <v>2750</v>
      </c>
      <c r="M2152">
        <v>2750</v>
      </c>
      <c r="N2152">
        <v>0</v>
      </c>
    </row>
    <row r="2153" spans="1:14" x14ac:dyDescent="0.25">
      <c r="A2153">
        <v>1280.8650640000001</v>
      </c>
      <c r="B2153" s="1">
        <f>DATE(2013,11,1) + TIME(20,45,41)</f>
        <v>41579.865057870367</v>
      </c>
      <c r="C2153">
        <v>80</v>
      </c>
      <c r="D2153">
        <v>79.877998352000006</v>
      </c>
      <c r="E2153">
        <v>40</v>
      </c>
      <c r="F2153">
        <v>44.657669067</v>
      </c>
      <c r="G2153">
        <v>1329.552124</v>
      </c>
      <c r="H2153">
        <v>1328.3695068</v>
      </c>
      <c r="I2153">
        <v>1339.5064697</v>
      </c>
      <c r="J2153">
        <v>1336.5791016000001</v>
      </c>
      <c r="K2153">
        <v>0</v>
      </c>
      <c r="L2153">
        <v>2750</v>
      </c>
      <c r="M2153">
        <v>2750</v>
      </c>
      <c r="N2153">
        <v>0</v>
      </c>
    </row>
    <row r="2154" spans="1:14" x14ac:dyDescent="0.25">
      <c r="A2154">
        <v>1280.9519439999999</v>
      </c>
      <c r="B2154" s="1">
        <f>DATE(2013,11,1) + TIME(22,50,47)</f>
        <v>41579.951932870368</v>
      </c>
      <c r="C2154">
        <v>80</v>
      </c>
      <c r="D2154">
        <v>79.869262695000003</v>
      </c>
      <c r="E2154">
        <v>40</v>
      </c>
      <c r="F2154">
        <v>44.075855255</v>
      </c>
      <c r="G2154">
        <v>1329.543457</v>
      </c>
      <c r="H2154">
        <v>1328.3566894999999</v>
      </c>
      <c r="I2154">
        <v>1339.4923096</v>
      </c>
      <c r="J2154">
        <v>1336.5633545000001</v>
      </c>
      <c r="K2154">
        <v>0</v>
      </c>
      <c r="L2154">
        <v>2750</v>
      </c>
      <c r="M2154">
        <v>2750</v>
      </c>
      <c r="N2154">
        <v>0</v>
      </c>
    </row>
    <row r="2155" spans="1:14" x14ac:dyDescent="0.25">
      <c r="A2155">
        <v>1281.0423920000001</v>
      </c>
      <c r="B2155" s="1">
        <f>DATE(2013,11,2) + TIME(1,1,2)</f>
        <v>41580.042384259257</v>
      </c>
      <c r="C2155">
        <v>80</v>
      </c>
      <c r="D2155">
        <v>79.860298157000003</v>
      </c>
      <c r="E2155">
        <v>40</v>
      </c>
      <c r="F2155">
        <v>43.552932738999999</v>
      </c>
      <c r="G2155">
        <v>1329.534668</v>
      </c>
      <c r="H2155">
        <v>1328.3436279</v>
      </c>
      <c r="I2155">
        <v>1339.4792480000001</v>
      </c>
      <c r="J2155">
        <v>1336.5491943</v>
      </c>
      <c r="K2155">
        <v>0</v>
      </c>
      <c r="L2155">
        <v>2750</v>
      </c>
      <c r="M2155">
        <v>2750</v>
      </c>
      <c r="N2155">
        <v>0</v>
      </c>
    </row>
    <row r="2156" spans="1:14" x14ac:dyDescent="0.25">
      <c r="A2156">
        <v>1281.1362650000001</v>
      </c>
      <c r="B2156" s="1">
        <f>DATE(2013,11,2) + TIME(3,16,13)</f>
        <v>41580.136261574073</v>
      </c>
      <c r="C2156">
        <v>80</v>
      </c>
      <c r="D2156">
        <v>79.851104735999996</v>
      </c>
      <c r="E2156">
        <v>40</v>
      </c>
      <c r="F2156">
        <v>43.085704802999999</v>
      </c>
      <c r="G2156">
        <v>1329.5257568</v>
      </c>
      <c r="H2156">
        <v>1328.3303223</v>
      </c>
      <c r="I2156">
        <v>1339.4672852000001</v>
      </c>
      <c r="J2156">
        <v>1336.536499</v>
      </c>
      <c r="K2156">
        <v>0</v>
      </c>
      <c r="L2156">
        <v>2750</v>
      </c>
      <c r="M2156">
        <v>2750</v>
      </c>
      <c r="N2156">
        <v>0</v>
      </c>
    </row>
    <row r="2157" spans="1:14" x14ac:dyDescent="0.25">
      <c r="A2157">
        <v>1281.233718</v>
      </c>
      <c r="B2157" s="1">
        <f>DATE(2013,11,2) + TIME(5,36,33)</f>
        <v>41580.233715277776</v>
      </c>
      <c r="C2157">
        <v>80</v>
      </c>
      <c r="D2157">
        <v>79.841674804999997</v>
      </c>
      <c r="E2157">
        <v>40</v>
      </c>
      <c r="F2157">
        <v>42.669433593999997</v>
      </c>
      <c r="G2157">
        <v>1329.5167236</v>
      </c>
      <c r="H2157">
        <v>1328.3168945</v>
      </c>
      <c r="I2157">
        <v>1339.4564209</v>
      </c>
      <c r="J2157">
        <v>1336.5250243999999</v>
      </c>
      <c r="K2157">
        <v>0</v>
      </c>
      <c r="L2157">
        <v>2750</v>
      </c>
      <c r="M2157">
        <v>2750</v>
      </c>
      <c r="N2157">
        <v>0</v>
      </c>
    </row>
    <row r="2158" spans="1:14" x14ac:dyDescent="0.25">
      <c r="A2158">
        <v>1281.334953</v>
      </c>
      <c r="B2158" s="1">
        <f>DATE(2013,11,2) + TIME(8,2,19)</f>
        <v>41580.33494212963</v>
      </c>
      <c r="C2158">
        <v>80</v>
      </c>
      <c r="D2158">
        <v>79.832008361999996</v>
      </c>
      <c r="E2158">
        <v>40</v>
      </c>
      <c r="F2158">
        <v>42.299610137999998</v>
      </c>
      <c r="G2158">
        <v>1329.5075684000001</v>
      </c>
      <c r="H2158">
        <v>1328.3032227000001</v>
      </c>
      <c r="I2158">
        <v>1339.4464111</v>
      </c>
      <c r="J2158">
        <v>1336.5148925999999</v>
      </c>
      <c r="K2158">
        <v>0</v>
      </c>
      <c r="L2158">
        <v>2750</v>
      </c>
      <c r="M2158">
        <v>2750</v>
      </c>
      <c r="N2158">
        <v>0</v>
      </c>
    </row>
    <row r="2159" spans="1:14" x14ac:dyDescent="0.25">
      <c r="A2159">
        <v>1281.4401640000001</v>
      </c>
      <c r="B2159" s="1">
        <f>DATE(2013,11,2) + TIME(10,33,50)</f>
        <v>41580.440162037034</v>
      </c>
      <c r="C2159">
        <v>80</v>
      </c>
      <c r="D2159">
        <v>79.822067261000001</v>
      </c>
      <c r="E2159">
        <v>40</v>
      </c>
      <c r="F2159">
        <v>41.972156525000003</v>
      </c>
      <c r="G2159">
        <v>1329.4981689000001</v>
      </c>
      <c r="H2159">
        <v>1328.2893065999999</v>
      </c>
      <c r="I2159">
        <v>1339.4373779</v>
      </c>
      <c r="J2159">
        <v>1336.5058594</v>
      </c>
      <c r="K2159">
        <v>0</v>
      </c>
      <c r="L2159">
        <v>2750</v>
      </c>
      <c r="M2159">
        <v>2750</v>
      </c>
      <c r="N2159">
        <v>0</v>
      </c>
    </row>
    <row r="2160" spans="1:14" x14ac:dyDescent="0.25">
      <c r="A2160">
        <v>1281.549548</v>
      </c>
      <c r="B2160" s="1">
        <f>DATE(2013,11,2) + TIME(13,11,20)</f>
        <v>41580.549537037034</v>
      </c>
      <c r="C2160">
        <v>80</v>
      </c>
      <c r="D2160">
        <v>79.811859131000006</v>
      </c>
      <c r="E2160">
        <v>40</v>
      </c>
      <c r="F2160">
        <v>41.683296204000001</v>
      </c>
      <c r="G2160">
        <v>1329.4886475000001</v>
      </c>
      <c r="H2160">
        <v>1328.2752685999999</v>
      </c>
      <c r="I2160">
        <v>1339.4289550999999</v>
      </c>
      <c r="J2160">
        <v>1336.4978027</v>
      </c>
      <c r="K2160">
        <v>0</v>
      </c>
      <c r="L2160">
        <v>2750</v>
      </c>
      <c r="M2160">
        <v>2750</v>
      </c>
      <c r="N2160">
        <v>0</v>
      </c>
    </row>
    <row r="2161" spans="1:14" x14ac:dyDescent="0.25">
      <c r="A2161">
        <v>1281.6634059999999</v>
      </c>
      <c r="B2161" s="1">
        <f>DATE(2013,11,2) + TIME(15,55,18)</f>
        <v>41580.663402777776</v>
      </c>
      <c r="C2161">
        <v>80</v>
      </c>
      <c r="D2161">
        <v>79.801345824999999</v>
      </c>
      <c r="E2161">
        <v>40</v>
      </c>
      <c r="F2161">
        <v>41.429344176999997</v>
      </c>
      <c r="G2161">
        <v>1329.4788818</v>
      </c>
      <c r="H2161">
        <v>1328.2608643000001</v>
      </c>
      <c r="I2161">
        <v>1339.4212646000001</v>
      </c>
      <c r="J2161">
        <v>1336.4907227000001</v>
      </c>
      <c r="K2161">
        <v>0</v>
      </c>
      <c r="L2161">
        <v>2750</v>
      </c>
      <c r="M2161">
        <v>2750</v>
      </c>
      <c r="N2161">
        <v>0</v>
      </c>
    </row>
    <row r="2162" spans="1:14" x14ac:dyDescent="0.25">
      <c r="A2162">
        <v>1281.7820200000001</v>
      </c>
      <c r="B2162" s="1">
        <f>DATE(2013,11,2) + TIME(18,46,6)</f>
        <v>41580.782013888886</v>
      </c>
      <c r="C2162">
        <v>80</v>
      </c>
      <c r="D2162">
        <v>79.790519713999998</v>
      </c>
      <c r="E2162">
        <v>40</v>
      </c>
      <c r="F2162">
        <v>41.207004546999997</v>
      </c>
      <c r="G2162">
        <v>1329.4689940999999</v>
      </c>
      <c r="H2162">
        <v>1328.2462158000001</v>
      </c>
      <c r="I2162">
        <v>1339.4140625</v>
      </c>
      <c r="J2162">
        <v>1336.4844971</v>
      </c>
      <c r="K2162">
        <v>0</v>
      </c>
      <c r="L2162">
        <v>2750</v>
      </c>
      <c r="M2162">
        <v>2750</v>
      </c>
      <c r="N2162">
        <v>0</v>
      </c>
    </row>
    <row r="2163" spans="1:14" x14ac:dyDescent="0.25">
      <c r="A2163">
        <v>1281.9056929999999</v>
      </c>
      <c r="B2163" s="1">
        <f>DATE(2013,11,2) + TIME(21,44,11)</f>
        <v>41580.905682870369</v>
      </c>
      <c r="C2163">
        <v>80</v>
      </c>
      <c r="D2163">
        <v>79.779350281000006</v>
      </c>
      <c r="E2163">
        <v>40</v>
      </c>
      <c r="F2163">
        <v>41.013225554999998</v>
      </c>
      <c r="G2163">
        <v>1329.4588623</v>
      </c>
      <c r="H2163">
        <v>1328.2312012</v>
      </c>
      <c r="I2163">
        <v>1339.4074707</v>
      </c>
      <c r="J2163">
        <v>1336.4790039</v>
      </c>
      <c r="K2163">
        <v>0</v>
      </c>
      <c r="L2163">
        <v>2750</v>
      </c>
      <c r="M2163">
        <v>2750</v>
      </c>
      <c r="N2163">
        <v>0</v>
      </c>
    </row>
    <row r="2164" spans="1:14" x14ac:dyDescent="0.25">
      <c r="A2164">
        <v>1282.0347469999999</v>
      </c>
      <c r="B2164" s="1">
        <f>DATE(2013,11,3) + TIME(0,50,2)</f>
        <v>41581.034745370373</v>
      </c>
      <c r="C2164">
        <v>80</v>
      </c>
      <c r="D2164">
        <v>79.767807007000002</v>
      </c>
      <c r="E2164">
        <v>40</v>
      </c>
      <c r="F2164">
        <v>40.845176696999999</v>
      </c>
      <c r="G2164">
        <v>1329.4483643000001</v>
      </c>
      <c r="H2164">
        <v>1328.2159423999999</v>
      </c>
      <c r="I2164">
        <v>1339.4013672000001</v>
      </c>
      <c r="J2164">
        <v>1336.4742432</v>
      </c>
      <c r="K2164">
        <v>0</v>
      </c>
      <c r="L2164">
        <v>2750</v>
      </c>
      <c r="M2164">
        <v>2750</v>
      </c>
      <c r="N2164">
        <v>0</v>
      </c>
    </row>
    <row r="2165" spans="1:14" x14ac:dyDescent="0.25">
      <c r="A2165">
        <v>1282.1695340000001</v>
      </c>
      <c r="B2165" s="1">
        <f>DATE(2013,11,3) + TIME(4,4,7)</f>
        <v>41581.169525462959</v>
      </c>
      <c r="C2165">
        <v>80</v>
      </c>
      <c r="D2165">
        <v>79.755882263000004</v>
      </c>
      <c r="E2165">
        <v>40</v>
      </c>
      <c r="F2165">
        <v>40.700225830000001</v>
      </c>
      <c r="G2165">
        <v>1329.4377440999999</v>
      </c>
      <c r="H2165">
        <v>1328.2003173999999</v>
      </c>
      <c r="I2165">
        <v>1339.3957519999999</v>
      </c>
      <c r="J2165">
        <v>1336.4699707</v>
      </c>
      <c r="K2165">
        <v>0</v>
      </c>
      <c r="L2165">
        <v>2750</v>
      </c>
      <c r="M2165">
        <v>2750</v>
      </c>
      <c r="N2165">
        <v>0</v>
      </c>
    </row>
    <row r="2166" spans="1:14" x14ac:dyDescent="0.25">
      <c r="A2166">
        <v>1282.310432</v>
      </c>
      <c r="B2166" s="1">
        <f>DATE(2013,11,3) + TIME(7,27,1)</f>
        <v>41581.310428240744</v>
      </c>
      <c r="C2166">
        <v>80</v>
      </c>
      <c r="D2166">
        <v>79.743530273000005</v>
      </c>
      <c r="E2166">
        <v>40</v>
      </c>
      <c r="F2166">
        <v>40.575923920000001</v>
      </c>
      <c r="G2166">
        <v>1329.4267577999999</v>
      </c>
      <c r="H2166">
        <v>1328.1842041</v>
      </c>
      <c r="I2166">
        <v>1339.3905029</v>
      </c>
      <c r="J2166">
        <v>1336.4664307</v>
      </c>
      <c r="K2166">
        <v>0</v>
      </c>
      <c r="L2166">
        <v>2750</v>
      </c>
      <c r="M2166">
        <v>2750</v>
      </c>
      <c r="N2166">
        <v>0</v>
      </c>
    </row>
    <row r="2167" spans="1:14" x14ac:dyDescent="0.25">
      <c r="A2167">
        <v>1282.4578570000001</v>
      </c>
      <c r="B2167" s="1">
        <f>DATE(2013,11,3) + TIME(10,59,18)</f>
        <v>41581.45784722222</v>
      </c>
      <c r="C2167">
        <v>80</v>
      </c>
      <c r="D2167">
        <v>79.730743407999995</v>
      </c>
      <c r="E2167">
        <v>40</v>
      </c>
      <c r="F2167">
        <v>40.469989777000002</v>
      </c>
      <c r="G2167">
        <v>1329.4155272999999</v>
      </c>
      <c r="H2167">
        <v>1328.1677245999999</v>
      </c>
      <c r="I2167">
        <v>1339.3856201000001</v>
      </c>
      <c r="J2167">
        <v>1336.4632568</v>
      </c>
      <c r="K2167">
        <v>0</v>
      </c>
      <c r="L2167">
        <v>2750</v>
      </c>
      <c r="M2167">
        <v>2750</v>
      </c>
      <c r="N2167">
        <v>0</v>
      </c>
    </row>
    <row r="2168" spans="1:14" x14ac:dyDescent="0.25">
      <c r="A2168">
        <v>1282.612261</v>
      </c>
      <c r="B2168" s="1">
        <f>DATE(2013,11,3) + TIME(14,41,39)</f>
        <v>41581.612256944441</v>
      </c>
      <c r="C2168">
        <v>80</v>
      </c>
      <c r="D2168">
        <v>79.717468261999997</v>
      </c>
      <c r="E2168">
        <v>40</v>
      </c>
      <c r="F2168">
        <v>40.380317687999998</v>
      </c>
      <c r="G2168">
        <v>1329.4040527</v>
      </c>
      <c r="H2168">
        <v>1328.1507568</v>
      </c>
      <c r="I2168">
        <v>1339.3809814000001</v>
      </c>
      <c r="J2168">
        <v>1336.4604492000001</v>
      </c>
      <c r="K2168">
        <v>0</v>
      </c>
      <c r="L2168">
        <v>2750</v>
      </c>
      <c r="M2168">
        <v>2750</v>
      </c>
      <c r="N2168">
        <v>0</v>
      </c>
    </row>
    <row r="2169" spans="1:14" x14ac:dyDescent="0.25">
      <c r="A2169">
        <v>1282.7741410000001</v>
      </c>
      <c r="B2169" s="1">
        <f>DATE(2013,11,3) + TIME(18,34,45)</f>
        <v>41581.774131944447</v>
      </c>
      <c r="C2169">
        <v>80</v>
      </c>
      <c r="D2169">
        <v>79.703681946000003</v>
      </c>
      <c r="E2169">
        <v>40</v>
      </c>
      <c r="F2169">
        <v>40.304954529</v>
      </c>
      <c r="G2169">
        <v>1329.3920897999999</v>
      </c>
      <c r="H2169">
        <v>1328.1334228999999</v>
      </c>
      <c r="I2169">
        <v>1339.3767089999999</v>
      </c>
      <c r="J2169">
        <v>1336.4581298999999</v>
      </c>
      <c r="K2169">
        <v>0</v>
      </c>
      <c r="L2169">
        <v>2750</v>
      </c>
      <c r="M2169">
        <v>2750</v>
      </c>
      <c r="N2169">
        <v>0</v>
      </c>
    </row>
    <row r="2170" spans="1:14" x14ac:dyDescent="0.25">
      <c r="A2170">
        <v>1282.9439620000001</v>
      </c>
      <c r="B2170" s="1">
        <f>DATE(2013,11,3) + TIME(22,39,18)</f>
        <v>41581.943958333337</v>
      </c>
      <c r="C2170">
        <v>80</v>
      </c>
      <c r="D2170">
        <v>79.689353943</v>
      </c>
      <c r="E2170">
        <v>40</v>
      </c>
      <c r="F2170">
        <v>40.242115020999996</v>
      </c>
      <c r="G2170">
        <v>1329.3797606999999</v>
      </c>
      <c r="H2170">
        <v>1328.1154785000001</v>
      </c>
      <c r="I2170">
        <v>1339.3725586</v>
      </c>
      <c r="J2170">
        <v>1336.4561768000001</v>
      </c>
      <c r="K2170">
        <v>0</v>
      </c>
      <c r="L2170">
        <v>2750</v>
      </c>
      <c r="M2170">
        <v>2750</v>
      </c>
      <c r="N2170">
        <v>0</v>
      </c>
    </row>
    <row r="2171" spans="1:14" x14ac:dyDescent="0.25">
      <c r="A2171">
        <v>1283.1223640000001</v>
      </c>
      <c r="B2171" s="1">
        <f>DATE(2013,11,4) + TIME(2,56,12)</f>
        <v>41582.122361111113</v>
      </c>
      <c r="C2171">
        <v>80</v>
      </c>
      <c r="D2171">
        <v>79.674438476999995</v>
      </c>
      <c r="E2171">
        <v>40</v>
      </c>
      <c r="F2171">
        <v>40.190135955999999</v>
      </c>
      <c r="G2171">
        <v>1329.3670654</v>
      </c>
      <c r="H2171">
        <v>1328.0969238</v>
      </c>
      <c r="I2171">
        <v>1339.3686522999999</v>
      </c>
      <c r="J2171">
        <v>1336.4544678</v>
      </c>
      <c r="K2171">
        <v>0</v>
      </c>
      <c r="L2171">
        <v>2750</v>
      </c>
      <c r="M2171">
        <v>2750</v>
      </c>
      <c r="N2171">
        <v>0</v>
      </c>
    </row>
    <row r="2172" spans="1:14" x14ac:dyDescent="0.25">
      <c r="A2172">
        <v>1283.3100300000001</v>
      </c>
      <c r="B2172" s="1">
        <f>DATE(2013,11,4) + TIME(7,26,26)</f>
        <v>41582.310023148151</v>
      </c>
      <c r="C2172">
        <v>80</v>
      </c>
      <c r="D2172">
        <v>79.658897400000001</v>
      </c>
      <c r="E2172">
        <v>40</v>
      </c>
      <c r="F2172">
        <v>40.14749527</v>
      </c>
      <c r="G2172">
        <v>1329.3540039</v>
      </c>
      <c r="H2172">
        <v>1328.0777588000001</v>
      </c>
      <c r="I2172">
        <v>1339.3649902</v>
      </c>
      <c r="J2172">
        <v>1336.453125</v>
      </c>
      <c r="K2172">
        <v>0</v>
      </c>
      <c r="L2172">
        <v>2750</v>
      </c>
      <c r="M2172">
        <v>2750</v>
      </c>
      <c r="N2172">
        <v>0</v>
      </c>
    </row>
    <row r="2173" spans="1:14" x14ac:dyDescent="0.25">
      <c r="A2173">
        <v>1283.507699</v>
      </c>
      <c r="B2173" s="1">
        <f>DATE(2013,11,4) + TIME(12,11,5)</f>
        <v>41582.507696759261</v>
      </c>
      <c r="C2173">
        <v>80</v>
      </c>
      <c r="D2173">
        <v>79.642669678000004</v>
      </c>
      <c r="E2173">
        <v>40</v>
      </c>
      <c r="F2173">
        <v>40.112842559999997</v>
      </c>
      <c r="G2173">
        <v>1329.3404541</v>
      </c>
      <c r="H2173">
        <v>1328.0581055</v>
      </c>
      <c r="I2173">
        <v>1339.3614502</v>
      </c>
      <c r="J2173">
        <v>1336.4517822</v>
      </c>
      <c r="K2173">
        <v>0</v>
      </c>
      <c r="L2173">
        <v>2750</v>
      </c>
      <c r="M2173">
        <v>2750</v>
      </c>
      <c r="N2173">
        <v>0</v>
      </c>
    </row>
    <row r="2174" spans="1:14" x14ac:dyDescent="0.25">
      <c r="A2174">
        <v>1283.716189</v>
      </c>
      <c r="B2174" s="1">
        <f>DATE(2013,11,4) + TIME(17,11,18)</f>
        <v>41582.716180555559</v>
      </c>
      <c r="C2174">
        <v>80</v>
      </c>
      <c r="D2174">
        <v>79.625717163000004</v>
      </c>
      <c r="E2174">
        <v>40</v>
      </c>
      <c r="F2174">
        <v>40.084945679</v>
      </c>
      <c r="G2174">
        <v>1329.3262939000001</v>
      </c>
      <c r="H2174">
        <v>1328.0375977000001</v>
      </c>
      <c r="I2174">
        <v>1339.3580322</v>
      </c>
      <c r="J2174">
        <v>1336.4508057</v>
      </c>
      <c r="K2174">
        <v>0</v>
      </c>
      <c r="L2174">
        <v>2750</v>
      </c>
      <c r="M2174">
        <v>2750</v>
      </c>
      <c r="N2174">
        <v>0</v>
      </c>
    </row>
    <row r="2175" spans="1:14" x14ac:dyDescent="0.25">
      <c r="A2175">
        <v>1283.936416</v>
      </c>
      <c r="B2175" s="1">
        <f>DATE(2013,11,4) + TIME(22,28,26)</f>
        <v>41582.936412037037</v>
      </c>
      <c r="C2175">
        <v>80</v>
      </c>
      <c r="D2175">
        <v>79.607971191000004</v>
      </c>
      <c r="E2175">
        <v>40</v>
      </c>
      <c r="F2175">
        <v>40.062717438</v>
      </c>
      <c r="G2175">
        <v>1329.3116454999999</v>
      </c>
      <c r="H2175">
        <v>1328.0163574000001</v>
      </c>
      <c r="I2175">
        <v>1339.3546143000001</v>
      </c>
      <c r="J2175">
        <v>1336.4498291</v>
      </c>
      <c r="K2175">
        <v>0</v>
      </c>
      <c r="L2175">
        <v>2750</v>
      </c>
      <c r="M2175">
        <v>2750</v>
      </c>
      <c r="N2175">
        <v>0</v>
      </c>
    </row>
    <row r="2176" spans="1:14" x14ac:dyDescent="0.25">
      <c r="A2176">
        <v>1284.168594</v>
      </c>
      <c r="B2176" s="1">
        <f>DATE(2013,11,5) + TIME(4,2,46)</f>
        <v>41583.168587962966</v>
      </c>
      <c r="C2176">
        <v>80</v>
      </c>
      <c r="D2176">
        <v>79.589424132999994</v>
      </c>
      <c r="E2176">
        <v>40</v>
      </c>
      <c r="F2176">
        <v>40.045238495</v>
      </c>
      <c r="G2176">
        <v>1329.2965088000001</v>
      </c>
      <c r="H2176">
        <v>1327.9942627</v>
      </c>
      <c r="I2176">
        <v>1339.3514404</v>
      </c>
      <c r="J2176">
        <v>1336.4490966999999</v>
      </c>
      <c r="K2176">
        <v>0</v>
      </c>
      <c r="L2176">
        <v>2750</v>
      </c>
      <c r="M2176">
        <v>2750</v>
      </c>
      <c r="N2176">
        <v>0</v>
      </c>
    </row>
    <row r="2177" spans="1:14" x14ac:dyDescent="0.25">
      <c r="A2177">
        <v>1284.405195</v>
      </c>
      <c r="B2177" s="1">
        <f>DATE(2013,11,5) + TIME(9,43,28)</f>
        <v>41583.405185185184</v>
      </c>
      <c r="C2177">
        <v>80</v>
      </c>
      <c r="D2177">
        <v>79.570541382000002</v>
      </c>
      <c r="E2177">
        <v>40</v>
      </c>
      <c r="F2177">
        <v>40.031990051000001</v>
      </c>
      <c r="G2177">
        <v>1329.2807617000001</v>
      </c>
      <c r="H2177">
        <v>1327.9716797000001</v>
      </c>
      <c r="I2177">
        <v>1339.3483887</v>
      </c>
      <c r="J2177">
        <v>1336.4483643000001</v>
      </c>
      <c r="K2177">
        <v>0</v>
      </c>
      <c r="L2177">
        <v>2750</v>
      </c>
      <c r="M2177">
        <v>2750</v>
      </c>
      <c r="N2177">
        <v>0</v>
      </c>
    </row>
    <row r="2178" spans="1:14" x14ac:dyDescent="0.25">
      <c r="A2178">
        <v>1284.6468769999999</v>
      </c>
      <c r="B2178" s="1">
        <f>DATE(2013,11,5) + TIME(15,31,30)</f>
        <v>41583.646874999999</v>
      </c>
      <c r="C2178">
        <v>80</v>
      </c>
      <c r="D2178">
        <v>79.551300049000005</v>
      </c>
      <c r="E2178">
        <v>40</v>
      </c>
      <c r="F2178">
        <v>40.021953582999998</v>
      </c>
      <c r="G2178">
        <v>1329.2648925999999</v>
      </c>
      <c r="H2178">
        <v>1327.9487305</v>
      </c>
      <c r="I2178">
        <v>1339.3453368999999</v>
      </c>
      <c r="J2178">
        <v>1336.4477539</v>
      </c>
      <c r="K2178">
        <v>0</v>
      </c>
      <c r="L2178">
        <v>2750</v>
      </c>
      <c r="M2178">
        <v>2750</v>
      </c>
      <c r="N2178">
        <v>0</v>
      </c>
    </row>
    <row r="2179" spans="1:14" x14ac:dyDescent="0.25">
      <c r="A2179">
        <v>1284.8941669999999</v>
      </c>
      <c r="B2179" s="1">
        <f>DATE(2013,11,5) + TIME(21,27,36)</f>
        <v>41583.894166666665</v>
      </c>
      <c r="C2179">
        <v>80</v>
      </c>
      <c r="D2179">
        <v>79.531692504999995</v>
      </c>
      <c r="E2179">
        <v>40</v>
      </c>
      <c r="F2179">
        <v>40.014366150000001</v>
      </c>
      <c r="G2179">
        <v>1329.2489014</v>
      </c>
      <c r="H2179">
        <v>1327.9256591999999</v>
      </c>
      <c r="I2179">
        <v>1339.3425293</v>
      </c>
      <c r="J2179">
        <v>1336.4471435999999</v>
      </c>
      <c r="K2179">
        <v>0</v>
      </c>
      <c r="L2179">
        <v>2750</v>
      </c>
      <c r="M2179">
        <v>2750</v>
      </c>
      <c r="N2179">
        <v>0</v>
      </c>
    </row>
    <row r="2180" spans="1:14" x14ac:dyDescent="0.25">
      <c r="A2180">
        <v>1285.147614</v>
      </c>
      <c r="B2180" s="1">
        <f>DATE(2013,11,6) + TIME(3,32,33)</f>
        <v>41584.147604166668</v>
      </c>
      <c r="C2180">
        <v>80</v>
      </c>
      <c r="D2180">
        <v>79.511703491000006</v>
      </c>
      <c r="E2180">
        <v>40</v>
      </c>
      <c r="F2180">
        <v>40.008632660000004</v>
      </c>
      <c r="G2180">
        <v>1329.2327881000001</v>
      </c>
      <c r="H2180">
        <v>1327.9022216999999</v>
      </c>
      <c r="I2180">
        <v>1339.3398437999999</v>
      </c>
      <c r="J2180">
        <v>1336.4465332</v>
      </c>
      <c r="K2180">
        <v>0</v>
      </c>
      <c r="L2180">
        <v>2750</v>
      </c>
      <c r="M2180">
        <v>2750</v>
      </c>
      <c r="N2180">
        <v>0</v>
      </c>
    </row>
    <row r="2181" spans="1:14" x14ac:dyDescent="0.25">
      <c r="A2181">
        <v>1285.4077930000001</v>
      </c>
      <c r="B2181" s="1">
        <f>DATE(2013,11,6) + TIME(9,47,13)</f>
        <v>41584.407789351855</v>
      </c>
      <c r="C2181">
        <v>80</v>
      </c>
      <c r="D2181">
        <v>79.491310119999994</v>
      </c>
      <c r="E2181">
        <v>40</v>
      </c>
      <c r="F2181">
        <v>40.004306792999998</v>
      </c>
      <c r="G2181">
        <v>1329.2163086</v>
      </c>
      <c r="H2181">
        <v>1327.8786620999999</v>
      </c>
      <c r="I2181">
        <v>1339.3371582</v>
      </c>
      <c r="J2181">
        <v>1336.4460449000001</v>
      </c>
      <c r="K2181">
        <v>0</v>
      </c>
      <c r="L2181">
        <v>2750</v>
      </c>
      <c r="M2181">
        <v>2750</v>
      </c>
      <c r="N2181">
        <v>0</v>
      </c>
    </row>
    <row r="2182" spans="1:14" x14ac:dyDescent="0.25">
      <c r="A2182">
        <v>1285.6753140000001</v>
      </c>
      <c r="B2182" s="1">
        <f>DATE(2013,11,6) + TIME(16,12,27)</f>
        <v>41584.675312500003</v>
      </c>
      <c r="C2182">
        <v>80</v>
      </c>
      <c r="D2182">
        <v>79.470489502000007</v>
      </c>
      <c r="E2182">
        <v>40</v>
      </c>
      <c r="F2182">
        <v>40.001049041999998</v>
      </c>
      <c r="G2182">
        <v>1329.199707</v>
      </c>
      <c r="H2182">
        <v>1327.8547363</v>
      </c>
      <c r="I2182">
        <v>1339.3345947</v>
      </c>
      <c r="J2182">
        <v>1336.4454346</v>
      </c>
      <c r="K2182">
        <v>0</v>
      </c>
      <c r="L2182">
        <v>2750</v>
      </c>
      <c r="M2182">
        <v>2750</v>
      </c>
      <c r="N2182">
        <v>0</v>
      </c>
    </row>
    <row r="2183" spans="1:14" x14ac:dyDescent="0.25">
      <c r="A2183">
        <v>1285.950818</v>
      </c>
      <c r="B2183" s="1">
        <f>DATE(2013,11,6) + TIME(22,49,10)</f>
        <v>41584.950810185182</v>
      </c>
      <c r="C2183">
        <v>80</v>
      </c>
      <c r="D2183">
        <v>79.449203491000006</v>
      </c>
      <c r="E2183">
        <v>40</v>
      </c>
      <c r="F2183">
        <v>39.998596190999997</v>
      </c>
      <c r="G2183">
        <v>1329.1828613</v>
      </c>
      <c r="H2183">
        <v>1327.8304443</v>
      </c>
      <c r="I2183">
        <v>1339.3320312000001</v>
      </c>
      <c r="J2183">
        <v>1336.4449463000001</v>
      </c>
      <c r="K2183">
        <v>0</v>
      </c>
      <c r="L2183">
        <v>2750</v>
      </c>
      <c r="M2183">
        <v>2750</v>
      </c>
      <c r="N2183">
        <v>0</v>
      </c>
    </row>
    <row r="2184" spans="1:14" x14ac:dyDescent="0.25">
      <c r="A2184">
        <v>1286.2349939999999</v>
      </c>
      <c r="B2184" s="1">
        <f>DATE(2013,11,7) + TIME(5,38,23)</f>
        <v>41585.234988425924</v>
      </c>
      <c r="C2184">
        <v>80</v>
      </c>
      <c r="D2184">
        <v>79.427429199000002</v>
      </c>
      <c r="E2184">
        <v>40</v>
      </c>
      <c r="F2184">
        <v>39.996749878000003</v>
      </c>
      <c r="G2184">
        <v>1329.1656493999999</v>
      </c>
      <c r="H2184">
        <v>1327.8057861</v>
      </c>
      <c r="I2184">
        <v>1339.3295897999999</v>
      </c>
      <c r="J2184">
        <v>1336.4443358999999</v>
      </c>
      <c r="K2184">
        <v>0</v>
      </c>
      <c r="L2184">
        <v>2750</v>
      </c>
      <c r="M2184">
        <v>2750</v>
      </c>
      <c r="N2184">
        <v>0</v>
      </c>
    </row>
    <row r="2185" spans="1:14" x14ac:dyDescent="0.25">
      <c r="A2185">
        <v>1286.528579</v>
      </c>
      <c r="B2185" s="1">
        <f>DATE(2013,11,7) + TIME(12,41,9)</f>
        <v>41585.52857638889</v>
      </c>
      <c r="C2185">
        <v>80</v>
      </c>
      <c r="D2185">
        <v>79.405128478999998</v>
      </c>
      <c r="E2185">
        <v>40</v>
      </c>
      <c r="F2185">
        <v>39.995357513000002</v>
      </c>
      <c r="G2185">
        <v>1329.1481934000001</v>
      </c>
      <c r="H2185">
        <v>1327.7807617000001</v>
      </c>
      <c r="I2185">
        <v>1339.3271483999999</v>
      </c>
      <c r="J2185">
        <v>1336.4438477000001</v>
      </c>
      <c r="K2185">
        <v>0</v>
      </c>
      <c r="L2185">
        <v>2750</v>
      </c>
      <c r="M2185">
        <v>2750</v>
      </c>
      <c r="N2185">
        <v>0</v>
      </c>
    </row>
    <row r="2186" spans="1:14" x14ac:dyDescent="0.25">
      <c r="A2186">
        <v>1286.8322559999999</v>
      </c>
      <c r="B2186" s="1">
        <f>DATE(2013,11,7) + TIME(19,58,26)</f>
        <v>41585.832245370373</v>
      </c>
      <c r="C2186">
        <v>80</v>
      </c>
      <c r="D2186">
        <v>79.382270813000005</v>
      </c>
      <c r="E2186">
        <v>40</v>
      </c>
      <c r="F2186">
        <v>39.994304657000001</v>
      </c>
      <c r="G2186">
        <v>1329.1303711</v>
      </c>
      <c r="H2186">
        <v>1327.755249</v>
      </c>
      <c r="I2186">
        <v>1339.3248291</v>
      </c>
      <c r="J2186">
        <v>1336.4432373</v>
      </c>
      <c r="K2186">
        <v>0</v>
      </c>
      <c r="L2186">
        <v>2750</v>
      </c>
      <c r="M2186">
        <v>2750</v>
      </c>
      <c r="N2186">
        <v>0</v>
      </c>
    </row>
    <row r="2187" spans="1:14" x14ac:dyDescent="0.25">
      <c r="A2187">
        <v>1287.146972</v>
      </c>
      <c r="B2187" s="1">
        <f>DATE(2013,11,8) + TIME(3,31,38)</f>
        <v>41586.146967592591</v>
      </c>
      <c r="C2187">
        <v>80</v>
      </c>
      <c r="D2187">
        <v>79.358795165999993</v>
      </c>
      <c r="E2187">
        <v>40</v>
      </c>
      <c r="F2187">
        <v>39.9935112</v>
      </c>
      <c r="G2187">
        <v>1329.1121826000001</v>
      </c>
      <c r="H2187">
        <v>1327.7292480000001</v>
      </c>
      <c r="I2187">
        <v>1339.3223877</v>
      </c>
      <c r="J2187">
        <v>1336.4426269999999</v>
      </c>
      <c r="K2187">
        <v>0</v>
      </c>
      <c r="L2187">
        <v>2750</v>
      </c>
      <c r="M2187">
        <v>2750</v>
      </c>
      <c r="N2187">
        <v>0</v>
      </c>
    </row>
    <row r="2188" spans="1:14" x14ac:dyDescent="0.25">
      <c r="A2188">
        <v>1287.473692</v>
      </c>
      <c r="B2188" s="1">
        <f>DATE(2013,11,8) + TIME(11,22,6)</f>
        <v>41586.473680555559</v>
      </c>
      <c r="C2188">
        <v>80</v>
      </c>
      <c r="D2188">
        <v>79.334655761999997</v>
      </c>
      <c r="E2188">
        <v>40</v>
      </c>
      <c r="F2188">
        <v>39.992904662999997</v>
      </c>
      <c r="G2188">
        <v>1329.0935059000001</v>
      </c>
      <c r="H2188">
        <v>1327.7026367000001</v>
      </c>
      <c r="I2188">
        <v>1339.3200684000001</v>
      </c>
      <c r="J2188">
        <v>1336.4421387</v>
      </c>
      <c r="K2188">
        <v>0</v>
      </c>
      <c r="L2188">
        <v>2750</v>
      </c>
      <c r="M2188">
        <v>2750</v>
      </c>
      <c r="N2188">
        <v>0</v>
      </c>
    </row>
    <row r="2189" spans="1:14" x14ac:dyDescent="0.25">
      <c r="A2189">
        <v>1287.813457</v>
      </c>
      <c r="B2189" s="1">
        <f>DATE(2013,11,8) + TIME(19,31,22)</f>
        <v>41586.813449074078</v>
      </c>
      <c r="C2189">
        <v>80</v>
      </c>
      <c r="D2189">
        <v>79.309806824000006</v>
      </c>
      <c r="E2189">
        <v>40</v>
      </c>
      <c r="F2189">
        <v>39.992443084999998</v>
      </c>
      <c r="G2189">
        <v>1329.0744629000001</v>
      </c>
      <c r="H2189">
        <v>1327.6754149999999</v>
      </c>
      <c r="I2189">
        <v>1339.3178711</v>
      </c>
      <c r="J2189">
        <v>1336.4415283000001</v>
      </c>
      <c r="K2189">
        <v>0</v>
      </c>
      <c r="L2189">
        <v>2750</v>
      </c>
      <c r="M2189">
        <v>2750</v>
      </c>
      <c r="N2189">
        <v>0</v>
      </c>
    </row>
    <row r="2190" spans="1:14" x14ac:dyDescent="0.25">
      <c r="A2190">
        <v>1288.167416</v>
      </c>
      <c r="B2190" s="1">
        <f>DATE(2013,11,9) + TIME(4,1,4)</f>
        <v>41587.167407407411</v>
      </c>
      <c r="C2190">
        <v>80</v>
      </c>
      <c r="D2190">
        <v>79.284179687999995</v>
      </c>
      <c r="E2190">
        <v>40</v>
      </c>
      <c r="F2190">
        <v>39.992084503000001</v>
      </c>
      <c r="G2190">
        <v>1329.0548096</v>
      </c>
      <c r="H2190">
        <v>1327.6474608999999</v>
      </c>
      <c r="I2190">
        <v>1339.3155518000001</v>
      </c>
      <c r="J2190">
        <v>1336.4407959</v>
      </c>
      <c r="K2190">
        <v>0</v>
      </c>
      <c r="L2190">
        <v>2750</v>
      </c>
      <c r="M2190">
        <v>2750</v>
      </c>
      <c r="N2190">
        <v>0</v>
      </c>
    </row>
    <row r="2191" spans="1:14" x14ac:dyDescent="0.25">
      <c r="A2191">
        <v>1288.5368490000001</v>
      </c>
      <c r="B2191" s="1">
        <f>DATE(2013,11,9) + TIME(12,53,3)</f>
        <v>41587.536840277775</v>
      </c>
      <c r="C2191">
        <v>80</v>
      </c>
      <c r="D2191">
        <v>79.257720946999996</v>
      </c>
      <c r="E2191">
        <v>40</v>
      </c>
      <c r="F2191">
        <v>39.991809844999999</v>
      </c>
      <c r="G2191">
        <v>1329.034668</v>
      </c>
      <c r="H2191">
        <v>1327.6187743999999</v>
      </c>
      <c r="I2191">
        <v>1339.3132324000001</v>
      </c>
      <c r="J2191">
        <v>1336.4401855000001</v>
      </c>
      <c r="K2191">
        <v>0</v>
      </c>
      <c r="L2191">
        <v>2750</v>
      </c>
      <c r="M2191">
        <v>2750</v>
      </c>
      <c r="N2191">
        <v>0</v>
      </c>
    </row>
    <row r="2192" spans="1:14" x14ac:dyDescent="0.25">
      <c r="A2192">
        <v>1288.9231789999999</v>
      </c>
      <c r="B2192" s="1">
        <f>DATE(2013,11,9) + TIME(22,9,22)</f>
        <v>41587.923171296294</v>
      </c>
      <c r="C2192">
        <v>80</v>
      </c>
      <c r="D2192">
        <v>79.230346679999997</v>
      </c>
      <c r="E2192">
        <v>40</v>
      </c>
      <c r="F2192">
        <v>39.991592406999999</v>
      </c>
      <c r="G2192">
        <v>1329.0139160000001</v>
      </c>
      <c r="H2192">
        <v>1327.5893555</v>
      </c>
      <c r="I2192">
        <v>1339.3110352000001</v>
      </c>
      <c r="J2192">
        <v>1336.4394531</v>
      </c>
      <c r="K2192">
        <v>0</v>
      </c>
      <c r="L2192">
        <v>2750</v>
      </c>
      <c r="M2192">
        <v>2750</v>
      </c>
      <c r="N2192">
        <v>0</v>
      </c>
    </row>
    <row r="2193" spans="1:14" x14ac:dyDescent="0.25">
      <c r="A2193">
        <v>1289.328</v>
      </c>
      <c r="B2193" s="1">
        <f>DATE(2013,11,10) + TIME(7,52,19)</f>
        <v>41588.327997685185</v>
      </c>
      <c r="C2193">
        <v>80</v>
      </c>
      <c r="D2193">
        <v>79.201980590999995</v>
      </c>
      <c r="E2193">
        <v>40</v>
      </c>
      <c r="F2193">
        <v>39.991420746000003</v>
      </c>
      <c r="G2193">
        <v>1328.9925536999999</v>
      </c>
      <c r="H2193">
        <v>1327.5589600000001</v>
      </c>
      <c r="I2193">
        <v>1339.3087158000001</v>
      </c>
      <c r="J2193">
        <v>1336.4388428</v>
      </c>
      <c r="K2193">
        <v>0</v>
      </c>
      <c r="L2193">
        <v>2750</v>
      </c>
      <c r="M2193">
        <v>2750</v>
      </c>
      <c r="N2193">
        <v>0</v>
      </c>
    </row>
    <row r="2194" spans="1:14" x14ac:dyDescent="0.25">
      <c r="A2194">
        <v>1289.7531080000001</v>
      </c>
      <c r="B2194" s="1">
        <f>DATE(2013,11,10) + TIME(18,4,28)</f>
        <v>41588.753101851849</v>
      </c>
      <c r="C2194">
        <v>80</v>
      </c>
      <c r="D2194">
        <v>79.172538756999998</v>
      </c>
      <c r="E2194">
        <v>40</v>
      </c>
      <c r="F2194">
        <v>39.991283416999998</v>
      </c>
      <c r="G2194">
        <v>1328.9704589999999</v>
      </c>
      <c r="H2194">
        <v>1327.5275879000001</v>
      </c>
      <c r="I2194">
        <v>1339.3065185999999</v>
      </c>
      <c r="J2194">
        <v>1336.4381103999999</v>
      </c>
      <c r="K2194">
        <v>0</v>
      </c>
      <c r="L2194">
        <v>2750</v>
      </c>
      <c r="M2194">
        <v>2750</v>
      </c>
      <c r="N2194">
        <v>0</v>
      </c>
    </row>
    <row r="2195" spans="1:14" x14ac:dyDescent="0.25">
      <c r="A2195">
        <v>1290.2005380000001</v>
      </c>
      <c r="B2195" s="1">
        <f>DATE(2013,11,11) + TIME(4,48,46)</f>
        <v>41589.200532407405</v>
      </c>
      <c r="C2195">
        <v>80</v>
      </c>
      <c r="D2195">
        <v>79.141921996999997</v>
      </c>
      <c r="E2195">
        <v>40</v>
      </c>
      <c r="F2195">
        <v>39.991176605</v>
      </c>
      <c r="G2195">
        <v>1328.9475098</v>
      </c>
      <c r="H2195">
        <v>1327.4951172000001</v>
      </c>
      <c r="I2195">
        <v>1339.3041992000001</v>
      </c>
      <c r="J2195">
        <v>1336.4373779</v>
      </c>
      <c r="K2195">
        <v>0</v>
      </c>
      <c r="L2195">
        <v>2750</v>
      </c>
      <c r="M2195">
        <v>2750</v>
      </c>
      <c r="N2195">
        <v>0</v>
      </c>
    </row>
    <row r="2196" spans="1:14" x14ac:dyDescent="0.25">
      <c r="A2196">
        <v>1290.672646</v>
      </c>
      <c r="B2196" s="1">
        <f>DATE(2013,11,11) + TIME(16,8,36)</f>
        <v>41589.672638888886</v>
      </c>
      <c r="C2196">
        <v>80</v>
      </c>
      <c r="D2196">
        <v>79.110008239999999</v>
      </c>
      <c r="E2196">
        <v>40</v>
      </c>
      <c r="F2196">
        <v>39.991088867000002</v>
      </c>
      <c r="G2196">
        <v>1328.9237060999999</v>
      </c>
      <c r="H2196">
        <v>1327.4615478999999</v>
      </c>
      <c r="I2196">
        <v>1339.3020019999999</v>
      </c>
      <c r="J2196">
        <v>1336.4366454999999</v>
      </c>
      <c r="K2196">
        <v>0</v>
      </c>
      <c r="L2196">
        <v>2750</v>
      </c>
      <c r="M2196">
        <v>2750</v>
      </c>
      <c r="N2196">
        <v>0</v>
      </c>
    </row>
    <row r="2197" spans="1:14" x14ac:dyDescent="0.25">
      <c r="A2197">
        <v>1291.17211</v>
      </c>
      <c r="B2197" s="1">
        <f>DATE(2013,11,12) + TIME(4,7,50)</f>
        <v>41590.172106481485</v>
      </c>
      <c r="C2197">
        <v>80</v>
      </c>
      <c r="D2197">
        <v>79.076675414999997</v>
      </c>
      <c r="E2197">
        <v>40</v>
      </c>
      <c r="F2197">
        <v>39.991016387999998</v>
      </c>
      <c r="G2197">
        <v>1328.8990478999999</v>
      </c>
      <c r="H2197">
        <v>1327.4266356999999</v>
      </c>
      <c r="I2197">
        <v>1339.2998047000001</v>
      </c>
      <c r="J2197">
        <v>1336.4359131000001</v>
      </c>
      <c r="K2197">
        <v>0</v>
      </c>
      <c r="L2197">
        <v>2750</v>
      </c>
      <c r="M2197">
        <v>2750</v>
      </c>
      <c r="N2197">
        <v>0</v>
      </c>
    </row>
    <row r="2198" spans="1:14" x14ac:dyDescent="0.25">
      <c r="A2198">
        <v>1291.6997530000001</v>
      </c>
      <c r="B2198" s="1">
        <f>DATE(2013,11,12) + TIME(16,47,38)</f>
        <v>41590.699745370373</v>
      </c>
      <c r="C2198">
        <v>80</v>
      </c>
      <c r="D2198">
        <v>79.041870117000002</v>
      </c>
      <c r="E2198">
        <v>40</v>
      </c>
      <c r="F2198">
        <v>39.990959167</v>
      </c>
      <c r="G2198">
        <v>1328.8731689000001</v>
      </c>
      <c r="H2198">
        <v>1327.3902588000001</v>
      </c>
      <c r="I2198">
        <v>1339.2974853999999</v>
      </c>
      <c r="J2198">
        <v>1336.4350586</v>
      </c>
      <c r="K2198">
        <v>0</v>
      </c>
      <c r="L2198">
        <v>2750</v>
      </c>
      <c r="M2198">
        <v>2750</v>
      </c>
      <c r="N2198">
        <v>0</v>
      </c>
    </row>
    <row r="2199" spans="1:14" x14ac:dyDescent="0.25">
      <c r="A2199">
        <v>1292.2414060000001</v>
      </c>
      <c r="B2199" s="1">
        <f>DATE(2013,11,13) + TIME(5,47,37)</f>
        <v>41591.241400462961</v>
      </c>
      <c r="C2199">
        <v>80</v>
      </c>
      <c r="D2199">
        <v>79.006088257000002</v>
      </c>
      <c r="E2199">
        <v>40</v>
      </c>
      <c r="F2199">
        <v>39.990913390999999</v>
      </c>
      <c r="G2199">
        <v>1328.8464355000001</v>
      </c>
      <c r="H2199">
        <v>1327.3526611</v>
      </c>
      <c r="I2199">
        <v>1339.2951660000001</v>
      </c>
      <c r="J2199">
        <v>1336.4343262</v>
      </c>
      <c r="K2199">
        <v>0</v>
      </c>
      <c r="L2199">
        <v>2750</v>
      </c>
      <c r="M2199">
        <v>2750</v>
      </c>
      <c r="N2199">
        <v>0</v>
      </c>
    </row>
    <row r="2200" spans="1:14" x14ac:dyDescent="0.25">
      <c r="A2200">
        <v>1292.793739</v>
      </c>
      <c r="B2200" s="1">
        <f>DATE(2013,11,13) + TIME(19,2,59)</f>
        <v>41591.793738425928</v>
      </c>
      <c r="C2200">
        <v>80</v>
      </c>
      <c r="D2200">
        <v>78.969635010000005</v>
      </c>
      <c r="E2200">
        <v>40</v>
      </c>
      <c r="F2200">
        <v>39.990875244000001</v>
      </c>
      <c r="G2200">
        <v>1328.8192139</v>
      </c>
      <c r="H2200">
        <v>1327.3143310999999</v>
      </c>
      <c r="I2200">
        <v>1339.2929687999999</v>
      </c>
      <c r="J2200">
        <v>1336.4334716999999</v>
      </c>
      <c r="K2200">
        <v>0</v>
      </c>
      <c r="L2200">
        <v>2750</v>
      </c>
      <c r="M2200">
        <v>2750</v>
      </c>
      <c r="N2200">
        <v>0</v>
      </c>
    </row>
    <row r="2201" spans="1:14" x14ac:dyDescent="0.25">
      <c r="A2201">
        <v>1293.3580489999999</v>
      </c>
      <c r="B2201" s="1">
        <f>DATE(2013,11,14) + TIME(8,35,35)</f>
        <v>41592.358043981483</v>
      </c>
      <c r="C2201">
        <v>80</v>
      </c>
      <c r="D2201">
        <v>78.932617187999995</v>
      </c>
      <c r="E2201">
        <v>40</v>
      </c>
      <c r="F2201">
        <v>39.990844727000002</v>
      </c>
      <c r="G2201">
        <v>1328.791626</v>
      </c>
      <c r="H2201">
        <v>1327.2756348</v>
      </c>
      <c r="I2201">
        <v>1339.2908935999999</v>
      </c>
      <c r="J2201">
        <v>1336.4327393000001</v>
      </c>
      <c r="K2201">
        <v>0</v>
      </c>
      <c r="L2201">
        <v>2750</v>
      </c>
      <c r="M2201">
        <v>2750</v>
      </c>
      <c r="N2201">
        <v>0</v>
      </c>
    </row>
    <row r="2202" spans="1:14" x14ac:dyDescent="0.25">
      <c r="A2202">
        <v>1293.935637</v>
      </c>
      <c r="B2202" s="1">
        <f>DATE(2013,11,14) + TIME(22,27,19)</f>
        <v>41592.935636574075</v>
      </c>
      <c r="C2202">
        <v>80</v>
      </c>
      <c r="D2202">
        <v>78.895057678000001</v>
      </c>
      <c r="E2202">
        <v>40</v>
      </c>
      <c r="F2202">
        <v>39.990821838000002</v>
      </c>
      <c r="G2202">
        <v>1328.7637939000001</v>
      </c>
      <c r="H2202">
        <v>1327.2365723</v>
      </c>
      <c r="I2202">
        <v>1339.2888184000001</v>
      </c>
      <c r="J2202">
        <v>1336.4320068</v>
      </c>
      <c r="K2202">
        <v>0</v>
      </c>
      <c r="L2202">
        <v>2750</v>
      </c>
      <c r="M2202">
        <v>2750</v>
      </c>
      <c r="N2202">
        <v>0</v>
      </c>
    </row>
    <row r="2203" spans="1:14" x14ac:dyDescent="0.25">
      <c r="A2203">
        <v>1294.5278969999999</v>
      </c>
      <c r="B2203" s="1">
        <f>DATE(2013,11,15) + TIME(12,40,10)</f>
        <v>41593.52789351852</v>
      </c>
      <c r="C2203">
        <v>80</v>
      </c>
      <c r="D2203">
        <v>78.856941223000007</v>
      </c>
      <c r="E2203">
        <v>40</v>
      </c>
      <c r="F2203">
        <v>39.990798949999999</v>
      </c>
      <c r="G2203">
        <v>1328.7357178</v>
      </c>
      <c r="H2203">
        <v>1327.1971435999999</v>
      </c>
      <c r="I2203">
        <v>1339.2867432</v>
      </c>
      <c r="J2203">
        <v>1336.4312743999999</v>
      </c>
      <c r="K2203">
        <v>0</v>
      </c>
      <c r="L2203">
        <v>2750</v>
      </c>
      <c r="M2203">
        <v>2750</v>
      </c>
      <c r="N2203">
        <v>0</v>
      </c>
    </row>
    <row r="2204" spans="1:14" x14ac:dyDescent="0.25">
      <c r="A2204">
        <v>1295.1363429999999</v>
      </c>
      <c r="B2204" s="1">
        <f>DATE(2013,11,16) + TIME(3,16,20)</f>
        <v>41594.136342592596</v>
      </c>
      <c r="C2204">
        <v>80</v>
      </c>
      <c r="D2204">
        <v>78.818214416999993</v>
      </c>
      <c r="E2204">
        <v>40</v>
      </c>
      <c r="F2204">
        <v>39.990779877000001</v>
      </c>
      <c r="G2204">
        <v>1328.7072754000001</v>
      </c>
      <c r="H2204">
        <v>1327.1573486</v>
      </c>
      <c r="I2204">
        <v>1339.2847899999999</v>
      </c>
      <c r="J2204">
        <v>1336.4305420000001</v>
      </c>
      <c r="K2204">
        <v>0</v>
      </c>
      <c r="L2204">
        <v>2750</v>
      </c>
      <c r="M2204">
        <v>2750</v>
      </c>
      <c r="N2204">
        <v>0</v>
      </c>
    </row>
    <row r="2205" spans="1:14" x14ac:dyDescent="0.25">
      <c r="A2205">
        <v>1295.7626130000001</v>
      </c>
      <c r="B2205" s="1">
        <f>DATE(2013,11,16) + TIME(18,18,9)</f>
        <v>41594.762604166666</v>
      </c>
      <c r="C2205">
        <v>80</v>
      </c>
      <c r="D2205">
        <v>78.778816223000007</v>
      </c>
      <c r="E2205">
        <v>40</v>
      </c>
      <c r="F2205">
        <v>39.990764618</v>
      </c>
      <c r="G2205">
        <v>1328.6784668</v>
      </c>
      <c r="H2205">
        <v>1327.1170654</v>
      </c>
      <c r="I2205">
        <v>1339.2828368999999</v>
      </c>
      <c r="J2205">
        <v>1336.4298096</v>
      </c>
      <c r="K2205">
        <v>0</v>
      </c>
      <c r="L2205">
        <v>2750</v>
      </c>
      <c r="M2205">
        <v>2750</v>
      </c>
      <c r="N2205">
        <v>0</v>
      </c>
    </row>
    <row r="2206" spans="1:14" x14ac:dyDescent="0.25">
      <c r="A2206">
        <v>1296.408455</v>
      </c>
      <c r="B2206" s="1">
        <f>DATE(2013,11,17) + TIME(9,48,10)</f>
        <v>41595.408449074072</v>
      </c>
      <c r="C2206">
        <v>80</v>
      </c>
      <c r="D2206">
        <v>78.738655089999995</v>
      </c>
      <c r="E2206">
        <v>40</v>
      </c>
      <c r="F2206">
        <v>39.990753173999998</v>
      </c>
      <c r="G2206">
        <v>1328.6492920000001</v>
      </c>
      <c r="H2206">
        <v>1327.0762939000001</v>
      </c>
      <c r="I2206">
        <v>1339.2810059000001</v>
      </c>
      <c r="J2206">
        <v>1336.4291992000001</v>
      </c>
      <c r="K2206">
        <v>0</v>
      </c>
      <c r="L2206">
        <v>2750</v>
      </c>
      <c r="M2206">
        <v>2750</v>
      </c>
      <c r="N2206">
        <v>0</v>
      </c>
    </row>
    <row r="2207" spans="1:14" x14ac:dyDescent="0.25">
      <c r="A2207">
        <v>1297.075656</v>
      </c>
      <c r="B2207" s="1">
        <f>DATE(2013,11,18) + TIME(1,48,56)</f>
        <v>41596.075648148151</v>
      </c>
      <c r="C2207">
        <v>80</v>
      </c>
      <c r="D2207">
        <v>78.697654724000003</v>
      </c>
      <c r="E2207">
        <v>40</v>
      </c>
      <c r="F2207">
        <v>39.990737914999997</v>
      </c>
      <c r="G2207">
        <v>1328.6195068</v>
      </c>
      <c r="H2207">
        <v>1327.0349120999999</v>
      </c>
      <c r="I2207">
        <v>1339.2791748</v>
      </c>
      <c r="J2207">
        <v>1336.4284668</v>
      </c>
      <c r="K2207">
        <v>0</v>
      </c>
      <c r="L2207">
        <v>2750</v>
      </c>
      <c r="M2207">
        <v>2750</v>
      </c>
      <c r="N2207">
        <v>0</v>
      </c>
    </row>
    <row r="2208" spans="1:14" x14ac:dyDescent="0.25">
      <c r="A2208">
        <v>1297.7661390000001</v>
      </c>
      <c r="B2208" s="1">
        <f>DATE(2013,11,18) + TIME(18,23,14)</f>
        <v>41596.766134259262</v>
      </c>
      <c r="C2208">
        <v>80</v>
      </c>
      <c r="D2208">
        <v>78.655700683999996</v>
      </c>
      <c r="E2208">
        <v>40</v>
      </c>
      <c r="F2208">
        <v>39.990726471000002</v>
      </c>
      <c r="G2208">
        <v>1328.5893555</v>
      </c>
      <c r="H2208">
        <v>1326.9927978999999</v>
      </c>
      <c r="I2208">
        <v>1339.2773437999999</v>
      </c>
      <c r="J2208">
        <v>1336.4278564000001</v>
      </c>
      <c r="K2208">
        <v>0</v>
      </c>
      <c r="L2208">
        <v>2750</v>
      </c>
      <c r="M2208">
        <v>2750</v>
      </c>
      <c r="N2208">
        <v>0</v>
      </c>
    </row>
    <row r="2209" spans="1:14" x14ac:dyDescent="0.25">
      <c r="A2209">
        <v>1298.482301</v>
      </c>
      <c r="B2209" s="1">
        <f>DATE(2013,11,19) + TIME(11,34,30)</f>
        <v>41597.482291666667</v>
      </c>
      <c r="C2209">
        <v>80</v>
      </c>
      <c r="D2209">
        <v>78.612693786999998</v>
      </c>
      <c r="E2209">
        <v>40</v>
      </c>
      <c r="F2209">
        <v>39.990715027</v>
      </c>
      <c r="G2209">
        <v>1328.5584716999999</v>
      </c>
      <c r="H2209">
        <v>1326.9499512</v>
      </c>
      <c r="I2209">
        <v>1339.2756348</v>
      </c>
      <c r="J2209">
        <v>1336.4272461</v>
      </c>
      <c r="K2209">
        <v>0</v>
      </c>
      <c r="L2209">
        <v>2750</v>
      </c>
      <c r="M2209">
        <v>2750</v>
      </c>
      <c r="N2209">
        <v>0</v>
      </c>
    </row>
    <row r="2210" spans="1:14" x14ac:dyDescent="0.25">
      <c r="A2210">
        <v>1299.2266529999999</v>
      </c>
      <c r="B2210" s="1">
        <f>DATE(2013,11,20) + TIME(5,26,22)</f>
        <v>41598.226643518516</v>
      </c>
      <c r="C2210">
        <v>80</v>
      </c>
      <c r="D2210">
        <v>78.568496703999998</v>
      </c>
      <c r="E2210">
        <v>40</v>
      </c>
      <c r="F2210">
        <v>39.990703582999998</v>
      </c>
      <c r="G2210">
        <v>1328.5269774999999</v>
      </c>
      <c r="H2210">
        <v>1326.90625</v>
      </c>
      <c r="I2210">
        <v>1339.2738036999999</v>
      </c>
      <c r="J2210">
        <v>1336.4266356999999</v>
      </c>
      <c r="K2210">
        <v>0</v>
      </c>
      <c r="L2210">
        <v>2750</v>
      </c>
      <c r="M2210">
        <v>2750</v>
      </c>
      <c r="N2210">
        <v>0</v>
      </c>
    </row>
    <row r="2211" spans="1:14" x14ac:dyDescent="0.25">
      <c r="A2211">
        <v>1300.001986</v>
      </c>
      <c r="B2211" s="1">
        <f>DATE(2013,11,21) + TIME(0,2,51)</f>
        <v>41599.001979166664</v>
      </c>
      <c r="C2211">
        <v>80</v>
      </c>
      <c r="D2211">
        <v>78.522972107000001</v>
      </c>
      <c r="E2211">
        <v>40</v>
      </c>
      <c r="F2211">
        <v>39.990692138999997</v>
      </c>
      <c r="G2211">
        <v>1328.494751</v>
      </c>
      <c r="H2211">
        <v>1326.8615723</v>
      </c>
      <c r="I2211">
        <v>1339.2720947</v>
      </c>
      <c r="J2211">
        <v>1336.4260254000001</v>
      </c>
      <c r="K2211">
        <v>0</v>
      </c>
      <c r="L2211">
        <v>2750</v>
      </c>
      <c r="M2211">
        <v>2750</v>
      </c>
      <c r="N2211">
        <v>0</v>
      </c>
    </row>
    <row r="2212" spans="1:14" x14ac:dyDescent="0.25">
      <c r="A2212">
        <v>1300.811418</v>
      </c>
      <c r="B2212" s="1">
        <f>DATE(2013,11,21) + TIME(19,28,26)</f>
        <v>41599.811412037037</v>
      </c>
      <c r="C2212">
        <v>80</v>
      </c>
      <c r="D2212">
        <v>78.475967406999999</v>
      </c>
      <c r="E2212">
        <v>40</v>
      </c>
      <c r="F2212">
        <v>39.990684508999998</v>
      </c>
      <c r="G2212">
        <v>1328.4616699000001</v>
      </c>
      <c r="H2212">
        <v>1326.8157959</v>
      </c>
      <c r="I2212">
        <v>1339.2703856999999</v>
      </c>
      <c r="J2212">
        <v>1336.4254149999999</v>
      </c>
      <c r="K2212">
        <v>0</v>
      </c>
      <c r="L2212">
        <v>2750</v>
      </c>
      <c r="M2212">
        <v>2750</v>
      </c>
      <c r="N2212">
        <v>0</v>
      </c>
    </row>
    <row r="2213" spans="1:14" x14ac:dyDescent="0.25">
      <c r="A2213">
        <v>1301.658459</v>
      </c>
      <c r="B2213" s="1">
        <f>DATE(2013,11,22) + TIME(15,48,10)</f>
        <v>41600.658449074072</v>
      </c>
      <c r="C2213">
        <v>80</v>
      </c>
      <c r="D2213">
        <v>78.427299500000004</v>
      </c>
      <c r="E2213">
        <v>40</v>
      </c>
      <c r="F2213">
        <v>39.990673065000003</v>
      </c>
      <c r="G2213">
        <v>1328.4276123</v>
      </c>
      <c r="H2213">
        <v>1326.7687988</v>
      </c>
      <c r="I2213">
        <v>1339.2686768000001</v>
      </c>
      <c r="J2213">
        <v>1336.4249268000001</v>
      </c>
      <c r="K2213">
        <v>0</v>
      </c>
      <c r="L2213">
        <v>2750</v>
      </c>
      <c r="M2213">
        <v>2750</v>
      </c>
      <c r="N2213">
        <v>0</v>
      </c>
    </row>
    <row r="2214" spans="1:14" x14ac:dyDescent="0.25">
      <c r="A2214">
        <v>1302.545151</v>
      </c>
      <c r="B2214" s="1">
        <f>DATE(2013,11,23) + TIME(13,5,1)</f>
        <v>41601.54515046296</v>
      </c>
      <c r="C2214">
        <v>80</v>
      </c>
      <c r="D2214">
        <v>78.376823424999998</v>
      </c>
      <c r="E2214">
        <v>40</v>
      </c>
      <c r="F2214">
        <v>39.990661621000001</v>
      </c>
      <c r="G2214">
        <v>1328.3927002</v>
      </c>
      <c r="H2214">
        <v>1326.7205810999999</v>
      </c>
      <c r="I2214">
        <v>1339.2669678</v>
      </c>
      <c r="J2214">
        <v>1336.4243164</v>
      </c>
      <c r="K2214">
        <v>0</v>
      </c>
      <c r="L2214">
        <v>2750</v>
      </c>
      <c r="M2214">
        <v>2750</v>
      </c>
      <c r="N2214">
        <v>0</v>
      </c>
    </row>
    <row r="2215" spans="1:14" x14ac:dyDescent="0.25">
      <c r="A2215">
        <v>1303.4553880000001</v>
      </c>
      <c r="B2215" s="1">
        <f>DATE(2013,11,24) + TIME(10,55,45)</f>
        <v>41602.455381944441</v>
      </c>
      <c r="C2215">
        <v>80</v>
      </c>
      <c r="D2215">
        <v>78.324813843000001</v>
      </c>
      <c r="E2215">
        <v>40</v>
      </c>
      <c r="F2215">
        <v>39.990650176999999</v>
      </c>
      <c r="G2215">
        <v>1328.3566894999999</v>
      </c>
      <c r="H2215">
        <v>1326.6710204999999</v>
      </c>
      <c r="I2215">
        <v>1339.2653809000001</v>
      </c>
      <c r="J2215">
        <v>1336.4238281</v>
      </c>
      <c r="K2215">
        <v>0</v>
      </c>
      <c r="L2215">
        <v>2750</v>
      </c>
      <c r="M2215">
        <v>2750</v>
      </c>
      <c r="N2215">
        <v>0</v>
      </c>
    </row>
    <row r="2216" spans="1:14" x14ac:dyDescent="0.25">
      <c r="A2216">
        <v>1304.396305</v>
      </c>
      <c r="B2216" s="1">
        <f>DATE(2013,11,25) + TIME(9,30,40)</f>
        <v>41603.396296296298</v>
      </c>
      <c r="C2216">
        <v>80</v>
      </c>
      <c r="D2216">
        <v>78.271400451999995</v>
      </c>
      <c r="E2216">
        <v>40</v>
      </c>
      <c r="F2216">
        <v>39.990638732999997</v>
      </c>
      <c r="G2216">
        <v>1328.3200684000001</v>
      </c>
      <c r="H2216">
        <v>1326.6207274999999</v>
      </c>
      <c r="I2216">
        <v>1339.2636719</v>
      </c>
      <c r="J2216">
        <v>1336.4233397999999</v>
      </c>
      <c r="K2216">
        <v>0</v>
      </c>
      <c r="L2216">
        <v>2750</v>
      </c>
      <c r="M2216">
        <v>2750</v>
      </c>
      <c r="N2216">
        <v>0</v>
      </c>
    </row>
    <row r="2217" spans="1:14" x14ac:dyDescent="0.25">
      <c r="A2217">
        <v>1305.375464</v>
      </c>
      <c r="B2217" s="1">
        <f>DATE(2013,11,26) + TIME(9,0,40)</f>
        <v>41604.375462962962</v>
      </c>
      <c r="C2217">
        <v>80</v>
      </c>
      <c r="D2217">
        <v>78.216369628999999</v>
      </c>
      <c r="E2217">
        <v>40</v>
      </c>
      <c r="F2217">
        <v>39.990627289000003</v>
      </c>
      <c r="G2217">
        <v>1328.2828368999999</v>
      </c>
      <c r="H2217">
        <v>1326.5694579999999</v>
      </c>
      <c r="I2217">
        <v>1339.2620850000001</v>
      </c>
      <c r="J2217">
        <v>1336.4228516000001</v>
      </c>
      <c r="K2217">
        <v>0</v>
      </c>
      <c r="L2217">
        <v>2750</v>
      </c>
      <c r="M2217">
        <v>2750</v>
      </c>
      <c r="N2217">
        <v>0</v>
      </c>
    </row>
    <row r="2218" spans="1:14" x14ac:dyDescent="0.25">
      <c r="A2218">
        <v>1306.3986070000001</v>
      </c>
      <c r="B2218" s="1">
        <f>DATE(2013,11,27) + TIME(9,33,59)</f>
        <v>41605.398599537039</v>
      </c>
      <c r="C2218">
        <v>80</v>
      </c>
      <c r="D2218">
        <v>78.159416199000006</v>
      </c>
      <c r="E2218">
        <v>40</v>
      </c>
      <c r="F2218">
        <v>39.990615845000001</v>
      </c>
      <c r="G2218">
        <v>1328.244751</v>
      </c>
      <c r="H2218">
        <v>1326.5173339999999</v>
      </c>
      <c r="I2218">
        <v>1339.2606201000001</v>
      </c>
      <c r="J2218">
        <v>1336.4224853999999</v>
      </c>
      <c r="K2218">
        <v>0</v>
      </c>
      <c r="L2218">
        <v>2750</v>
      </c>
      <c r="M2218">
        <v>2750</v>
      </c>
      <c r="N2218">
        <v>0</v>
      </c>
    </row>
    <row r="2219" spans="1:14" x14ac:dyDescent="0.25">
      <c r="A2219">
        <v>1307.430989</v>
      </c>
      <c r="B2219" s="1">
        <f>DATE(2013,11,28) + TIME(10,20,37)</f>
        <v>41606.430983796294</v>
      </c>
      <c r="C2219">
        <v>80</v>
      </c>
      <c r="D2219">
        <v>78.101036071999999</v>
      </c>
      <c r="E2219">
        <v>40</v>
      </c>
      <c r="F2219">
        <v>39.990604400999999</v>
      </c>
      <c r="G2219">
        <v>1328.2056885</v>
      </c>
      <c r="H2219">
        <v>1326.4639893000001</v>
      </c>
      <c r="I2219">
        <v>1339.2590332</v>
      </c>
      <c r="J2219">
        <v>1336.4219971</v>
      </c>
      <c r="K2219">
        <v>0</v>
      </c>
      <c r="L2219">
        <v>2750</v>
      </c>
      <c r="M2219">
        <v>2750</v>
      </c>
      <c r="N2219">
        <v>0</v>
      </c>
    </row>
    <row r="2220" spans="1:14" x14ac:dyDescent="0.25">
      <c r="A2220">
        <v>1308.4804730000001</v>
      </c>
      <c r="B2220" s="1">
        <f>DATE(2013,11,29) + TIME(11,31,52)</f>
        <v>41607.480462962965</v>
      </c>
      <c r="C2220">
        <v>80</v>
      </c>
      <c r="D2220">
        <v>78.041732788000004</v>
      </c>
      <c r="E2220">
        <v>40</v>
      </c>
      <c r="F2220">
        <v>39.990592956999997</v>
      </c>
      <c r="G2220">
        <v>1328.166626</v>
      </c>
      <c r="H2220">
        <v>1326.4104004000001</v>
      </c>
      <c r="I2220">
        <v>1339.2575684000001</v>
      </c>
      <c r="J2220">
        <v>1336.4217529</v>
      </c>
      <c r="K2220">
        <v>0</v>
      </c>
      <c r="L2220">
        <v>2750</v>
      </c>
      <c r="M2220">
        <v>2750</v>
      </c>
      <c r="N2220">
        <v>0</v>
      </c>
    </row>
    <row r="2221" spans="1:14" x14ac:dyDescent="0.25">
      <c r="A2221">
        <v>1309.555151</v>
      </c>
      <c r="B2221" s="1">
        <f>DATE(2013,11,30) + TIME(13,19,25)</f>
        <v>41608.555150462962</v>
      </c>
      <c r="C2221">
        <v>80</v>
      </c>
      <c r="D2221">
        <v>77.981407165999997</v>
      </c>
      <c r="E2221">
        <v>40</v>
      </c>
      <c r="F2221">
        <v>39.990581511999999</v>
      </c>
      <c r="G2221">
        <v>1328.1274414</v>
      </c>
      <c r="H2221">
        <v>1326.3569336</v>
      </c>
      <c r="I2221">
        <v>1339.2561035000001</v>
      </c>
      <c r="J2221">
        <v>1336.4213867000001</v>
      </c>
      <c r="K2221">
        <v>0</v>
      </c>
      <c r="L2221">
        <v>2750</v>
      </c>
      <c r="M2221">
        <v>2750</v>
      </c>
      <c r="N2221">
        <v>0</v>
      </c>
    </row>
    <row r="2222" spans="1:14" x14ac:dyDescent="0.25">
      <c r="A2222">
        <v>1310</v>
      </c>
      <c r="B2222" s="1">
        <f>DATE(2013,12,1) + TIME(0,0,0)</f>
        <v>41609</v>
      </c>
      <c r="C2222">
        <v>80</v>
      </c>
      <c r="D2222">
        <v>77.940826415999993</v>
      </c>
      <c r="E2222">
        <v>40</v>
      </c>
      <c r="F2222">
        <v>39.990577698000003</v>
      </c>
      <c r="G2222">
        <v>1328.0902100000001</v>
      </c>
      <c r="H2222">
        <v>1326.3071289</v>
      </c>
      <c r="I2222">
        <v>1339.2546387</v>
      </c>
      <c r="J2222">
        <v>1336.4210204999999</v>
      </c>
      <c r="K2222">
        <v>0</v>
      </c>
      <c r="L2222">
        <v>2750</v>
      </c>
      <c r="M2222">
        <v>2750</v>
      </c>
      <c r="N2222">
        <v>0</v>
      </c>
    </row>
    <row r="2223" spans="1:14" x14ac:dyDescent="0.25">
      <c r="A2223">
        <v>1311.108518</v>
      </c>
      <c r="B2223" s="1">
        <f>DATE(2013,12,2) + TIME(2,36,15)</f>
        <v>41610.108506944445</v>
      </c>
      <c r="C2223">
        <v>80</v>
      </c>
      <c r="D2223">
        <v>77.888977050999998</v>
      </c>
      <c r="E2223">
        <v>40</v>
      </c>
      <c r="F2223">
        <v>39.990566254000001</v>
      </c>
      <c r="G2223">
        <v>1328.0676269999999</v>
      </c>
      <c r="H2223">
        <v>1326.2738036999999</v>
      </c>
      <c r="I2223">
        <v>1339.2541504000001</v>
      </c>
      <c r="J2223">
        <v>1336.4210204999999</v>
      </c>
      <c r="K2223">
        <v>0</v>
      </c>
      <c r="L2223">
        <v>2750</v>
      </c>
      <c r="M2223">
        <v>2750</v>
      </c>
      <c r="N2223">
        <v>0</v>
      </c>
    </row>
    <row r="2224" spans="1:14" x14ac:dyDescent="0.25">
      <c r="A2224">
        <v>1312.2707849999999</v>
      </c>
      <c r="B2224" s="1">
        <f>DATE(2013,12,3) + TIME(6,29,55)</f>
        <v>41611.270775462966</v>
      </c>
      <c r="C2224">
        <v>80</v>
      </c>
      <c r="D2224">
        <v>77.828651428000001</v>
      </c>
      <c r="E2224">
        <v>40</v>
      </c>
      <c r="F2224">
        <v>39.990554809999999</v>
      </c>
      <c r="G2224">
        <v>1328.0307617000001</v>
      </c>
      <c r="H2224">
        <v>1326.2244873</v>
      </c>
      <c r="I2224">
        <v>1339.2528076000001</v>
      </c>
      <c r="J2224">
        <v>1336.4207764</v>
      </c>
      <c r="K2224">
        <v>0</v>
      </c>
      <c r="L2224">
        <v>2750</v>
      </c>
      <c r="M2224">
        <v>2750</v>
      </c>
      <c r="N2224">
        <v>0</v>
      </c>
    </row>
    <row r="2225" spans="1:14" x14ac:dyDescent="0.25">
      <c r="A2225">
        <v>1313.4565</v>
      </c>
      <c r="B2225" s="1">
        <f>DATE(2013,12,4) + TIME(10,57,21)</f>
        <v>41612.456493055557</v>
      </c>
      <c r="C2225">
        <v>80</v>
      </c>
      <c r="D2225">
        <v>77.763824463000006</v>
      </c>
      <c r="E2225">
        <v>40</v>
      </c>
      <c r="F2225">
        <v>39.990543365000001</v>
      </c>
      <c r="G2225">
        <v>1327.9910889</v>
      </c>
      <c r="H2225">
        <v>1326.1711425999999</v>
      </c>
      <c r="I2225">
        <v>1339.2514647999999</v>
      </c>
      <c r="J2225">
        <v>1336.4205322</v>
      </c>
      <c r="K2225">
        <v>0</v>
      </c>
      <c r="L2225">
        <v>2750</v>
      </c>
      <c r="M2225">
        <v>2750</v>
      </c>
      <c r="N2225">
        <v>0</v>
      </c>
    </row>
    <row r="2226" spans="1:14" x14ac:dyDescent="0.25">
      <c r="A2226">
        <v>1314.674565</v>
      </c>
      <c r="B2226" s="1">
        <f>DATE(2013,12,5) + TIME(16,11,22)</f>
        <v>41613.674560185187</v>
      </c>
      <c r="C2226">
        <v>80</v>
      </c>
      <c r="D2226">
        <v>77.696342467999997</v>
      </c>
      <c r="E2226">
        <v>40</v>
      </c>
      <c r="F2226">
        <v>39.990531920999999</v>
      </c>
      <c r="G2226">
        <v>1327.9505615</v>
      </c>
      <c r="H2226">
        <v>1326.1162108999999</v>
      </c>
      <c r="I2226">
        <v>1339.2501221</v>
      </c>
      <c r="J2226">
        <v>1336.4202881000001</v>
      </c>
      <c r="K2226">
        <v>0</v>
      </c>
      <c r="L2226">
        <v>2750</v>
      </c>
      <c r="M2226">
        <v>2750</v>
      </c>
      <c r="N2226">
        <v>0</v>
      </c>
    </row>
    <row r="2227" spans="1:14" x14ac:dyDescent="0.25">
      <c r="A2227">
        <v>1315.9343289999999</v>
      </c>
      <c r="B2227" s="1">
        <f>DATE(2013,12,6) + TIME(22,25,26)</f>
        <v>41614.934328703705</v>
      </c>
      <c r="C2227">
        <v>80</v>
      </c>
      <c r="D2227">
        <v>77.626464843999997</v>
      </c>
      <c r="E2227">
        <v>40</v>
      </c>
      <c r="F2227">
        <v>39.990520476999997</v>
      </c>
      <c r="G2227">
        <v>1327.9094238</v>
      </c>
      <c r="H2227">
        <v>1326.0604248</v>
      </c>
      <c r="I2227">
        <v>1339.2489014</v>
      </c>
      <c r="J2227">
        <v>1336.4201660000001</v>
      </c>
      <c r="K2227">
        <v>0</v>
      </c>
      <c r="L2227">
        <v>2750</v>
      </c>
      <c r="M2227">
        <v>2750</v>
      </c>
      <c r="N2227">
        <v>0</v>
      </c>
    </row>
    <row r="2228" spans="1:14" x14ac:dyDescent="0.25">
      <c r="A2228">
        <v>1317.2310399999999</v>
      </c>
      <c r="B2228" s="1">
        <f>DATE(2013,12,8) + TIME(5,32,41)</f>
        <v>41616.231030092589</v>
      </c>
      <c r="C2228">
        <v>80</v>
      </c>
      <c r="D2228">
        <v>77.554130553999997</v>
      </c>
      <c r="E2228">
        <v>40</v>
      </c>
      <c r="F2228">
        <v>39.990505218999999</v>
      </c>
      <c r="G2228">
        <v>1327.8675536999999</v>
      </c>
      <c r="H2228">
        <v>1326.0037841999999</v>
      </c>
      <c r="I2228">
        <v>1339.2476807</v>
      </c>
      <c r="J2228">
        <v>1336.4200439000001</v>
      </c>
      <c r="K2228">
        <v>0</v>
      </c>
      <c r="L2228">
        <v>2750</v>
      </c>
      <c r="M2228">
        <v>2750</v>
      </c>
      <c r="N2228">
        <v>0</v>
      </c>
    </row>
    <row r="2229" spans="1:14" x14ac:dyDescent="0.25">
      <c r="A2229">
        <v>1318.543044</v>
      </c>
      <c r="B2229" s="1">
        <f>DATE(2013,12,9) + TIME(13,1,58)</f>
        <v>41617.543032407404</v>
      </c>
      <c r="C2229">
        <v>80</v>
      </c>
      <c r="D2229">
        <v>77.479728699000006</v>
      </c>
      <c r="E2229">
        <v>40</v>
      </c>
      <c r="F2229">
        <v>39.990493774000001</v>
      </c>
      <c r="G2229">
        <v>1327.8251952999999</v>
      </c>
      <c r="H2229">
        <v>1325.9466553</v>
      </c>
      <c r="I2229">
        <v>1339.2463379000001</v>
      </c>
      <c r="J2229">
        <v>1336.4200439000001</v>
      </c>
      <c r="K2229">
        <v>0</v>
      </c>
      <c r="L2229">
        <v>2750</v>
      </c>
      <c r="M2229">
        <v>2750</v>
      </c>
      <c r="N2229">
        <v>0</v>
      </c>
    </row>
    <row r="2230" spans="1:14" x14ac:dyDescent="0.25">
      <c r="A2230">
        <v>1319.8803909999999</v>
      </c>
      <c r="B2230" s="1">
        <f>DATE(2013,12,10) + TIME(21,7,45)</f>
        <v>41618.880381944444</v>
      </c>
      <c r="C2230">
        <v>80</v>
      </c>
      <c r="D2230">
        <v>77.403671265</v>
      </c>
      <c r="E2230">
        <v>40</v>
      </c>
      <c r="F2230">
        <v>39.990482329999999</v>
      </c>
      <c r="G2230">
        <v>1327.7828368999999</v>
      </c>
      <c r="H2230">
        <v>1325.8895264</v>
      </c>
      <c r="I2230">
        <v>1339.2452393000001</v>
      </c>
      <c r="J2230">
        <v>1336.4199219</v>
      </c>
      <c r="K2230">
        <v>0</v>
      </c>
      <c r="L2230">
        <v>2750</v>
      </c>
      <c r="M2230">
        <v>2750</v>
      </c>
      <c r="N2230">
        <v>0</v>
      </c>
    </row>
    <row r="2231" spans="1:14" x14ac:dyDescent="0.25">
      <c r="A2231">
        <v>1321.2536600000001</v>
      </c>
      <c r="B2231" s="1">
        <f>DATE(2013,12,12) + TIME(6,5,16)</f>
        <v>41620.253657407404</v>
      </c>
      <c r="C2231">
        <v>80</v>
      </c>
      <c r="D2231">
        <v>77.325630188000005</v>
      </c>
      <c r="E2231">
        <v>40</v>
      </c>
      <c r="F2231">
        <v>39.990470885999997</v>
      </c>
      <c r="G2231">
        <v>1327.7404785000001</v>
      </c>
      <c r="H2231">
        <v>1325.8323975000001</v>
      </c>
      <c r="I2231">
        <v>1339.2440185999999</v>
      </c>
      <c r="J2231">
        <v>1336.4199219</v>
      </c>
      <c r="K2231">
        <v>0</v>
      </c>
      <c r="L2231">
        <v>2750</v>
      </c>
      <c r="M2231">
        <v>2750</v>
      </c>
      <c r="N2231">
        <v>0</v>
      </c>
    </row>
    <row r="2232" spans="1:14" x14ac:dyDescent="0.25">
      <c r="A2232">
        <v>1322.6743650000001</v>
      </c>
      <c r="B2232" s="1">
        <f>DATE(2013,12,13) + TIME(16,11,5)</f>
        <v>41621.674363425926</v>
      </c>
      <c r="C2232">
        <v>80</v>
      </c>
      <c r="D2232">
        <v>77.245018005000006</v>
      </c>
      <c r="E2232">
        <v>40</v>
      </c>
      <c r="F2232">
        <v>39.990455627000003</v>
      </c>
      <c r="G2232">
        <v>1327.697876</v>
      </c>
      <c r="H2232">
        <v>1325.7750243999999</v>
      </c>
      <c r="I2232">
        <v>1339.2429199000001</v>
      </c>
      <c r="J2232">
        <v>1336.4199219</v>
      </c>
      <c r="K2232">
        <v>0</v>
      </c>
      <c r="L2232">
        <v>2750</v>
      </c>
      <c r="M2232">
        <v>2750</v>
      </c>
      <c r="N2232">
        <v>0</v>
      </c>
    </row>
    <row r="2233" spans="1:14" x14ac:dyDescent="0.25">
      <c r="A2233">
        <v>1324.1343059999999</v>
      </c>
      <c r="B2233" s="1">
        <f>DATE(2013,12,15) + TIME(3,13,24)</f>
        <v>41623.134305555555</v>
      </c>
      <c r="C2233">
        <v>80</v>
      </c>
      <c r="D2233">
        <v>77.161430358999993</v>
      </c>
      <c r="E2233">
        <v>40</v>
      </c>
      <c r="F2233">
        <v>39.990444183000001</v>
      </c>
      <c r="G2233">
        <v>1327.6546631000001</v>
      </c>
      <c r="H2233">
        <v>1325.7170410000001</v>
      </c>
      <c r="I2233">
        <v>1339.2416992000001</v>
      </c>
      <c r="J2233">
        <v>1336.4200439000001</v>
      </c>
      <c r="K2233">
        <v>0</v>
      </c>
      <c r="L2233">
        <v>2750</v>
      </c>
      <c r="M2233">
        <v>2750</v>
      </c>
      <c r="N2233">
        <v>0</v>
      </c>
    </row>
    <row r="2234" spans="1:14" x14ac:dyDescent="0.25">
      <c r="A2234">
        <v>1325.6183739999999</v>
      </c>
      <c r="B2234" s="1">
        <f>DATE(2013,12,16) + TIME(14,50,27)</f>
        <v>41624.618368055555</v>
      </c>
      <c r="C2234">
        <v>80</v>
      </c>
      <c r="D2234">
        <v>77.075149535999998</v>
      </c>
      <c r="E2234">
        <v>40</v>
      </c>
      <c r="F2234">
        <v>39.990428925000003</v>
      </c>
      <c r="G2234">
        <v>1327.6110839999999</v>
      </c>
      <c r="H2234">
        <v>1325.6585693</v>
      </c>
      <c r="I2234">
        <v>1339.2406006000001</v>
      </c>
      <c r="J2234">
        <v>1336.4200439000001</v>
      </c>
      <c r="K2234">
        <v>0</v>
      </c>
      <c r="L2234">
        <v>2750</v>
      </c>
      <c r="M2234">
        <v>2750</v>
      </c>
      <c r="N2234">
        <v>0</v>
      </c>
    </row>
    <row r="2235" spans="1:14" x14ac:dyDescent="0.25">
      <c r="A2235">
        <v>1327.1374430000001</v>
      </c>
      <c r="B2235" s="1">
        <f>DATE(2013,12,18) + TIME(3,17,55)</f>
        <v>41626.137442129628</v>
      </c>
      <c r="C2235">
        <v>80</v>
      </c>
      <c r="D2235">
        <v>76.986442565999994</v>
      </c>
      <c r="E2235">
        <v>40</v>
      </c>
      <c r="F2235">
        <v>39.990417479999998</v>
      </c>
      <c r="G2235">
        <v>1327.5673827999999</v>
      </c>
      <c r="H2235">
        <v>1325.5999756000001</v>
      </c>
      <c r="I2235">
        <v>1339.2395019999999</v>
      </c>
      <c r="J2235">
        <v>1336.4201660000001</v>
      </c>
      <c r="K2235">
        <v>0</v>
      </c>
      <c r="L2235">
        <v>2750</v>
      </c>
      <c r="M2235">
        <v>2750</v>
      </c>
      <c r="N2235">
        <v>0</v>
      </c>
    </row>
    <row r="2236" spans="1:14" x14ac:dyDescent="0.25">
      <c r="A2236">
        <v>1328.7032549999999</v>
      </c>
      <c r="B2236" s="1">
        <f>DATE(2013,12,19) + TIME(16,52,41)</f>
        <v>41627.703252314815</v>
      </c>
      <c r="C2236">
        <v>80</v>
      </c>
      <c r="D2236">
        <v>76.894859314000001</v>
      </c>
      <c r="E2236">
        <v>40</v>
      </c>
      <c r="F2236">
        <v>39.990402222</v>
      </c>
      <c r="G2236">
        <v>1327.5235596</v>
      </c>
      <c r="H2236">
        <v>1325.5412598</v>
      </c>
      <c r="I2236">
        <v>1339.2385254000001</v>
      </c>
      <c r="J2236">
        <v>1336.4202881000001</v>
      </c>
      <c r="K2236">
        <v>0</v>
      </c>
      <c r="L2236">
        <v>2750</v>
      </c>
      <c r="M2236">
        <v>2750</v>
      </c>
      <c r="N2236">
        <v>0</v>
      </c>
    </row>
    <row r="2237" spans="1:14" x14ac:dyDescent="0.25">
      <c r="A2237">
        <v>1330.2985369999999</v>
      </c>
      <c r="B2237" s="1">
        <f>DATE(2013,12,21) + TIME(7,9,53)</f>
        <v>41629.298530092594</v>
      </c>
      <c r="C2237">
        <v>80</v>
      </c>
      <c r="D2237">
        <v>76.800140381000006</v>
      </c>
      <c r="E2237">
        <v>40</v>
      </c>
      <c r="F2237">
        <v>39.990390777999998</v>
      </c>
      <c r="G2237">
        <v>1327.4792480000001</v>
      </c>
      <c r="H2237">
        <v>1325.4821777</v>
      </c>
      <c r="I2237">
        <v>1339.2374268000001</v>
      </c>
      <c r="J2237">
        <v>1336.4205322</v>
      </c>
      <c r="K2237">
        <v>0</v>
      </c>
      <c r="L2237">
        <v>2750</v>
      </c>
      <c r="M2237">
        <v>2750</v>
      </c>
      <c r="N2237">
        <v>0</v>
      </c>
    </row>
    <row r="2238" spans="1:14" x14ac:dyDescent="0.25">
      <c r="A2238">
        <v>1331.9184319999999</v>
      </c>
      <c r="B2238" s="1">
        <f>DATE(2013,12,22) + TIME(22,2,32)</f>
        <v>41630.918425925927</v>
      </c>
      <c r="C2238">
        <v>80</v>
      </c>
      <c r="D2238">
        <v>76.702751160000005</v>
      </c>
      <c r="E2238">
        <v>40</v>
      </c>
      <c r="F2238">
        <v>39.990375518999997</v>
      </c>
      <c r="G2238">
        <v>1327.4349365</v>
      </c>
      <c r="H2238">
        <v>1325.4229736</v>
      </c>
      <c r="I2238">
        <v>1339.2363281</v>
      </c>
      <c r="J2238">
        <v>1336.4206543</v>
      </c>
      <c r="K2238">
        <v>0</v>
      </c>
      <c r="L2238">
        <v>2750</v>
      </c>
      <c r="M2238">
        <v>2750</v>
      </c>
      <c r="N2238">
        <v>0</v>
      </c>
    </row>
    <row r="2239" spans="1:14" x14ac:dyDescent="0.25">
      <c r="A2239">
        <v>1333.575765</v>
      </c>
      <c r="B2239" s="1">
        <f>DATE(2013,12,24) + TIME(13,49,6)</f>
        <v>41632.57576388889</v>
      </c>
      <c r="C2239">
        <v>80</v>
      </c>
      <c r="D2239">
        <v>76.602737426999994</v>
      </c>
      <c r="E2239">
        <v>40</v>
      </c>
      <c r="F2239">
        <v>39.990364075000002</v>
      </c>
      <c r="G2239">
        <v>1327.390625</v>
      </c>
      <c r="H2239">
        <v>1325.3640137</v>
      </c>
      <c r="I2239">
        <v>1339.2353516000001</v>
      </c>
      <c r="J2239">
        <v>1336.4208983999999</v>
      </c>
      <c r="K2239">
        <v>0</v>
      </c>
      <c r="L2239">
        <v>2750</v>
      </c>
      <c r="M2239">
        <v>2750</v>
      </c>
      <c r="N2239">
        <v>0</v>
      </c>
    </row>
    <row r="2240" spans="1:14" x14ac:dyDescent="0.25">
      <c r="A2240">
        <v>1335.2844210000001</v>
      </c>
      <c r="B2240" s="1">
        <f>DATE(2013,12,26) + TIME(6,49,34)</f>
        <v>41634.284421296295</v>
      </c>
      <c r="C2240">
        <v>80</v>
      </c>
      <c r="D2240">
        <v>76.499465942</v>
      </c>
      <c r="E2240">
        <v>40</v>
      </c>
      <c r="F2240">
        <v>39.990348816000001</v>
      </c>
      <c r="G2240">
        <v>1327.3461914</v>
      </c>
      <c r="H2240">
        <v>1325.3048096</v>
      </c>
      <c r="I2240">
        <v>1339.2342529</v>
      </c>
      <c r="J2240">
        <v>1336.4210204999999</v>
      </c>
      <c r="K2240">
        <v>0</v>
      </c>
      <c r="L2240">
        <v>2750</v>
      </c>
      <c r="M2240">
        <v>2750</v>
      </c>
      <c r="N2240">
        <v>0</v>
      </c>
    </row>
    <row r="2241" spans="1:14" x14ac:dyDescent="0.25">
      <c r="A2241">
        <v>1337.0325580000001</v>
      </c>
      <c r="B2241" s="1">
        <f>DATE(2013,12,28) + TIME(0,46,53)</f>
        <v>41636.032557870371</v>
      </c>
      <c r="C2241">
        <v>80</v>
      </c>
      <c r="D2241">
        <v>76.392440796000002</v>
      </c>
      <c r="E2241">
        <v>40</v>
      </c>
      <c r="F2241">
        <v>39.990333557</v>
      </c>
      <c r="G2241">
        <v>1327.3015137</v>
      </c>
      <c r="H2241">
        <v>1325.2453613</v>
      </c>
      <c r="I2241">
        <v>1339.2332764</v>
      </c>
      <c r="J2241">
        <v>1336.4212646000001</v>
      </c>
      <c r="K2241">
        <v>0</v>
      </c>
      <c r="L2241">
        <v>2750</v>
      </c>
      <c r="M2241">
        <v>2750</v>
      </c>
      <c r="N2241">
        <v>0</v>
      </c>
    </row>
    <row r="2242" spans="1:14" x14ac:dyDescent="0.25">
      <c r="A2242">
        <v>1338.812038</v>
      </c>
      <c r="B2242" s="1">
        <f>DATE(2013,12,29) + TIME(19,29,20)</f>
        <v>41637.812037037038</v>
      </c>
      <c r="C2242">
        <v>80</v>
      </c>
      <c r="D2242">
        <v>76.281997681000007</v>
      </c>
      <c r="E2242">
        <v>40</v>
      </c>
      <c r="F2242">
        <v>39.990322112999998</v>
      </c>
      <c r="G2242">
        <v>1327.2564697</v>
      </c>
      <c r="H2242">
        <v>1325.1856689000001</v>
      </c>
      <c r="I2242">
        <v>1339.2321777</v>
      </c>
      <c r="J2242">
        <v>1336.4216309000001</v>
      </c>
      <c r="K2242">
        <v>0</v>
      </c>
      <c r="L2242">
        <v>2750</v>
      </c>
      <c r="M2242">
        <v>2750</v>
      </c>
      <c r="N2242">
        <v>0</v>
      </c>
    </row>
    <row r="2243" spans="1:14" x14ac:dyDescent="0.25">
      <c r="A2243">
        <v>1340.624816</v>
      </c>
      <c r="B2243" s="1">
        <f>DATE(2013,12,31) + TIME(14,59,44)</f>
        <v>41639.624814814815</v>
      </c>
      <c r="C2243">
        <v>80</v>
      </c>
      <c r="D2243">
        <v>76.168434142999999</v>
      </c>
      <c r="E2243">
        <v>40</v>
      </c>
      <c r="F2243">
        <v>39.990306854000004</v>
      </c>
      <c r="G2243">
        <v>1327.2114257999999</v>
      </c>
      <c r="H2243">
        <v>1325.1259766000001</v>
      </c>
      <c r="I2243">
        <v>1339.2312012</v>
      </c>
      <c r="J2243">
        <v>1336.421875</v>
      </c>
      <c r="K2243">
        <v>0</v>
      </c>
      <c r="L2243">
        <v>2750</v>
      </c>
      <c r="M2243">
        <v>2750</v>
      </c>
      <c r="N2243">
        <v>0</v>
      </c>
    </row>
    <row r="2244" spans="1:14" x14ac:dyDescent="0.25">
      <c r="A2244">
        <v>1341</v>
      </c>
      <c r="B2244" s="1">
        <f>DATE(2014,1,1) + TIME(0,0,0)</f>
        <v>41640</v>
      </c>
      <c r="C2244">
        <v>80</v>
      </c>
      <c r="D2244">
        <v>76.105644225999995</v>
      </c>
      <c r="E2244">
        <v>40</v>
      </c>
      <c r="F2244">
        <v>39.990303040000001</v>
      </c>
      <c r="G2244">
        <v>1327.1689452999999</v>
      </c>
      <c r="H2244">
        <v>1325.0721435999999</v>
      </c>
      <c r="I2244">
        <v>1339.2301024999999</v>
      </c>
      <c r="J2244">
        <v>1336.4219971</v>
      </c>
      <c r="K2244">
        <v>0</v>
      </c>
      <c r="L2244">
        <v>2750</v>
      </c>
      <c r="M2244">
        <v>2750</v>
      </c>
      <c r="N2244">
        <v>0</v>
      </c>
    </row>
    <row r="2245" spans="1:14" x14ac:dyDescent="0.25">
      <c r="A2245">
        <v>1342.8602559999999</v>
      </c>
      <c r="B2245" s="1">
        <f>DATE(2014,1,2) + TIME(20,38,46)</f>
        <v>41641.860254629632</v>
      </c>
      <c r="C2245">
        <v>80</v>
      </c>
      <c r="D2245">
        <v>76.018760681000003</v>
      </c>
      <c r="E2245">
        <v>40</v>
      </c>
      <c r="F2245">
        <v>39.990287780999999</v>
      </c>
      <c r="G2245">
        <v>1327.1517334</v>
      </c>
      <c r="H2245">
        <v>1325.0444336</v>
      </c>
      <c r="I2245">
        <v>1339.2299805</v>
      </c>
      <c r="J2245">
        <v>1336.4222411999999</v>
      </c>
      <c r="K2245">
        <v>0</v>
      </c>
      <c r="L2245">
        <v>2750</v>
      </c>
      <c r="M2245">
        <v>2750</v>
      </c>
      <c r="N2245">
        <v>0</v>
      </c>
    </row>
    <row r="2246" spans="1:14" x14ac:dyDescent="0.25">
      <c r="A2246">
        <v>1344.766061</v>
      </c>
      <c r="B2246" s="1">
        <f>DATE(2014,1,4) + TIME(18,23,7)</f>
        <v>41643.766053240739</v>
      </c>
      <c r="C2246">
        <v>80</v>
      </c>
      <c r="D2246">
        <v>75.904296875</v>
      </c>
      <c r="E2246">
        <v>40</v>
      </c>
      <c r="F2246">
        <v>39.990272521999998</v>
      </c>
      <c r="G2246">
        <v>1327.1108397999999</v>
      </c>
      <c r="H2246">
        <v>1324.9923096</v>
      </c>
      <c r="I2246">
        <v>1339.2290039</v>
      </c>
      <c r="J2246">
        <v>1336.4224853999999</v>
      </c>
      <c r="K2246">
        <v>0</v>
      </c>
      <c r="L2246">
        <v>2750</v>
      </c>
      <c r="M2246">
        <v>2750</v>
      </c>
      <c r="N2246">
        <v>0</v>
      </c>
    </row>
    <row r="2247" spans="1:14" x14ac:dyDescent="0.25">
      <c r="A2247">
        <v>1346.7056050000001</v>
      </c>
      <c r="B2247" s="1">
        <f>DATE(2014,1,6) + TIME(16,56,4)</f>
        <v>41645.705601851849</v>
      </c>
      <c r="C2247">
        <v>80</v>
      </c>
      <c r="D2247">
        <v>75.780723571999999</v>
      </c>
      <c r="E2247">
        <v>40</v>
      </c>
      <c r="F2247">
        <v>39.990257262999997</v>
      </c>
      <c r="G2247">
        <v>1327.0666504000001</v>
      </c>
      <c r="H2247">
        <v>1324.9343262</v>
      </c>
      <c r="I2247">
        <v>1339.2280272999999</v>
      </c>
      <c r="J2247">
        <v>1336.4228516000001</v>
      </c>
      <c r="K2247">
        <v>0</v>
      </c>
      <c r="L2247">
        <v>2750</v>
      </c>
      <c r="M2247">
        <v>2750</v>
      </c>
      <c r="N2247">
        <v>0</v>
      </c>
    </row>
    <row r="2248" spans="1:14" x14ac:dyDescent="0.25">
      <c r="A2248">
        <v>1348.6950200000001</v>
      </c>
      <c r="B2248" s="1">
        <f>DATE(2014,1,8) + TIME(16,40,49)</f>
        <v>41647.695011574076</v>
      </c>
      <c r="C2248">
        <v>80</v>
      </c>
      <c r="D2248">
        <v>75.652389525999993</v>
      </c>
      <c r="E2248">
        <v>40</v>
      </c>
      <c r="F2248">
        <v>39.990245819000002</v>
      </c>
      <c r="G2248">
        <v>1327.0217285000001</v>
      </c>
      <c r="H2248">
        <v>1324.8751221</v>
      </c>
      <c r="I2248">
        <v>1339.2270507999999</v>
      </c>
      <c r="J2248">
        <v>1336.4232178</v>
      </c>
      <c r="K2248">
        <v>0</v>
      </c>
      <c r="L2248">
        <v>2750</v>
      </c>
      <c r="M2248">
        <v>2750</v>
      </c>
      <c r="N2248">
        <v>0</v>
      </c>
    </row>
    <row r="2249" spans="1:14" x14ac:dyDescent="0.25">
      <c r="A2249">
        <v>1350.720779</v>
      </c>
      <c r="B2249" s="1">
        <f>DATE(2014,1,10) + TIME(17,17,55)</f>
        <v>41649.720775462964</v>
      </c>
      <c r="C2249">
        <v>80</v>
      </c>
      <c r="D2249">
        <v>75.519721985000004</v>
      </c>
      <c r="E2249">
        <v>40</v>
      </c>
      <c r="F2249">
        <v>39.990230560000001</v>
      </c>
      <c r="G2249">
        <v>1326.9764404</v>
      </c>
      <c r="H2249">
        <v>1324.8155518000001</v>
      </c>
      <c r="I2249">
        <v>1339.2259521000001</v>
      </c>
      <c r="J2249">
        <v>1336.4234618999999</v>
      </c>
      <c r="K2249">
        <v>0</v>
      </c>
      <c r="L2249">
        <v>2750</v>
      </c>
      <c r="M2249">
        <v>2750</v>
      </c>
      <c r="N2249">
        <v>0</v>
      </c>
    </row>
    <row r="2250" spans="1:14" x14ac:dyDescent="0.25">
      <c r="A2250">
        <v>1352.7865409999999</v>
      </c>
      <c r="B2250" s="1">
        <f>DATE(2014,1,12) + TIME(18,52,37)</f>
        <v>41651.786539351851</v>
      </c>
      <c r="C2250">
        <v>80</v>
      </c>
      <c r="D2250">
        <v>75.383277892999999</v>
      </c>
      <c r="E2250">
        <v>40</v>
      </c>
      <c r="F2250">
        <v>39.990215302000003</v>
      </c>
      <c r="G2250">
        <v>1326.9310303</v>
      </c>
      <c r="H2250">
        <v>1324.7558594</v>
      </c>
      <c r="I2250">
        <v>1339.2249756000001</v>
      </c>
      <c r="J2250">
        <v>1336.4238281</v>
      </c>
      <c r="K2250">
        <v>0</v>
      </c>
      <c r="L2250">
        <v>2750</v>
      </c>
      <c r="M2250">
        <v>2750</v>
      </c>
      <c r="N2250">
        <v>0</v>
      </c>
    </row>
    <row r="2251" spans="1:14" x14ac:dyDescent="0.25">
      <c r="A2251">
        <v>1354.8907569999999</v>
      </c>
      <c r="B2251" s="1">
        <f>DATE(2014,1,14) + TIME(21,22,41)</f>
        <v>41653.890752314815</v>
      </c>
      <c r="C2251">
        <v>80</v>
      </c>
      <c r="D2251">
        <v>75.243034363000007</v>
      </c>
      <c r="E2251">
        <v>40</v>
      </c>
      <c r="F2251">
        <v>39.990200043000002</v>
      </c>
      <c r="G2251">
        <v>1326.8857422000001</v>
      </c>
      <c r="H2251">
        <v>1324.6962891000001</v>
      </c>
      <c r="I2251">
        <v>1339.2238769999999</v>
      </c>
      <c r="J2251">
        <v>1336.4241943</v>
      </c>
      <c r="K2251">
        <v>0</v>
      </c>
      <c r="L2251">
        <v>2750</v>
      </c>
      <c r="M2251">
        <v>2750</v>
      </c>
      <c r="N2251">
        <v>0</v>
      </c>
    </row>
    <row r="2252" spans="1:14" x14ac:dyDescent="0.25">
      <c r="A2252">
        <v>1357.040526</v>
      </c>
      <c r="B2252" s="1">
        <f>DATE(2014,1,17) + TIME(0,58,21)</f>
        <v>41656.040520833332</v>
      </c>
      <c r="C2252">
        <v>80</v>
      </c>
      <c r="D2252">
        <v>75.098976135000001</v>
      </c>
      <c r="E2252">
        <v>40</v>
      </c>
      <c r="F2252">
        <v>39.990184784</v>
      </c>
      <c r="G2252">
        <v>1326.8404541</v>
      </c>
      <c r="H2252">
        <v>1324.6367187999999</v>
      </c>
      <c r="I2252">
        <v>1339.2229004000001</v>
      </c>
      <c r="J2252">
        <v>1336.4245605000001</v>
      </c>
      <c r="K2252">
        <v>0</v>
      </c>
      <c r="L2252">
        <v>2750</v>
      </c>
      <c r="M2252">
        <v>2750</v>
      </c>
      <c r="N2252">
        <v>0</v>
      </c>
    </row>
    <row r="2253" spans="1:14" x14ac:dyDescent="0.25">
      <c r="A2253">
        <v>1359.247509</v>
      </c>
      <c r="B2253" s="1">
        <f>DATE(2014,1,19) + TIME(5,56,24)</f>
        <v>41658.247499999998</v>
      </c>
      <c r="C2253">
        <v>80</v>
      </c>
      <c r="D2253">
        <v>74.950508118000002</v>
      </c>
      <c r="E2253">
        <v>40</v>
      </c>
      <c r="F2253">
        <v>39.990169524999999</v>
      </c>
      <c r="G2253">
        <v>1326.7950439000001</v>
      </c>
      <c r="H2253">
        <v>1324.5772704999999</v>
      </c>
      <c r="I2253">
        <v>1339.2218018000001</v>
      </c>
      <c r="J2253">
        <v>1336.4249268000001</v>
      </c>
      <c r="K2253">
        <v>0</v>
      </c>
      <c r="L2253">
        <v>2750</v>
      </c>
      <c r="M2253">
        <v>2750</v>
      </c>
      <c r="N2253">
        <v>0</v>
      </c>
    </row>
    <row r="2254" spans="1:14" x14ac:dyDescent="0.25">
      <c r="A2254">
        <v>1361.489392</v>
      </c>
      <c r="B2254" s="1">
        <f>DATE(2014,1,21) + TIME(11,44,43)</f>
        <v>41660.489386574074</v>
      </c>
      <c r="C2254">
        <v>80</v>
      </c>
      <c r="D2254">
        <v>74.797210692999997</v>
      </c>
      <c r="E2254">
        <v>40</v>
      </c>
      <c r="F2254">
        <v>39.990154265999998</v>
      </c>
      <c r="G2254">
        <v>1326.7495117000001</v>
      </c>
      <c r="H2254">
        <v>1324.5175781</v>
      </c>
      <c r="I2254">
        <v>1339.2208252</v>
      </c>
      <c r="J2254">
        <v>1336.425293</v>
      </c>
      <c r="K2254">
        <v>0</v>
      </c>
      <c r="L2254">
        <v>2750</v>
      </c>
      <c r="M2254">
        <v>2750</v>
      </c>
      <c r="N2254">
        <v>0</v>
      </c>
    </row>
    <row r="2255" spans="1:14" x14ac:dyDescent="0.25">
      <c r="A2255">
        <v>1363.785232</v>
      </c>
      <c r="B2255" s="1">
        <f>DATE(2014,1,23) + TIME(18,50,44)</f>
        <v>41662.785231481481</v>
      </c>
      <c r="C2255">
        <v>80</v>
      </c>
      <c r="D2255">
        <v>74.639831543</v>
      </c>
      <c r="E2255">
        <v>40</v>
      </c>
      <c r="F2255">
        <v>39.990139008</v>
      </c>
      <c r="G2255">
        <v>1326.7039795000001</v>
      </c>
      <c r="H2255">
        <v>1324.4580077999999</v>
      </c>
      <c r="I2255">
        <v>1339.2197266000001</v>
      </c>
      <c r="J2255">
        <v>1336.4256591999999</v>
      </c>
      <c r="K2255">
        <v>0</v>
      </c>
      <c r="L2255">
        <v>2750</v>
      </c>
      <c r="M2255">
        <v>2750</v>
      </c>
      <c r="N2255">
        <v>0</v>
      </c>
    </row>
    <row r="2256" spans="1:14" x14ac:dyDescent="0.25">
      <c r="A2256">
        <v>1366.107563</v>
      </c>
      <c r="B2256" s="1">
        <f>DATE(2014,1,26) + TIME(2,34,53)</f>
        <v>41665.107557870368</v>
      </c>
      <c r="C2256">
        <v>80</v>
      </c>
      <c r="D2256">
        <v>74.477996825999995</v>
      </c>
      <c r="E2256">
        <v>40</v>
      </c>
      <c r="F2256">
        <v>39.990123748999999</v>
      </c>
      <c r="G2256">
        <v>1326.6584473</v>
      </c>
      <c r="H2256">
        <v>1324.3984375</v>
      </c>
      <c r="I2256">
        <v>1339.2186279</v>
      </c>
      <c r="J2256">
        <v>1336.4259033000001</v>
      </c>
      <c r="K2256">
        <v>0</v>
      </c>
      <c r="L2256">
        <v>2750</v>
      </c>
      <c r="M2256">
        <v>2750</v>
      </c>
      <c r="N2256">
        <v>0</v>
      </c>
    </row>
    <row r="2257" spans="1:14" x14ac:dyDescent="0.25">
      <c r="A2257">
        <v>1368.470345</v>
      </c>
      <c r="B2257" s="1">
        <f>DATE(2014,1,28) + TIME(11,17,17)</f>
        <v>41667.470335648148</v>
      </c>
      <c r="C2257">
        <v>80</v>
      </c>
      <c r="D2257">
        <v>74.312713622999993</v>
      </c>
      <c r="E2257">
        <v>40</v>
      </c>
      <c r="F2257">
        <v>39.990108489999997</v>
      </c>
      <c r="G2257">
        <v>1326.6131591999999</v>
      </c>
      <c r="H2257">
        <v>1324.3392334</v>
      </c>
      <c r="I2257">
        <v>1339.2175293</v>
      </c>
      <c r="J2257">
        <v>1336.4262695</v>
      </c>
      <c r="K2257">
        <v>0</v>
      </c>
      <c r="L2257">
        <v>2750</v>
      </c>
      <c r="M2257">
        <v>2750</v>
      </c>
      <c r="N2257">
        <v>0</v>
      </c>
    </row>
    <row r="2258" spans="1:14" x14ac:dyDescent="0.25">
      <c r="A2258">
        <v>1370.885127</v>
      </c>
      <c r="B2258" s="1">
        <f>DATE(2014,1,30) + TIME(21,14,34)</f>
        <v>41669.885115740741</v>
      </c>
      <c r="C2258">
        <v>80</v>
      </c>
      <c r="D2258">
        <v>74.143310546999999</v>
      </c>
      <c r="E2258">
        <v>40</v>
      </c>
      <c r="F2258">
        <v>39.990089417</v>
      </c>
      <c r="G2258">
        <v>1326.5679932</v>
      </c>
      <c r="H2258">
        <v>1324.2801514</v>
      </c>
      <c r="I2258">
        <v>1339.2164307</v>
      </c>
      <c r="J2258">
        <v>1336.4266356999999</v>
      </c>
      <c r="K2258">
        <v>0</v>
      </c>
      <c r="L2258">
        <v>2750</v>
      </c>
      <c r="M2258">
        <v>2750</v>
      </c>
      <c r="N2258">
        <v>0</v>
      </c>
    </row>
    <row r="2259" spans="1:14" x14ac:dyDescent="0.25">
      <c r="A2259">
        <v>1372</v>
      </c>
      <c r="B2259" s="1">
        <f>DATE(2014,2,1) + TIME(0,0,0)</f>
        <v>41671</v>
      </c>
      <c r="C2259">
        <v>80</v>
      </c>
      <c r="D2259">
        <v>73.998085021999998</v>
      </c>
      <c r="E2259">
        <v>40</v>
      </c>
      <c r="F2259">
        <v>39.990081787000001</v>
      </c>
      <c r="G2259">
        <v>1326.5235596</v>
      </c>
      <c r="H2259">
        <v>1324.2233887</v>
      </c>
      <c r="I2259">
        <v>1339.2152100000001</v>
      </c>
      <c r="J2259">
        <v>1336.4268798999999</v>
      </c>
      <c r="K2259">
        <v>0</v>
      </c>
      <c r="L2259">
        <v>2750</v>
      </c>
      <c r="M2259">
        <v>2750</v>
      </c>
      <c r="N2259">
        <v>0</v>
      </c>
    </row>
    <row r="2260" spans="1:14" x14ac:dyDescent="0.25">
      <c r="A2260">
        <v>1374.467451</v>
      </c>
      <c r="B2260" s="1">
        <f>DATE(2014,2,3) + TIME(11,13,7)</f>
        <v>41673.467442129629</v>
      </c>
      <c r="C2260">
        <v>80</v>
      </c>
      <c r="D2260">
        <v>73.877456664999997</v>
      </c>
      <c r="E2260">
        <v>40</v>
      </c>
      <c r="F2260">
        <v>39.990066528</v>
      </c>
      <c r="G2260">
        <v>1326.4962158000001</v>
      </c>
      <c r="H2260">
        <v>1324.1834716999999</v>
      </c>
      <c r="I2260">
        <v>1339.2147216999999</v>
      </c>
      <c r="J2260">
        <v>1336.427124</v>
      </c>
      <c r="K2260">
        <v>0</v>
      </c>
      <c r="L2260">
        <v>2750</v>
      </c>
      <c r="M2260">
        <v>2750</v>
      </c>
      <c r="N2260">
        <v>0</v>
      </c>
    </row>
    <row r="2261" spans="1:14" x14ac:dyDescent="0.25">
      <c r="A2261">
        <v>1377.020949</v>
      </c>
      <c r="B2261" s="1">
        <f>DATE(2014,2,6) + TIME(0,30,10)</f>
        <v>41676.020949074074</v>
      </c>
      <c r="C2261">
        <v>80</v>
      </c>
      <c r="D2261">
        <v>73.706146239999995</v>
      </c>
      <c r="E2261">
        <v>40</v>
      </c>
      <c r="F2261">
        <v>39.990051270000002</v>
      </c>
      <c r="G2261">
        <v>1326.4560547000001</v>
      </c>
      <c r="H2261">
        <v>1324.1336670000001</v>
      </c>
      <c r="I2261">
        <v>1339.2136230000001</v>
      </c>
      <c r="J2261">
        <v>1336.4273682</v>
      </c>
      <c r="K2261">
        <v>0</v>
      </c>
      <c r="L2261">
        <v>2750</v>
      </c>
      <c r="M2261">
        <v>2750</v>
      </c>
      <c r="N2261">
        <v>0</v>
      </c>
    </row>
    <row r="2262" spans="1:14" x14ac:dyDescent="0.25">
      <c r="A2262">
        <v>1379.6243420000001</v>
      </c>
      <c r="B2262" s="1">
        <f>DATE(2014,2,8) + TIME(14,59,3)</f>
        <v>41678.624340277776</v>
      </c>
      <c r="C2262">
        <v>80</v>
      </c>
      <c r="D2262">
        <v>73.520790099999999</v>
      </c>
      <c r="E2262">
        <v>40</v>
      </c>
      <c r="F2262">
        <v>39.990036011000001</v>
      </c>
      <c r="G2262">
        <v>1326.4116211</v>
      </c>
      <c r="H2262">
        <v>1324.0764160000001</v>
      </c>
      <c r="I2262">
        <v>1339.2124022999999</v>
      </c>
      <c r="J2262">
        <v>1336.4276123</v>
      </c>
      <c r="K2262">
        <v>0</v>
      </c>
      <c r="L2262">
        <v>2750</v>
      </c>
      <c r="M2262">
        <v>2750</v>
      </c>
      <c r="N2262">
        <v>0</v>
      </c>
    </row>
    <row r="2263" spans="1:14" x14ac:dyDescent="0.25">
      <c r="A2263">
        <v>1382.2517150000001</v>
      </c>
      <c r="B2263" s="1">
        <f>DATE(2014,2,11) + TIME(6,2,28)</f>
        <v>41681.251712962963</v>
      </c>
      <c r="C2263">
        <v>80</v>
      </c>
      <c r="D2263">
        <v>73.329460143999995</v>
      </c>
      <c r="E2263">
        <v>40</v>
      </c>
      <c r="F2263">
        <v>39.990020752</v>
      </c>
      <c r="G2263">
        <v>1326.3664550999999</v>
      </c>
      <c r="H2263">
        <v>1324.0177002</v>
      </c>
      <c r="I2263">
        <v>1339.2110596</v>
      </c>
      <c r="J2263">
        <v>1336.4279785000001</v>
      </c>
      <c r="K2263">
        <v>0</v>
      </c>
      <c r="L2263">
        <v>2750</v>
      </c>
      <c r="M2263">
        <v>2750</v>
      </c>
      <c r="N2263">
        <v>0</v>
      </c>
    </row>
    <row r="2264" spans="1:14" x14ac:dyDescent="0.25">
      <c r="A2264">
        <v>1384.9239809999999</v>
      </c>
      <c r="B2264" s="1">
        <f>DATE(2014,2,13) + TIME(22,10,31)</f>
        <v>41683.92396990741</v>
      </c>
      <c r="C2264">
        <v>80</v>
      </c>
      <c r="D2264">
        <v>73.134445189999994</v>
      </c>
      <c r="E2264">
        <v>40</v>
      </c>
      <c r="F2264">
        <v>39.990005492999998</v>
      </c>
      <c r="G2264">
        <v>1326.3214111</v>
      </c>
      <c r="H2264">
        <v>1323.9591064000001</v>
      </c>
      <c r="I2264">
        <v>1339.2098389</v>
      </c>
      <c r="J2264">
        <v>1336.4282227000001</v>
      </c>
      <c r="K2264">
        <v>0</v>
      </c>
      <c r="L2264">
        <v>2750</v>
      </c>
      <c r="M2264">
        <v>2750</v>
      </c>
      <c r="N2264">
        <v>0</v>
      </c>
    </row>
    <row r="2265" spans="1:14" x14ac:dyDescent="0.25">
      <c r="A2265">
        <v>1387.661803</v>
      </c>
      <c r="B2265" s="1">
        <f>DATE(2014,2,16) + TIME(15,52,59)</f>
        <v>41686.661793981482</v>
      </c>
      <c r="C2265">
        <v>80</v>
      </c>
      <c r="D2265">
        <v>72.934867858999993</v>
      </c>
      <c r="E2265">
        <v>40</v>
      </c>
      <c r="F2265">
        <v>39.989990233999997</v>
      </c>
      <c r="G2265">
        <v>1326.2766113</v>
      </c>
      <c r="H2265">
        <v>1323.9007568</v>
      </c>
      <c r="I2265">
        <v>1339.2086182</v>
      </c>
      <c r="J2265">
        <v>1336.4284668</v>
      </c>
      <c r="K2265">
        <v>0</v>
      </c>
      <c r="L2265">
        <v>2750</v>
      </c>
      <c r="M2265">
        <v>2750</v>
      </c>
      <c r="N2265">
        <v>0</v>
      </c>
    </row>
    <row r="2266" spans="1:14" x14ac:dyDescent="0.25">
      <c r="A2266">
        <v>1390.4641200000001</v>
      </c>
      <c r="B2266" s="1">
        <f>DATE(2014,2,19) + TIME(11,8,19)</f>
        <v>41689.464108796295</v>
      </c>
      <c r="C2266">
        <v>80</v>
      </c>
      <c r="D2266">
        <v>72.729461670000006</v>
      </c>
      <c r="E2266">
        <v>40</v>
      </c>
      <c r="F2266">
        <v>39.989974975999999</v>
      </c>
      <c r="G2266">
        <v>1326.2316894999999</v>
      </c>
      <c r="H2266">
        <v>1323.8425293</v>
      </c>
      <c r="I2266">
        <v>1339.2072754000001</v>
      </c>
      <c r="J2266">
        <v>1336.4285889</v>
      </c>
      <c r="K2266">
        <v>0</v>
      </c>
      <c r="L2266">
        <v>2750</v>
      </c>
      <c r="M2266">
        <v>2750</v>
      </c>
      <c r="N2266">
        <v>0</v>
      </c>
    </row>
    <row r="2267" spans="1:14" x14ac:dyDescent="0.25">
      <c r="A2267">
        <v>1393.3412579999999</v>
      </c>
      <c r="B2267" s="1">
        <f>DATE(2014,2,22) + TIME(8,11,24)</f>
        <v>41692.341249999998</v>
      </c>
      <c r="C2267">
        <v>80</v>
      </c>
      <c r="D2267">
        <v>72.518012999999996</v>
      </c>
      <c r="E2267">
        <v>40</v>
      </c>
      <c r="F2267">
        <v>39.989959716999998</v>
      </c>
      <c r="G2267">
        <v>1326.1866454999999</v>
      </c>
      <c r="H2267">
        <v>1323.7840576000001</v>
      </c>
      <c r="I2267">
        <v>1339.2059326000001</v>
      </c>
      <c r="J2267">
        <v>1336.4288329999999</v>
      </c>
      <c r="K2267">
        <v>0</v>
      </c>
      <c r="L2267">
        <v>2750</v>
      </c>
      <c r="M2267">
        <v>2750</v>
      </c>
      <c r="N2267">
        <v>0</v>
      </c>
    </row>
    <row r="2268" spans="1:14" x14ac:dyDescent="0.25">
      <c r="A2268">
        <v>1396.2526640000001</v>
      </c>
      <c r="B2268" s="1">
        <f>DATE(2014,2,25) + TIME(6,3,50)</f>
        <v>41695.252662037034</v>
      </c>
      <c r="C2268">
        <v>80</v>
      </c>
      <c r="D2268">
        <v>72.300270080999994</v>
      </c>
      <c r="E2268">
        <v>40</v>
      </c>
      <c r="F2268">
        <v>39.989944457999997</v>
      </c>
      <c r="G2268">
        <v>1326.1413574000001</v>
      </c>
      <c r="H2268">
        <v>1323.7253418</v>
      </c>
      <c r="I2268">
        <v>1339.2045897999999</v>
      </c>
      <c r="J2268">
        <v>1336.4289550999999</v>
      </c>
      <c r="K2268">
        <v>0</v>
      </c>
      <c r="L2268">
        <v>2750</v>
      </c>
      <c r="M2268">
        <v>2750</v>
      </c>
      <c r="N2268">
        <v>0</v>
      </c>
    </row>
    <row r="2269" spans="1:14" x14ac:dyDescent="0.25">
      <c r="A2269">
        <v>1399.1959059999999</v>
      </c>
      <c r="B2269" s="1">
        <f>DATE(2014,2,28) + TIME(4,42,6)</f>
        <v>41698.195902777778</v>
      </c>
      <c r="C2269">
        <v>80</v>
      </c>
      <c r="D2269">
        <v>72.078475952000005</v>
      </c>
      <c r="E2269">
        <v>40</v>
      </c>
      <c r="F2269">
        <v>39.989929199000002</v>
      </c>
      <c r="G2269">
        <v>1326.0963135</v>
      </c>
      <c r="H2269">
        <v>1323.6669922000001</v>
      </c>
      <c r="I2269">
        <v>1339.203125</v>
      </c>
      <c r="J2269">
        <v>1336.4290771000001</v>
      </c>
      <c r="K2269">
        <v>0</v>
      </c>
      <c r="L2269">
        <v>2750</v>
      </c>
      <c r="M2269">
        <v>2750</v>
      </c>
      <c r="N2269">
        <v>0</v>
      </c>
    </row>
    <row r="2270" spans="1:14" x14ac:dyDescent="0.25">
      <c r="A2270">
        <v>1400</v>
      </c>
      <c r="B2270" s="1">
        <f>DATE(2014,3,1) + TIME(0,0,0)</f>
        <v>41699</v>
      </c>
      <c r="C2270">
        <v>80</v>
      </c>
      <c r="D2270">
        <v>71.913604735999996</v>
      </c>
      <c r="E2270">
        <v>40</v>
      </c>
      <c r="F2270">
        <v>39.98992157</v>
      </c>
      <c r="G2270">
        <v>1326.0523682</v>
      </c>
      <c r="H2270">
        <v>1323.6123047000001</v>
      </c>
      <c r="I2270">
        <v>1339.2016602000001</v>
      </c>
      <c r="J2270">
        <v>1336.4290771000001</v>
      </c>
      <c r="K2270">
        <v>0</v>
      </c>
      <c r="L2270">
        <v>2750</v>
      </c>
      <c r="M2270">
        <v>2750</v>
      </c>
      <c r="N2270">
        <v>0</v>
      </c>
    </row>
    <row r="2271" spans="1:14" x14ac:dyDescent="0.25">
      <c r="A2271">
        <v>1403.0000219999999</v>
      </c>
      <c r="B2271" s="1">
        <f>DATE(2014,3,4) + TIME(0,0,1)</f>
        <v>41702.000011574077</v>
      </c>
      <c r="C2271">
        <v>80</v>
      </c>
      <c r="D2271">
        <v>71.776679993000002</v>
      </c>
      <c r="E2271">
        <v>40</v>
      </c>
      <c r="F2271">
        <v>39.989906310999999</v>
      </c>
      <c r="G2271">
        <v>1326.0329589999999</v>
      </c>
      <c r="H2271">
        <v>1323.5809326000001</v>
      </c>
      <c r="I2271">
        <v>1339.2012939000001</v>
      </c>
      <c r="J2271">
        <v>1336.4291992000001</v>
      </c>
      <c r="K2271">
        <v>0</v>
      </c>
      <c r="L2271">
        <v>2750</v>
      </c>
      <c r="M2271">
        <v>2750</v>
      </c>
      <c r="N2271">
        <v>0</v>
      </c>
    </row>
    <row r="2272" spans="1:14" x14ac:dyDescent="0.25">
      <c r="A2272">
        <v>1406.10301</v>
      </c>
      <c r="B2272" s="1">
        <f>DATE(2014,3,7) + TIME(2,28,20)</f>
        <v>41705.103009259263</v>
      </c>
      <c r="C2272">
        <v>80</v>
      </c>
      <c r="D2272">
        <v>71.556358337000006</v>
      </c>
      <c r="E2272">
        <v>40</v>
      </c>
      <c r="F2272">
        <v>39.989894866999997</v>
      </c>
      <c r="G2272">
        <v>1325.9942627</v>
      </c>
      <c r="H2272">
        <v>1323.5339355000001</v>
      </c>
      <c r="I2272">
        <v>1339.1998291</v>
      </c>
      <c r="J2272">
        <v>1336.4291992000001</v>
      </c>
      <c r="K2272">
        <v>0</v>
      </c>
      <c r="L2272">
        <v>2750</v>
      </c>
      <c r="M2272">
        <v>2750</v>
      </c>
      <c r="N2272">
        <v>0</v>
      </c>
    </row>
    <row r="2273" spans="1:14" x14ac:dyDescent="0.25">
      <c r="A2273">
        <v>1409.2992019999999</v>
      </c>
      <c r="B2273" s="1">
        <f>DATE(2014,3,10) + TIME(7,10,51)</f>
        <v>41708.299201388887</v>
      </c>
      <c r="C2273">
        <v>80</v>
      </c>
      <c r="D2273">
        <v>71.318023682000003</v>
      </c>
      <c r="E2273">
        <v>40</v>
      </c>
      <c r="F2273">
        <v>39.989879608000003</v>
      </c>
      <c r="G2273">
        <v>1325.9504394999999</v>
      </c>
      <c r="H2273">
        <v>1323.4776611</v>
      </c>
      <c r="I2273">
        <v>1339.1982422000001</v>
      </c>
      <c r="J2273">
        <v>1336.4293213000001</v>
      </c>
      <c r="K2273">
        <v>0</v>
      </c>
      <c r="L2273">
        <v>2750</v>
      </c>
      <c r="M2273">
        <v>2750</v>
      </c>
      <c r="N2273">
        <v>0</v>
      </c>
    </row>
    <row r="2274" spans="1:14" x14ac:dyDescent="0.25">
      <c r="A2274">
        <v>1412.526079</v>
      </c>
      <c r="B2274" s="1">
        <f>DATE(2014,3,13) + TIME(12,37,33)</f>
        <v>41711.526076388887</v>
      </c>
      <c r="C2274">
        <v>80</v>
      </c>
      <c r="D2274">
        <v>71.070228576999995</v>
      </c>
      <c r="E2274">
        <v>40</v>
      </c>
      <c r="F2274">
        <v>39.989864349000001</v>
      </c>
      <c r="G2274">
        <v>1325.9055175999999</v>
      </c>
      <c r="H2274">
        <v>1323.4199219</v>
      </c>
      <c r="I2274">
        <v>1339.1966553</v>
      </c>
      <c r="J2274">
        <v>1336.4291992000001</v>
      </c>
      <c r="K2274">
        <v>0</v>
      </c>
      <c r="L2274">
        <v>2750</v>
      </c>
      <c r="M2274">
        <v>2750</v>
      </c>
      <c r="N2274">
        <v>0</v>
      </c>
    </row>
    <row r="2275" spans="1:14" x14ac:dyDescent="0.25">
      <c r="A2275">
        <v>1415.791109</v>
      </c>
      <c r="B2275" s="1">
        <f>DATE(2014,3,16) + TIME(18,59,11)</f>
        <v>41714.79109953704</v>
      </c>
      <c r="C2275">
        <v>80</v>
      </c>
      <c r="D2275">
        <v>70.818580627000003</v>
      </c>
      <c r="E2275">
        <v>40</v>
      </c>
      <c r="F2275">
        <v>39.989849091000004</v>
      </c>
      <c r="G2275">
        <v>1325.8608397999999</v>
      </c>
      <c r="H2275">
        <v>1323.3619385</v>
      </c>
      <c r="I2275">
        <v>1339.1950684000001</v>
      </c>
      <c r="J2275">
        <v>1336.4291992000001</v>
      </c>
      <c r="K2275">
        <v>0</v>
      </c>
      <c r="L2275">
        <v>2750</v>
      </c>
      <c r="M2275">
        <v>2750</v>
      </c>
      <c r="N2275">
        <v>0</v>
      </c>
    </row>
    <row r="2276" spans="1:14" x14ac:dyDescent="0.25">
      <c r="A2276">
        <v>1419.123713</v>
      </c>
      <c r="B2276" s="1">
        <f>DATE(2014,3,20) + TIME(2,58,8)</f>
        <v>41718.123703703706</v>
      </c>
      <c r="C2276">
        <v>80</v>
      </c>
      <c r="D2276">
        <v>70.562110900999997</v>
      </c>
      <c r="E2276">
        <v>40</v>
      </c>
      <c r="F2276">
        <v>39.989833832000002</v>
      </c>
      <c r="G2276">
        <v>1325.8164062000001</v>
      </c>
      <c r="H2276">
        <v>1323.3044434000001</v>
      </c>
      <c r="I2276">
        <v>1339.1933594</v>
      </c>
      <c r="J2276">
        <v>1336.4290771000001</v>
      </c>
      <c r="K2276">
        <v>0</v>
      </c>
      <c r="L2276">
        <v>2750</v>
      </c>
      <c r="M2276">
        <v>2750</v>
      </c>
      <c r="N2276">
        <v>0</v>
      </c>
    </row>
    <row r="2277" spans="1:14" x14ac:dyDescent="0.25">
      <c r="A2277">
        <v>1422.5561210000001</v>
      </c>
      <c r="B2277" s="1">
        <f>DATE(2014,3,23) + TIME(13,20,48)</f>
        <v>41721.556111111109</v>
      </c>
      <c r="C2277">
        <v>80</v>
      </c>
      <c r="D2277">
        <v>70.299880981000001</v>
      </c>
      <c r="E2277">
        <v>40</v>
      </c>
      <c r="F2277">
        <v>39.989818573000001</v>
      </c>
      <c r="G2277">
        <v>1325.7722168</v>
      </c>
      <c r="H2277">
        <v>1323.2471923999999</v>
      </c>
      <c r="I2277">
        <v>1339.1916504000001</v>
      </c>
      <c r="J2277">
        <v>1336.4289550999999</v>
      </c>
      <c r="K2277">
        <v>0</v>
      </c>
      <c r="L2277">
        <v>2750</v>
      </c>
      <c r="M2277">
        <v>2750</v>
      </c>
      <c r="N2277">
        <v>0</v>
      </c>
    </row>
    <row r="2278" spans="1:14" x14ac:dyDescent="0.25">
      <c r="A2278">
        <v>1426.092238</v>
      </c>
      <c r="B2278" s="1">
        <f>DATE(2014,3,27) + TIME(2,12,49)</f>
        <v>41725.092233796298</v>
      </c>
      <c r="C2278">
        <v>80</v>
      </c>
      <c r="D2278">
        <v>70.027633667000003</v>
      </c>
      <c r="E2278">
        <v>40</v>
      </c>
      <c r="F2278">
        <v>39.989803314</v>
      </c>
      <c r="G2278">
        <v>1325.7277832</v>
      </c>
      <c r="H2278">
        <v>1323.1898193</v>
      </c>
      <c r="I2278">
        <v>1339.1898193</v>
      </c>
      <c r="J2278">
        <v>1336.4287108999999</v>
      </c>
      <c r="K2278">
        <v>0</v>
      </c>
      <c r="L2278">
        <v>2750</v>
      </c>
      <c r="M2278">
        <v>2750</v>
      </c>
      <c r="N2278">
        <v>0</v>
      </c>
    </row>
    <row r="2279" spans="1:14" x14ac:dyDescent="0.25">
      <c r="A2279">
        <v>1429.6516549999999</v>
      </c>
      <c r="B2279" s="1">
        <f>DATE(2014,3,30) + TIME(15,38,23)</f>
        <v>41728.651655092595</v>
      </c>
      <c r="C2279">
        <v>80</v>
      </c>
      <c r="D2279">
        <v>69.748802185000002</v>
      </c>
      <c r="E2279">
        <v>40</v>
      </c>
      <c r="F2279">
        <v>39.989788054999998</v>
      </c>
      <c r="G2279">
        <v>1325.6829834</v>
      </c>
      <c r="H2279">
        <v>1323.1319579999999</v>
      </c>
      <c r="I2279">
        <v>1339.1879882999999</v>
      </c>
      <c r="J2279">
        <v>1336.4284668</v>
      </c>
      <c r="K2279">
        <v>0</v>
      </c>
      <c r="L2279">
        <v>2750</v>
      </c>
      <c r="M2279">
        <v>2750</v>
      </c>
      <c r="N2279">
        <v>0</v>
      </c>
    </row>
    <row r="2280" spans="1:14" x14ac:dyDescent="0.25">
      <c r="A2280">
        <v>1431</v>
      </c>
      <c r="B2280" s="1">
        <f>DATE(2014,4,1) + TIME(0,0,0)</f>
        <v>41730</v>
      </c>
      <c r="C2280">
        <v>80</v>
      </c>
      <c r="D2280">
        <v>69.508110045999999</v>
      </c>
      <c r="E2280">
        <v>40</v>
      </c>
      <c r="F2280">
        <v>39.989780426000003</v>
      </c>
      <c r="G2280">
        <v>1325.6387939000001</v>
      </c>
      <c r="H2280">
        <v>1323.0765381000001</v>
      </c>
      <c r="I2280">
        <v>1339.1860352000001</v>
      </c>
      <c r="J2280">
        <v>1336.4282227000001</v>
      </c>
      <c r="K2280">
        <v>0</v>
      </c>
      <c r="L2280">
        <v>2750</v>
      </c>
      <c r="M2280">
        <v>2750</v>
      </c>
      <c r="N2280">
        <v>0</v>
      </c>
    </row>
    <row r="2281" spans="1:14" x14ac:dyDescent="0.25">
      <c r="A2281">
        <v>1434.6149419999999</v>
      </c>
      <c r="B2281" s="1">
        <f>DATE(2014,4,4) + TIME(14,45,30)</f>
        <v>41733.614930555559</v>
      </c>
      <c r="C2281">
        <v>80</v>
      </c>
      <c r="D2281">
        <v>69.340431213000002</v>
      </c>
      <c r="E2281">
        <v>40</v>
      </c>
      <c r="F2281">
        <v>39.989768982000001</v>
      </c>
      <c r="G2281">
        <v>1325.6153564000001</v>
      </c>
      <c r="H2281">
        <v>1323.0404053</v>
      </c>
      <c r="I2281">
        <v>1339.1854248</v>
      </c>
      <c r="J2281">
        <v>1336.4281006000001</v>
      </c>
      <c r="K2281">
        <v>0</v>
      </c>
      <c r="L2281">
        <v>2750</v>
      </c>
      <c r="M2281">
        <v>2750</v>
      </c>
      <c r="N2281">
        <v>0</v>
      </c>
    </row>
    <row r="2282" spans="1:14" x14ac:dyDescent="0.25">
      <c r="A2282">
        <v>1438.368166</v>
      </c>
      <c r="B2282" s="1">
        <f>DATE(2014,4,8) + TIME(8,50,9)</f>
        <v>41737.368159722224</v>
      </c>
      <c r="C2282">
        <v>80</v>
      </c>
      <c r="D2282">
        <v>69.062431334999999</v>
      </c>
      <c r="E2282">
        <v>40</v>
      </c>
      <c r="F2282">
        <v>39.989753723</v>
      </c>
      <c r="G2282">
        <v>1325.5772704999999</v>
      </c>
      <c r="H2282">
        <v>1322.9945068</v>
      </c>
      <c r="I2282">
        <v>1339.1834716999999</v>
      </c>
      <c r="J2282">
        <v>1336.4277344</v>
      </c>
      <c r="K2282">
        <v>0</v>
      </c>
      <c r="L2282">
        <v>2750</v>
      </c>
      <c r="M2282">
        <v>2750</v>
      </c>
      <c r="N2282">
        <v>0</v>
      </c>
    </row>
    <row r="2283" spans="1:14" x14ac:dyDescent="0.25">
      <c r="A2283">
        <v>1442.240147</v>
      </c>
      <c r="B2283" s="1">
        <f>DATE(2014,4,12) + TIME(5,45,48)</f>
        <v>41741.24013888889</v>
      </c>
      <c r="C2283">
        <v>80</v>
      </c>
      <c r="D2283">
        <v>68.762123107999997</v>
      </c>
      <c r="E2283">
        <v>40</v>
      </c>
      <c r="F2283">
        <v>39.989738463999998</v>
      </c>
      <c r="G2283">
        <v>1325.5339355000001</v>
      </c>
      <c r="H2283">
        <v>1322.9389647999999</v>
      </c>
      <c r="I2283">
        <v>1339.1815185999999</v>
      </c>
      <c r="J2283">
        <v>1336.4272461</v>
      </c>
      <c r="K2283">
        <v>0</v>
      </c>
      <c r="L2283">
        <v>2750</v>
      </c>
      <c r="M2283">
        <v>2750</v>
      </c>
      <c r="N2283">
        <v>0</v>
      </c>
    </row>
    <row r="2284" spans="1:14" x14ac:dyDescent="0.25">
      <c r="A2284">
        <v>1446.146148</v>
      </c>
      <c r="B2284" s="1">
        <f>DATE(2014,4,16) + TIME(3,30,27)</f>
        <v>41745.146145833336</v>
      </c>
      <c r="C2284">
        <v>80</v>
      </c>
      <c r="D2284">
        <v>68.451095581000004</v>
      </c>
      <c r="E2284">
        <v>40</v>
      </c>
      <c r="F2284">
        <v>39.989727019999997</v>
      </c>
      <c r="G2284">
        <v>1325.4895019999999</v>
      </c>
      <c r="H2284">
        <v>1322.8818358999999</v>
      </c>
      <c r="I2284">
        <v>1339.1793213000001</v>
      </c>
      <c r="J2284">
        <v>1336.4268798999999</v>
      </c>
      <c r="K2284">
        <v>0</v>
      </c>
      <c r="L2284">
        <v>2750</v>
      </c>
      <c r="M2284">
        <v>2750</v>
      </c>
      <c r="N2284">
        <v>0</v>
      </c>
    </row>
    <row r="2285" spans="1:14" x14ac:dyDescent="0.25">
      <c r="A2285">
        <v>1450.1247089999999</v>
      </c>
      <c r="B2285" s="1">
        <f>DATE(2014,4,20) + TIME(2,59,34)</f>
        <v>41749.124699074076</v>
      </c>
      <c r="C2285">
        <v>80</v>
      </c>
      <c r="D2285">
        <v>68.135192871000001</v>
      </c>
      <c r="E2285">
        <v>40</v>
      </c>
      <c r="F2285">
        <v>39.989711761000002</v>
      </c>
      <c r="G2285">
        <v>1325.4454346</v>
      </c>
      <c r="H2285">
        <v>1322.824707</v>
      </c>
      <c r="I2285">
        <v>1339.1772461</v>
      </c>
      <c r="J2285">
        <v>1336.4262695</v>
      </c>
      <c r="K2285">
        <v>0</v>
      </c>
      <c r="L2285">
        <v>2750</v>
      </c>
      <c r="M2285">
        <v>2750</v>
      </c>
      <c r="N2285">
        <v>0</v>
      </c>
    </row>
    <row r="2286" spans="1:14" x14ac:dyDescent="0.25">
      <c r="A2286">
        <v>1454.218327</v>
      </c>
      <c r="B2286" s="1">
        <f>DATE(2014,4,24) + TIME(5,14,23)</f>
        <v>41753.218321759261</v>
      </c>
      <c r="C2286">
        <v>80</v>
      </c>
      <c r="D2286">
        <v>67.810981749999996</v>
      </c>
      <c r="E2286">
        <v>40</v>
      </c>
      <c r="F2286">
        <v>39.989696502999998</v>
      </c>
      <c r="G2286">
        <v>1325.4017334</v>
      </c>
      <c r="H2286">
        <v>1322.7679443</v>
      </c>
      <c r="I2286">
        <v>1339.1750488</v>
      </c>
      <c r="J2286">
        <v>1336.4256591999999</v>
      </c>
      <c r="K2286">
        <v>0</v>
      </c>
      <c r="L2286">
        <v>2750</v>
      </c>
      <c r="M2286">
        <v>2750</v>
      </c>
      <c r="N2286">
        <v>0</v>
      </c>
    </row>
    <row r="2287" spans="1:14" x14ac:dyDescent="0.25">
      <c r="A2287">
        <v>1458.4329760000001</v>
      </c>
      <c r="B2287" s="1">
        <f>DATE(2014,4,28) + TIME(10,23,29)</f>
        <v>41757.432974537034</v>
      </c>
      <c r="C2287">
        <v>80</v>
      </c>
      <c r="D2287">
        <v>67.482986449999999</v>
      </c>
      <c r="E2287">
        <v>40</v>
      </c>
      <c r="F2287">
        <v>39.989685059000003</v>
      </c>
      <c r="G2287">
        <v>1325.3577881000001</v>
      </c>
      <c r="H2287">
        <v>1322.7113036999999</v>
      </c>
      <c r="I2287">
        <v>1339.1727295000001</v>
      </c>
      <c r="J2287">
        <v>1336.4250488</v>
      </c>
      <c r="K2287">
        <v>0</v>
      </c>
      <c r="L2287">
        <v>2750</v>
      </c>
      <c r="M2287">
        <v>2750</v>
      </c>
      <c r="N2287">
        <v>0</v>
      </c>
    </row>
    <row r="2288" spans="1:14" x14ac:dyDescent="0.25">
      <c r="A2288">
        <v>1461</v>
      </c>
      <c r="B2288" s="1">
        <f>DATE(2014,5,1) + TIME(0,0,0)</f>
        <v>41760</v>
      </c>
      <c r="C2288">
        <v>80</v>
      </c>
      <c r="D2288">
        <v>67.145904540999993</v>
      </c>
      <c r="E2288">
        <v>40</v>
      </c>
      <c r="F2288">
        <v>39.989673615000001</v>
      </c>
      <c r="G2288">
        <v>1325.3138428</v>
      </c>
      <c r="H2288">
        <v>1322.6551514</v>
      </c>
      <c r="I2288">
        <v>1339.1704102000001</v>
      </c>
      <c r="J2288">
        <v>1336.4241943</v>
      </c>
      <c r="K2288">
        <v>0</v>
      </c>
      <c r="L2288">
        <v>2750</v>
      </c>
      <c r="M2288">
        <v>2750</v>
      </c>
      <c r="N2288">
        <v>0</v>
      </c>
    </row>
    <row r="2289" spans="1:14" x14ac:dyDescent="0.25">
      <c r="A2289">
        <v>1461.0000010000001</v>
      </c>
      <c r="B2289" s="1">
        <f>DATE(2014,5,1) + TIME(0,0,0)</f>
        <v>41760</v>
      </c>
      <c r="C2289">
        <v>80</v>
      </c>
      <c r="D2289">
        <v>67.146080017000003</v>
      </c>
      <c r="E2289">
        <v>40</v>
      </c>
      <c r="F2289">
        <v>39.989582061999997</v>
      </c>
      <c r="G2289">
        <v>1328.9658202999999</v>
      </c>
      <c r="H2289">
        <v>1326.3937988</v>
      </c>
      <c r="I2289">
        <v>1335.6452637</v>
      </c>
      <c r="J2289">
        <v>1333.1705322</v>
      </c>
      <c r="K2289">
        <v>2750</v>
      </c>
      <c r="L2289">
        <v>0</v>
      </c>
      <c r="M2289">
        <v>0</v>
      </c>
      <c r="N2289">
        <v>2750</v>
      </c>
    </row>
    <row r="2290" spans="1:14" x14ac:dyDescent="0.25">
      <c r="A2290">
        <v>1461.000004</v>
      </c>
      <c r="B2290" s="1">
        <f>DATE(2014,5,1) + TIME(0,0,0)</f>
        <v>41760</v>
      </c>
      <c r="C2290">
        <v>80</v>
      </c>
      <c r="D2290">
        <v>67.146354674999998</v>
      </c>
      <c r="E2290">
        <v>40</v>
      </c>
      <c r="F2290">
        <v>39.989425658999998</v>
      </c>
      <c r="G2290">
        <v>1330.3198242000001</v>
      </c>
      <c r="H2290">
        <v>1327.8730469</v>
      </c>
      <c r="I2290">
        <v>1334.3494873</v>
      </c>
      <c r="J2290">
        <v>1331.875</v>
      </c>
      <c r="K2290">
        <v>2750</v>
      </c>
      <c r="L2290">
        <v>0</v>
      </c>
      <c r="M2290">
        <v>0</v>
      </c>
      <c r="N2290">
        <v>2750</v>
      </c>
    </row>
    <row r="2291" spans="1:14" x14ac:dyDescent="0.25">
      <c r="A2291">
        <v>1461.0000130000001</v>
      </c>
      <c r="B2291" s="1">
        <f>DATE(2014,5,1) + TIME(0,0,1)</f>
        <v>41760.000011574077</v>
      </c>
      <c r="C2291">
        <v>80</v>
      </c>
      <c r="D2291">
        <v>67.146804810000006</v>
      </c>
      <c r="E2291">
        <v>40</v>
      </c>
      <c r="F2291">
        <v>39.989238739000001</v>
      </c>
      <c r="G2291">
        <v>1331.9344481999999</v>
      </c>
      <c r="H2291">
        <v>1329.4537353999999</v>
      </c>
      <c r="I2291">
        <v>1332.8028564000001</v>
      </c>
      <c r="J2291">
        <v>1330.3286132999999</v>
      </c>
      <c r="K2291">
        <v>2750</v>
      </c>
      <c r="L2291">
        <v>0</v>
      </c>
      <c r="M2291">
        <v>0</v>
      </c>
      <c r="N2291">
        <v>2750</v>
      </c>
    </row>
    <row r="2292" spans="1:14" x14ac:dyDescent="0.25">
      <c r="A2292">
        <v>1461.0000399999999</v>
      </c>
      <c r="B2292" s="1">
        <f>DATE(2014,5,1) + TIME(0,0,3)</f>
        <v>41760.000034722223</v>
      </c>
      <c r="C2292">
        <v>80</v>
      </c>
      <c r="D2292">
        <v>67.147735596000004</v>
      </c>
      <c r="E2292">
        <v>40</v>
      </c>
      <c r="F2292">
        <v>39.989051818999997</v>
      </c>
      <c r="G2292">
        <v>1333.5632324000001</v>
      </c>
      <c r="H2292">
        <v>1331.0117187999999</v>
      </c>
      <c r="I2292">
        <v>1331.2611084</v>
      </c>
      <c r="J2292">
        <v>1328.7874756000001</v>
      </c>
      <c r="K2292">
        <v>2750</v>
      </c>
      <c r="L2292">
        <v>0</v>
      </c>
      <c r="M2292">
        <v>0</v>
      </c>
      <c r="N2292">
        <v>2750</v>
      </c>
    </row>
    <row r="2293" spans="1:14" x14ac:dyDescent="0.25">
      <c r="A2293">
        <v>1461.000121</v>
      </c>
      <c r="B2293" s="1">
        <f>DATE(2014,5,1) + TIME(0,0,10)</f>
        <v>41760.000115740739</v>
      </c>
      <c r="C2293">
        <v>80</v>
      </c>
      <c r="D2293">
        <v>67.150177002000007</v>
      </c>
      <c r="E2293">
        <v>40</v>
      </c>
      <c r="F2293">
        <v>39.988868713000002</v>
      </c>
      <c r="G2293">
        <v>1335.1583252</v>
      </c>
      <c r="H2293">
        <v>1332.5402832</v>
      </c>
      <c r="I2293">
        <v>1329.7524414</v>
      </c>
      <c r="J2293">
        <v>1327.2779541</v>
      </c>
      <c r="K2293">
        <v>2750</v>
      </c>
      <c r="L2293">
        <v>0</v>
      </c>
      <c r="M2293">
        <v>0</v>
      </c>
      <c r="N2293">
        <v>2750</v>
      </c>
    </row>
    <row r="2294" spans="1:14" x14ac:dyDescent="0.25">
      <c r="A2294">
        <v>1461.000364</v>
      </c>
      <c r="B2294" s="1">
        <f>DATE(2014,5,1) + TIME(0,0,31)</f>
        <v>41760.000358796293</v>
      </c>
      <c r="C2294">
        <v>80</v>
      </c>
      <c r="D2294">
        <v>67.157226562000005</v>
      </c>
      <c r="E2294">
        <v>40</v>
      </c>
      <c r="F2294">
        <v>39.988674164000003</v>
      </c>
      <c r="G2294">
        <v>1336.7285156</v>
      </c>
      <c r="H2294">
        <v>1334.0439452999999</v>
      </c>
      <c r="I2294">
        <v>1328.2535399999999</v>
      </c>
      <c r="J2294">
        <v>1325.7683105000001</v>
      </c>
      <c r="K2294">
        <v>2750</v>
      </c>
      <c r="L2294">
        <v>0</v>
      </c>
      <c r="M2294">
        <v>0</v>
      </c>
      <c r="N2294">
        <v>2750</v>
      </c>
    </row>
    <row r="2295" spans="1:14" x14ac:dyDescent="0.25">
      <c r="A2295">
        <v>1461.0010930000001</v>
      </c>
      <c r="B2295" s="1">
        <f>DATE(2014,5,1) + TIME(0,1,34)</f>
        <v>41760.001087962963</v>
      </c>
      <c r="C2295">
        <v>80</v>
      </c>
      <c r="D2295">
        <v>67.178413391000007</v>
      </c>
      <c r="E2295">
        <v>40</v>
      </c>
      <c r="F2295">
        <v>39.988464354999998</v>
      </c>
      <c r="G2295">
        <v>1338.1662598</v>
      </c>
      <c r="H2295">
        <v>1335.4201660000001</v>
      </c>
      <c r="I2295">
        <v>1326.8259277</v>
      </c>
      <c r="J2295">
        <v>1324.3156738</v>
      </c>
      <c r="K2295">
        <v>2750</v>
      </c>
      <c r="L2295">
        <v>0</v>
      </c>
      <c r="M2295">
        <v>0</v>
      </c>
      <c r="N2295">
        <v>2750</v>
      </c>
    </row>
    <row r="2296" spans="1:14" x14ac:dyDescent="0.25">
      <c r="A2296">
        <v>1461.0032799999999</v>
      </c>
      <c r="B2296" s="1">
        <f>DATE(2014,5,1) + TIME(0,4,43)</f>
        <v>41760.003275462965</v>
      </c>
      <c r="C2296">
        <v>80</v>
      </c>
      <c r="D2296">
        <v>67.242118834999999</v>
      </c>
      <c r="E2296">
        <v>40</v>
      </c>
      <c r="F2296">
        <v>39.988208770999996</v>
      </c>
      <c r="G2296">
        <v>1339.2160644999999</v>
      </c>
      <c r="H2296">
        <v>1336.4331055</v>
      </c>
      <c r="I2296">
        <v>1325.6977539</v>
      </c>
      <c r="J2296">
        <v>1323.1663818</v>
      </c>
      <c r="K2296">
        <v>2750</v>
      </c>
      <c r="L2296">
        <v>0</v>
      </c>
      <c r="M2296">
        <v>0</v>
      </c>
      <c r="N2296">
        <v>2750</v>
      </c>
    </row>
    <row r="2297" spans="1:14" x14ac:dyDescent="0.25">
      <c r="A2297">
        <v>1461.0098410000001</v>
      </c>
      <c r="B2297" s="1">
        <f>DATE(2014,5,1) + TIME(0,14,10)</f>
        <v>41760.009837962964</v>
      </c>
      <c r="C2297">
        <v>80</v>
      </c>
      <c r="D2297">
        <v>67.430824279999996</v>
      </c>
      <c r="E2297">
        <v>40</v>
      </c>
      <c r="F2297">
        <v>39.987781525000003</v>
      </c>
      <c r="G2297">
        <v>1339.7296143000001</v>
      </c>
      <c r="H2297">
        <v>1336.9422606999999</v>
      </c>
      <c r="I2297">
        <v>1325.0957031</v>
      </c>
      <c r="J2297">
        <v>1322.5560303</v>
      </c>
      <c r="K2297">
        <v>2750</v>
      </c>
      <c r="L2297">
        <v>0</v>
      </c>
      <c r="M2297">
        <v>0</v>
      </c>
      <c r="N2297">
        <v>2750</v>
      </c>
    </row>
    <row r="2298" spans="1:14" x14ac:dyDescent="0.25">
      <c r="A2298">
        <v>1461.027415</v>
      </c>
      <c r="B2298" s="1">
        <f>DATE(2014,5,1) + TIME(0,39,28)</f>
        <v>41760.027407407404</v>
      </c>
      <c r="C2298">
        <v>80</v>
      </c>
      <c r="D2298">
        <v>67.915840149000005</v>
      </c>
      <c r="E2298">
        <v>40</v>
      </c>
      <c r="F2298">
        <v>39.986820221000002</v>
      </c>
      <c r="G2298">
        <v>1339.831543</v>
      </c>
      <c r="H2298">
        <v>1337.0665283000001</v>
      </c>
      <c r="I2298">
        <v>1324.9381103999999</v>
      </c>
      <c r="J2298">
        <v>1322.3967285000001</v>
      </c>
      <c r="K2298">
        <v>2750</v>
      </c>
      <c r="L2298">
        <v>0</v>
      </c>
      <c r="M2298">
        <v>0</v>
      </c>
      <c r="N2298">
        <v>2750</v>
      </c>
    </row>
    <row r="2299" spans="1:14" x14ac:dyDescent="0.25">
      <c r="A2299">
        <v>1461.0453319999999</v>
      </c>
      <c r="B2299" s="1">
        <f>DATE(2014,5,1) + TIME(1,5,16)</f>
        <v>41760.045324074075</v>
      </c>
      <c r="C2299">
        <v>80</v>
      </c>
      <c r="D2299">
        <v>68.392341614000003</v>
      </c>
      <c r="E2299">
        <v>40</v>
      </c>
      <c r="F2299">
        <v>39.985866547000001</v>
      </c>
      <c r="G2299">
        <v>1339.8439940999999</v>
      </c>
      <c r="H2299">
        <v>1337.0881348</v>
      </c>
      <c r="I2299">
        <v>1324.9219971</v>
      </c>
      <c r="J2299">
        <v>1322.3803711</v>
      </c>
      <c r="K2299">
        <v>2750</v>
      </c>
      <c r="L2299">
        <v>0</v>
      </c>
      <c r="M2299">
        <v>0</v>
      </c>
      <c r="N2299">
        <v>2750</v>
      </c>
    </row>
    <row r="2300" spans="1:14" x14ac:dyDescent="0.25">
      <c r="A2300">
        <v>1461.0636219999999</v>
      </c>
      <c r="B2300" s="1">
        <f>DATE(2014,5,1) + TIME(1,31,36)</f>
        <v>41760.063611111109</v>
      </c>
      <c r="C2300">
        <v>80</v>
      </c>
      <c r="D2300">
        <v>68.860733031999999</v>
      </c>
      <c r="E2300">
        <v>40</v>
      </c>
      <c r="F2300">
        <v>39.984901428000001</v>
      </c>
      <c r="G2300">
        <v>1339.84375</v>
      </c>
      <c r="H2300">
        <v>1337.0960693</v>
      </c>
      <c r="I2300">
        <v>1324.9206543</v>
      </c>
      <c r="J2300">
        <v>1322.3790283000001</v>
      </c>
      <c r="K2300">
        <v>2750</v>
      </c>
      <c r="L2300">
        <v>0</v>
      </c>
      <c r="M2300">
        <v>0</v>
      </c>
      <c r="N2300">
        <v>2750</v>
      </c>
    </row>
    <row r="2301" spans="1:14" x14ac:dyDescent="0.25">
      <c r="A2301">
        <v>1461.0823029999999</v>
      </c>
      <c r="B2301" s="1">
        <f>DATE(2014,5,1) + TIME(1,58,30)</f>
        <v>41760.082291666666</v>
      </c>
      <c r="C2301">
        <v>80</v>
      </c>
      <c r="D2301">
        <v>69.321022033999995</v>
      </c>
      <c r="E2301">
        <v>40</v>
      </c>
      <c r="F2301">
        <v>39.983924866000002</v>
      </c>
      <c r="G2301">
        <v>1339.8436279</v>
      </c>
      <c r="H2301">
        <v>1337.1031493999999</v>
      </c>
      <c r="I2301">
        <v>1324.9206543</v>
      </c>
      <c r="J2301">
        <v>1322.3789062000001</v>
      </c>
      <c r="K2301">
        <v>2750</v>
      </c>
      <c r="L2301">
        <v>0</v>
      </c>
      <c r="M2301">
        <v>0</v>
      </c>
      <c r="N2301">
        <v>2750</v>
      </c>
    </row>
    <row r="2302" spans="1:14" x14ac:dyDescent="0.25">
      <c r="A2302">
        <v>1461.1013949999999</v>
      </c>
      <c r="B2302" s="1">
        <f>DATE(2014,5,1) + TIME(2,26,0)</f>
        <v>41760.101388888892</v>
      </c>
      <c r="C2302">
        <v>80</v>
      </c>
      <c r="D2302">
        <v>69.773231506000002</v>
      </c>
      <c r="E2302">
        <v>40</v>
      </c>
      <c r="F2302">
        <v>39.982933043999999</v>
      </c>
      <c r="G2302">
        <v>1339.8455810999999</v>
      </c>
      <c r="H2302">
        <v>1337.1112060999999</v>
      </c>
      <c r="I2302">
        <v>1324.9207764</v>
      </c>
      <c r="J2302">
        <v>1322.3790283000001</v>
      </c>
      <c r="K2302">
        <v>2750</v>
      </c>
      <c r="L2302">
        <v>0</v>
      </c>
      <c r="M2302">
        <v>0</v>
      </c>
      <c r="N2302">
        <v>2750</v>
      </c>
    </row>
    <row r="2303" spans="1:14" x14ac:dyDescent="0.25">
      <c r="A2303">
        <v>1461.1209160000001</v>
      </c>
      <c r="B2303" s="1">
        <f>DATE(2014,5,1) + TIME(2,54,7)</f>
        <v>41760.12091435185</v>
      </c>
      <c r="C2303">
        <v>80</v>
      </c>
      <c r="D2303">
        <v>70.217185974000003</v>
      </c>
      <c r="E2303">
        <v>40</v>
      </c>
      <c r="F2303">
        <v>39.981929778999998</v>
      </c>
      <c r="G2303">
        <v>1339.8496094</v>
      </c>
      <c r="H2303">
        <v>1337.1203613</v>
      </c>
      <c r="I2303">
        <v>1324.9208983999999</v>
      </c>
      <c r="J2303">
        <v>1322.3791504000001</v>
      </c>
      <c r="K2303">
        <v>2750</v>
      </c>
      <c r="L2303">
        <v>0</v>
      </c>
      <c r="M2303">
        <v>0</v>
      </c>
      <c r="N2303">
        <v>2750</v>
      </c>
    </row>
    <row r="2304" spans="1:14" x14ac:dyDescent="0.25">
      <c r="A2304">
        <v>1461.140887</v>
      </c>
      <c r="B2304" s="1">
        <f>DATE(2014,5,1) + TIME(3,22,52)</f>
        <v>41760.140879629631</v>
      </c>
      <c r="C2304">
        <v>80</v>
      </c>
      <c r="D2304">
        <v>70.652778624999996</v>
      </c>
      <c r="E2304">
        <v>40</v>
      </c>
      <c r="F2304">
        <v>39.980911255000002</v>
      </c>
      <c r="G2304">
        <v>1339.8555908000001</v>
      </c>
      <c r="H2304">
        <v>1337.1307373</v>
      </c>
      <c r="I2304">
        <v>1324.9210204999999</v>
      </c>
      <c r="J2304">
        <v>1322.3791504000001</v>
      </c>
      <c r="K2304">
        <v>2750</v>
      </c>
      <c r="L2304">
        <v>0</v>
      </c>
      <c r="M2304">
        <v>0</v>
      </c>
      <c r="N2304">
        <v>2750</v>
      </c>
    </row>
    <row r="2305" spans="1:14" x14ac:dyDescent="0.25">
      <c r="A2305">
        <v>1461.161329</v>
      </c>
      <c r="B2305" s="1">
        <f>DATE(2014,5,1) + TIME(3,52,18)</f>
        <v>41760.161319444444</v>
      </c>
      <c r="C2305">
        <v>80</v>
      </c>
      <c r="D2305">
        <v>71.080146790000001</v>
      </c>
      <c r="E2305">
        <v>40</v>
      </c>
      <c r="F2305">
        <v>39.979873656999999</v>
      </c>
      <c r="G2305">
        <v>1339.8636475000001</v>
      </c>
      <c r="H2305">
        <v>1337.1420897999999</v>
      </c>
      <c r="I2305">
        <v>1324.9211425999999</v>
      </c>
      <c r="J2305">
        <v>1322.3791504000001</v>
      </c>
      <c r="K2305">
        <v>2750</v>
      </c>
      <c r="L2305">
        <v>0</v>
      </c>
      <c r="M2305">
        <v>0</v>
      </c>
      <c r="N2305">
        <v>2750</v>
      </c>
    </row>
    <row r="2306" spans="1:14" x14ac:dyDescent="0.25">
      <c r="A2306">
        <v>1461.18227</v>
      </c>
      <c r="B2306" s="1">
        <f>DATE(2014,5,1) + TIME(4,22,28)</f>
        <v>41760.182268518518</v>
      </c>
      <c r="C2306">
        <v>80</v>
      </c>
      <c r="D2306">
        <v>71.499244689999998</v>
      </c>
      <c r="E2306">
        <v>40</v>
      </c>
      <c r="F2306">
        <v>39.978820800999998</v>
      </c>
      <c r="G2306">
        <v>1339.8736572</v>
      </c>
      <c r="H2306">
        <v>1337.1545410000001</v>
      </c>
      <c r="I2306">
        <v>1324.9211425999999</v>
      </c>
      <c r="J2306">
        <v>1322.3791504000001</v>
      </c>
      <c r="K2306">
        <v>2750</v>
      </c>
      <c r="L2306">
        <v>0</v>
      </c>
      <c r="M2306">
        <v>0</v>
      </c>
      <c r="N2306">
        <v>2750</v>
      </c>
    </row>
    <row r="2307" spans="1:14" x14ac:dyDescent="0.25">
      <c r="A2307">
        <v>1461.20372</v>
      </c>
      <c r="B2307" s="1">
        <f>DATE(2014,5,1) + TIME(4,53,21)</f>
        <v>41760.203715277778</v>
      </c>
      <c r="C2307">
        <v>80</v>
      </c>
      <c r="D2307">
        <v>71.909721375000004</v>
      </c>
      <c r="E2307">
        <v>40</v>
      </c>
      <c r="F2307">
        <v>39.977752686000002</v>
      </c>
      <c r="G2307">
        <v>1339.8854980000001</v>
      </c>
      <c r="H2307">
        <v>1337.1679687999999</v>
      </c>
      <c r="I2307">
        <v>1324.9212646000001</v>
      </c>
      <c r="J2307">
        <v>1322.3791504000001</v>
      </c>
      <c r="K2307">
        <v>2750</v>
      </c>
      <c r="L2307">
        <v>0</v>
      </c>
      <c r="M2307">
        <v>0</v>
      </c>
      <c r="N2307">
        <v>2750</v>
      </c>
    </row>
    <row r="2308" spans="1:14" x14ac:dyDescent="0.25">
      <c r="A2308">
        <v>1461.225682</v>
      </c>
      <c r="B2308" s="1">
        <f>DATE(2014,5,1) + TIME(5,24,58)</f>
        <v>41760.225671296299</v>
      </c>
      <c r="C2308">
        <v>80</v>
      </c>
      <c r="D2308">
        <v>72.311088561999995</v>
      </c>
      <c r="E2308">
        <v>40</v>
      </c>
      <c r="F2308">
        <v>39.976669311999999</v>
      </c>
      <c r="G2308">
        <v>1339.8991699000001</v>
      </c>
      <c r="H2308">
        <v>1337.1823730000001</v>
      </c>
      <c r="I2308">
        <v>1324.9212646000001</v>
      </c>
      <c r="J2308">
        <v>1322.3791504000001</v>
      </c>
      <c r="K2308">
        <v>2750</v>
      </c>
      <c r="L2308">
        <v>0</v>
      </c>
      <c r="M2308">
        <v>0</v>
      </c>
      <c r="N2308">
        <v>2750</v>
      </c>
    </row>
    <row r="2309" spans="1:14" x14ac:dyDescent="0.25">
      <c r="A2309">
        <v>1461.248184</v>
      </c>
      <c r="B2309" s="1">
        <f>DATE(2014,5,1) + TIME(5,57,23)</f>
        <v>41760.248182870368</v>
      </c>
      <c r="C2309">
        <v>80</v>
      </c>
      <c r="D2309">
        <v>72.703277588000006</v>
      </c>
      <c r="E2309">
        <v>40</v>
      </c>
      <c r="F2309">
        <v>39.975566864000001</v>
      </c>
      <c r="G2309">
        <v>1339.9145507999999</v>
      </c>
      <c r="H2309">
        <v>1337.1976318</v>
      </c>
      <c r="I2309">
        <v>1324.9212646000001</v>
      </c>
      <c r="J2309">
        <v>1322.3790283000001</v>
      </c>
      <c r="K2309">
        <v>2750</v>
      </c>
      <c r="L2309">
        <v>0</v>
      </c>
      <c r="M2309">
        <v>0</v>
      </c>
      <c r="N2309">
        <v>2750</v>
      </c>
    </row>
    <row r="2310" spans="1:14" x14ac:dyDescent="0.25">
      <c r="A2310">
        <v>1461.2712529999999</v>
      </c>
      <c r="B2310" s="1">
        <f>DATE(2014,5,1) + TIME(6,30,36)</f>
        <v>41760.271249999998</v>
      </c>
      <c r="C2310">
        <v>80</v>
      </c>
      <c r="D2310">
        <v>73.086189270000006</v>
      </c>
      <c r="E2310">
        <v>40</v>
      </c>
      <c r="F2310">
        <v>39.974445342999999</v>
      </c>
      <c r="G2310">
        <v>1339.9313964999999</v>
      </c>
      <c r="H2310">
        <v>1337.2138672000001</v>
      </c>
      <c r="I2310">
        <v>1324.9212646000001</v>
      </c>
      <c r="J2310">
        <v>1322.3790283000001</v>
      </c>
      <c r="K2310">
        <v>2750</v>
      </c>
      <c r="L2310">
        <v>0</v>
      </c>
      <c r="M2310">
        <v>0</v>
      </c>
      <c r="N2310">
        <v>2750</v>
      </c>
    </row>
    <row r="2311" spans="1:14" x14ac:dyDescent="0.25">
      <c r="A2311">
        <v>1461.2949160000001</v>
      </c>
      <c r="B2311" s="1">
        <f>DATE(2014,5,1) + TIME(7,4,40)</f>
        <v>41760.294907407406</v>
      </c>
      <c r="C2311">
        <v>80</v>
      </c>
      <c r="D2311">
        <v>73.459663391000007</v>
      </c>
      <c r="E2311">
        <v>40</v>
      </c>
      <c r="F2311">
        <v>39.973304749</v>
      </c>
      <c r="G2311">
        <v>1339.9498291</v>
      </c>
      <c r="H2311">
        <v>1337.2308350000001</v>
      </c>
      <c r="I2311">
        <v>1324.9212646000001</v>
      </c>
      <c r="J2311">
        <v>1322.3789062000001</v>
      </c>
      <c r="K2311">
        <v>2750</v>
      </c>
      <c r="L2311">
        <v>0</v>
      </c>
      <c r="M2311">
        <v>0</v>
      </c>
      <c r="N2311">
        <v>2750</v>
      </c>
    </row>
    <row r="2312" spans="1:14" x14ac:dyDescent="0.25">
      <c r="A2312">
        <v>1461.319207</v>
      </c>
      <c r="B2312" s="1">
        <f>DATE(2014,5,1) + TIME(7,39,39)</f>
        <v>41760.319201388891</v>
      </c>
      <c r="C2312">
        <v>80</v>
      </c>
      <c r="D2312">
        <v>73.823638915999993</v>
      </c>
      <c r="E2312">
        <v>40</v>
      </c>
      <c r="F2312">
        <v>39.972145081000001</v>
      </c>
      <c r="G2312">
        <v>1339.9697266000001</v>
      </c>
      <c r="H2312">
        <v>1337.2485352000001</v>
      </c>
      <c r="I2312">
        <v>1324.9212646000001</v>
      </c>
      <c r="J2312">
        <v>1322.3789062000001</v>
      </c>
      <c r="K2312">
        <v>2750</v>
      </c>
      <c r="L2312">
        <v>0</v>
      </c>
      <c r="M2312">
        <v>0</v>
      </c>
      <c r="N2312">
        <v>2750</v>
      </c>
    </row>
    <row r="2313" spans="1:14" x14ac:dyDescent="0.25">
      <c r="A2313">
        <v>1461.3441640000001</v>
      </c>
      <c r="B2313" s="1">
        <f>DATE(2014,5,1) + TIME(8,15,35)</f>
        <v>41760.344155092593</v>
      </c>
      <c r="C2313">
        <v>80</v>
      </c>
      <c r="D2313">
        <v>74.177993774000001</v>
      </c>
      <c r="E2313">
        <v>40</v>
      </c>
      <c r="F2313">
        <v>39.970966339</v>
      </c>
      <c r="G2313">
        <v>1339.9908447</v>
      </c>
      <c r="H2313">
        <v>1337.2669678</v>
      </c>
      <c r="I2313">
        <v>1324.9212646000001</v>
      </c>
      <c r="J2313">
        <v>1322.3787841999999</v>
      </c>
      <c r="K2313">
        <v>2750</v>
      </c>
      <c r="L2313">
        <v>0</v>
      </c>
      <c r="M2313">
        <v>0</v>
      </c>
      <c r="N2313">
        <v>2750</v>
      </c>
    </row>
    <row r="2314" spans="1:14" x14ac:dyDescent="0.25">
      <c r="A2314">
        <v>1461.3698220000001</v>
      </c>
      <c r="B2314" s="1">
        <f>DATE(2014,5,1) + TIME(8,52,32)</f>
        <v>41760.369814814818</v>
      </c>
      <c r="C2314">
        <v>80</v>
      </c>
      <c r="D2314">
        <v>74.522598267000006</v>
      </c>
      <c r="E2314">
        <v>40</v>
      </c>
      <c r="F2314">
        <v>39.969760895</v>
      </c>
      <c r="G2314">
        <v>1340.0133057</v>
      </c>
      <c r="H2314">
        <v>1337.2861327999999</v>
      </c>
      <c r="I2314">
        <v>1324.9212646000001</v>
      </c>
      <c r="J2314">
        <v>1322.3786620999999</v>
      </c>
      <c r="K2314">
        <v>2750</v>
      </c>
      <c r="L2314">
        <v>0</v>
      </c>
      <c r="M2314">
        <v>0</v>
      </c>
      <c r="N2314">
        <v>2750</v>
      </c>
    </row>
    <row r="2315" spans="1:14" x14ac:dyDescent="0.25">
      <c r="A2315">
        <v>1461.396223</v>
      </c>
      <c r="B2315" s="1">
        <f>DATE(2014,5,1) + TIME(9,30,33)</f>
        <v>41760.396215277775</v>
      </c>
      <c r="C2315">
        <v>80</v>
      </c>
      <c r="D2315">
        <v>74.857307434000006</v>
      </c>
      <c r="E2315">
        <v>40</v>
      </c>
      <c r="F2315">
        <v>39.968532562</v>
      </c>
      <c r="G2315">
        <v>1340.0369873</v>
      </c>
      <c r="H2315">
        <v>1337.3059082</v>
      </c>
      <c r="I2315">
        <v>1324.9212646000001</v>
      </c>
      <c r="J2315">
        <v>1322.3785399999999</v>
      </c>
      <c r="K2315">
        <v>2750</v>
      </c>
      <c r="L2315">
        <v>0</v>
      </c>
      <c r="M2315">
        <v>0</v>
      </c>
      <c r="N2315">
        <v>2750</v>
      </c>
    </row>
    <row r="2316" spans="1:14" x14ac:dyDescent="0.25">
      <c r="A2316">
        <v>1461.4234100000001</v>
      </c>
      <c r="B2316" s="1">
        <f>DATE(2014,5,1) + TIME(10,9,42)</f>
        <v>41760.423402777778</v>
      </c>
      <c r="C2316">
        <v>80</v>
      </c>
      <c r="D2316">
        <v>75.181838988999999</v>
      </c>
      <c r="E2316">
        <v>40</v>
      </c>
      <c r="F2316">
        <v>39.967281342</v>
      </c>
      <c r="G2316">
        <v>1340.0616454999999</v>
      </c>
      <c r="H2316">
        <v>1337.3261719</v>
      </c>
      <c r="I2316">
        <v>1324.9211425999999</v>
      </c>
      <c r="J2316">
        <v>1322.378418</v>
      </c>
      <c r="K2316">
        <v>2750</v>
      </c>
      <c r="L2316">
        <v>0</v>
      </c>
      <c r="M2316">
        <v>0</v>
      </c>
      <c r="N2316">
        <v>2750</v>
      </c>
    </row>
    <row r="2317" spans="1:14" x14ac:dyDescent="0.25">
      <c r="A2317">
        <v>1461.451429</v>
      </c>
      <c r="B2317" s="1">
        <f>DATE(2014,5,1) + TIME(10,50,3)</f>
        <v>41760.451423611114</v>
      </c>
      <c r="C2317">
        <v>80</v>
      </c>
      <c r="D2317">
        <v>75.496070861999996</v>
      </c>
      <c r="E2317">
        <v>40</v>
      </c>
      <c r="F2317">
        <v>39.965999603</v>
      </c>
      <c r="G2317">
        <v>1340.0874022999999</v>
      </c>
      <c r="H2317">
        <v>1337.3470459</v>
      </c>
      <c r="I2317">
        <v>1324.9211425999999</v>
      </c>
      <c r="J2317">
        <v>1322.3782959</v>
      </c>
      <c r="K2317">
        <v>2750</v>
      </c>
      <c r="L2317">
        <v>0</v>
      </c>
      <c r="M2317">
        <v>0</v>
      </c>
      <c r="N2317">
        <v>2750</v>
      </c>
    </row>
    <row r="2318" spans="1:14" x14ac:dyDescent="0.25">
      <c r="A2318">
        <v>1461.4803300000001</v>
      </c>
      <c r="B2318" s="1">
        <f>DATE(2014,5,1) + TIME(11,31,40)</f>
        <v>41760.480324074073</v>
      </c>
      <c r="C2318">
        <v>80</v>
      </c>
      <c r="D2318">
        <v>75.799942017000006</v>
      </c>
      <c r="E2318">
        <v>40</v>
      </c>
      <c r="F2318">
        <v>39.964691162000001</v>
      </c>
      <c r="G2318">
        <v>1340.1141356999999</v>
      </c>
      <c r="H2318">
        <v>1337.3684082</v>
      </c>
      <c r="I2318">
        <v>1324.9211425999999</v>
      </c>
      <c r="J2318">
        <v>1322.3781738</v>
      </c>
      <c r="K2318">
        <v>2750</v>
      </c>
      <c r="L2318">
        <v>0</v>
      </c>
      <c r="M2318">
        <v>0</v>
      </c>
      <c r="N2318">
        <v>2750</v>
      </c>
    </row>
    <row r="2319" spans="1:14" x14ac:dyDescent="0.25">
      <c r="A2319">
        <v>1461.5101689999999</v>
      </c>
      <c r="B2319" s="1">
        <f>DATE(2014,5,1) + TIME(12,14,38)</f>
        <v>41760.510162037041</v>
      </c>
      <c r="C2319">
        <v>80</v>
      </c>
      <c r="D2319">
        <v>76.093299865999995</v>
      </c>
      <c r="E2319">
        <v>40</v>
      </c>
      <c r="F2319">
        <v>39.963352202999999</v>
      </c>
      <c r="G2319">
        <v>1340.1418457</v>
      </c>
      <c r="H2319">
        <v>1337.3901367000001</v>
      </c>
      <c r="I2319">
        <v>1324.9210204999999</v>
      </c>
      <c r="J2319">
        <v>1322.3780518000001</v>
      </c>
      <c r="K2319">
        <v>2750</v>
      </c>
      <c r="L2319">
        <v>0</v>
      </c>
      <c r="M2319">
        <v>0</v>
      </c>
      <c r="N2319">
        <v>2750</v>
      </c>
    </row>
    <row r="2320" spans="1:14" x14ac:dyDescent="0.25">
      <c r="A2320">
        <v>1461.5410059999999</v>
      </c>
      <c r="B2320" s="1">
        <f>DATE(2014,5,1) + TIME(12,59,2)</f>
        <v>41760.540995370371</v>
      </c>
      <c r="C2320">
        <v>80</v>
      </c>
      <c r="D2320">
        <v>76.375999450999998</v>
      </c>
      <c r="E2320">
        <v>40</v>
      </c>
      <c r="F2320">
        <v>39.961982726999999</v>
      </c>
      <c r="G2320">
        <v>1340.1701660000001</v>
      </c>
      <c r="H2320">
        <v>1337.4122314000001</v>
      </c>
      <c r="I2320">
        <v>1324.9208983999999</v>
      </c>
      <c r="J2320">
        <v>1322.3778076000001</v>
      </c>
      <c r="K2320">
        <v>2750</v>
      </c>
      <c r="L2320">
        <v>0</v>
      </c>
      <c r="M2320">
        <v>0</v>
      </c>
      <c r="N2320">
        <v>2750</v>
      </c>
    </row>
    <row r="2321" spans="1:14" x14ac:dyDescent="0.25">
      <c r="A2321">
        <v>1461.5729120000001</v>
      </c>
      <c r="B2321" s="1">
        <f>DATE(2014,5,1) + TIME(13,44,59)</f>
        <v>41760.572905092595</v>
      </c>
      <c r="C2321">
        <v>80</v>
      </c>
      <c r="D2321">
        <v>76.647949218999997</v>
      </c>
      <c r="E2321">
        <v>40</v>
      </c>
      <c r="F2321">
        <v>39.960578918000003</v>
      </c>
      <c r="G2321">
        <v>1340.1993408000001</v>
      </c>
      <c r="H2321">
        <v>1337.4346923999999</v>
      </c>
      <c r="I2321">
        <v>1324.9208983999999</v>
      </c>
      <c r="J2321">
        <v>1322.3776855000001</v>
      </c>
      <c r="K2321">
        <v>2750</v>
      </c>
      <c r="L2321">
        <v>0</v>
      </c>
      <c r="M2321">
        <v>0</v>
      </c>
      <c r="N2321">
        <v>2750</v>
      </c>
    </row>
    <row r="2322" spans="1:14" x14ac:dyDescent="0.25">
      <c r="A2322">
        <v>1461.6059600000001</v>
      </c>
      <c r="B2322" s="1">
        <f>DATE(2014,5,1) + TIME(14,32,34)</f>
        <v>41760.605949074074</v>
      </c>
      <c r="C2322">
        <v>80</v>
      </c>
      <c r="D2322">
        <v>76.909011840999995</v>
      </c>
      <c r="E2322">
        <v>40</v>
      </c>
      <c r="F2322">
        <v>39.959140777999998</v>
      </c>
      <c r="G2322">
        <v>1340.2290039</v>
      </c>
      <c r="H2322">
        <v>1337.4575195</v>
      </c>
      <c r="I2322">
        <v>1324.9207764</v>
      </c>
      <c r="J2322">
        <v>1322.3774414</v>
      </c>
      <c r="K2322">
        <v>2750</v>
      </c>
      <c r="L2322">
        <v>0</v>
      </c>
      <c r="M2322">
        <v>0</v>
      </c>
      <c r="N2322">
        <v>2750</v>
      </c>
    </row>
    <row r="2323" spans="1:14" x14ac:dyDescent="0.25">
      <c r="A2323">
        <v>1461.640222</v>
      </c>
      <c r="B2323" s="1">
        <f>DATE(2014,5,1) + TIME(15,21,55)</f>
        <v>41760.640219907407</v>
      </c>
      <c r="C2323">
        <v>80</v>
      </c>
      <c r="D2323">
        <v>77.159004210999996</v>
      </c>
      <c r="E2323">
        <v>40</v>
      </c>
      <c r="F2323">
        <v>39.957660675</v>
      </c>
      <c r="G2323">
        <v>1340.2593993999999</v>
      </c>
      <c r="H2323">
        <v>1337.4804687999999</v>
      </c>
      <c r="I2323">
        <v>1324.9206543</v>
      </c>
      <c r="J2323">
        <v>1322.3773193</v>
      </c>
      <c r="K2323">
        <v>2750</v>
      </c>
      <c r="L2323">
        <v>0</v>
      </c>
      <c r="M2323">
        <v>0</v>
      </c>
      <c r="N2323">
        <v>2750</v>
      </c>
    </row>
    <row r="2324" spans="1:14" x14ac:dyDescent="0.25">
      <c r="A2324">
        <v>1461.675784</v>
      </c>
      <c r="B2324" s="1">
        <f>DATE(2014,5,1) + TIME(16,13,7)</f>
        <v>41760.675775462965</v>
      </c>
      <c r="C2324">
        <v>80</v>
      </c>
      <c r="D2324">
        <v>77.397804260000001</v>
      </c>
      <c r="E2324">
        <v>40</v>
      </c>
      <c r="F2324">
        <v>39.956138611</v>
      </c>
      <c r="G2324">
        <v>1340.2901611</v>
      </c>
      <c r="H2324">
        <v>1337.5036620999999</v>
      </c>
      <c r="I2324">
        <v>1324.9205322</v>
      </c>
      <c r="J2324">
        <v>1322.3770752</v>
      </c>
      <c r="K2324">
        <v>2750</v>
      </c>
      <c r="L2324">
        <v>0</v>
      </c>
      <c r="M2324">
        <v>0</v>
      </c>
      <c r="N2324">
        <v>2750</v>
      </c>
    </row>
    <row r="2325" spans="1:14" x14ac:dyDescent="0.25">
      <c r="A2325">
        <v>1461.7127399999999</v>
      </c>
      <c r="B2325" s="1">
        <f>DATE(2014,5,1) + TIME(17,6,20)</f>
        <v>41760.712731481479</v>
      </c>
      <c r="C2325">
        <v>80</v>
      </c>
      <c r="D2325">
        <v>77.625320435000006</v>
      </c>
      <c r="E2325">
        <v>40</v>
      </c>
      <c r="F2325">
        <v>39.954574585000003</v>
      </c>
      <c r="G2325">
        <v>1340.3214111</v>
      </c>
      <c r="H2325">
        <v>1337.5269774999999</v>
      </c>
      <c r="I2325">
        <v>1324.9205322</v>
      </c>
      <c r="J2325">
        <v>1322.3768310999999</v>
      </c>
      <c r="K2325">
        <v>2750</v>
      </c>
      <c r="L2325">
        <v>0</v>
      </c>
      <c r="M2325">
        <v>0</v>
      </c>
      <c r="N2325">
        <v>2750</v>
      </c>
    </row>
    <row r="2326" spans="1:14" x14ac:dyDescent="0.25">
      <c r="A2326">
        <v>1461.7511950000001</v>
      </c>
      <c r="B2326" s="1">
        <f>DATE(2014,5,1) + TIME(18,1,43)</f>
        <v>41760.751192129632</v>
      </c>
      <c r="C2326">
        <v>80</v>
      </c>
      <c r="D2326">
        <v>77.841468810999999</v>
      </c>
      <c r="E2326">
        <v>40</v>
      </c>
      <c r="F2326">
        <v>39.952964782999999</v>
      </c>
      <c r="G2326">
        <v>1340.3529053</v>
      </c>
      <c r="H2326">
        <v>1337.5504149999999</v>
      </c>
      <c r="I2326">
        <v>1324.9204102000001</v>
      </c>
      <c r="J2326">
        <v>1322.3767089999999</v>
      </c>
      <c r="K2326">
        <v>2750</v>
      </c>
      <c r="L2326">
        <v>0</v>
      </c>
      <c r="M2326">
        <v>0</v>
      </c>
      <c r="N2326">
        <v>2750</v>
      </c>
    </row>
    <row r="2327" spans="1:14" x14ac:dyDescent="0.25">
      <c r="A2327">
        <v>1461.7912679999999</v>
      </c>
      <c r="B2327" s="1">
        <f>DATE(2014,5,1) + TIME(18,59,25)</f>
        <v>41760.791261574072</v>
      </c>
      <c r="C2327">
        <v>80</v>
      </c>
      <c r="D2327">
        <v>78.046195983999993</v>
      </c>
      <c r="E2327">
        <v>40</v>
      </c>
      <c r="F2327">
        <v>39.951301575000002</v>
      </c>
      <c r="G2327">
        <v>1340.3846435999999</v>
      </c>
      <c r="H2327">
        <v>1337.5738524999999</v>
      </c>
      <c r="I2327">
        <v>1324.9202881000001</v>
      </c>
      <c r="J2327">
        <v>1322.3764647999999</v>
      </c>
      <c r="K2327">
        <v>2750</v>
      </c>
      <c r="L2327">
        <v>0</v>
      </c>
      <c r="M2327">
        <v>0</v>
      </c>
      <c r="N2327">
        <v>2750</v>
      </c>
    </row>
    <row r="2328" spans="1:14" x14ac:dyDescent="0.25">
      <c r="A2328">
        <v>1461.8330880000001</v>
      </c>
      <c r="B2328" s="1">
        <f>DATE(2014,5,1) + TIME(19,59,38)</f>
        <v>41760.833078703705</v>
      </c>
      <c r="C2328">
        <v>80</v>
      </c>
      <c r="D2328">
        <v>78.239463806000003</v>
      </c>
      <c r="E2328">
        <v>40</v>
      </c>
      <c r="F2328">
        <v>39.949584960999999</v>
      </c>
      <c r="G2328">
        <v>1340.416626</v>
      </c>
      <c r="H2328">
        <v>1337.5972899999999</v>
      </c>
      <c r="I2328">
        <v>1324.9201660000001</v>
      </c>
      <c r="J2328">
        <v>1322.3762207</v>
      </c>
      <c r="K2328">
        <v>2750</v>
      </c>
      <c r="L2328">
        <v>0</v>
      </c>
      <c r="M2328">
        <v>0</v>
      </c>
      <c r="N2328">
        <v>2750</v>
      </c>
    </row>
    <row r="2329" spans="1:14" x14ac:dyDescent="0.25">
      <c r="A2329">
        <v>1461.876802</v>
      </c>
      <c r="B2329" s="1">
        <f>DATE(2014,5,1) + TIME(21,2,35)</f>
        <v>41760.876793981479</v>
      </c>
      <c r="C2329">
        <v>80</v>
      </c>
      <c r="D2329">
        <v>78.421279906999999</v>
      </c>
      <c r="E2329">
        <v>40</v>
      </c>
      <c r="F2329">
        <v>39.947811127000001</v>
      </c>
      <c r="G2329">
        <v>1340.4486084</v>
      </c>
      <c r="H2329">
        <v>1337.6206055</v>
      </c>
      <c r="I2329">
        <v>1324.9200439000001</v>
      </c>
      <c r="J2329">
        <v>1322.3759766000001</v>
      </c>
      <c r="K2329">
        <v>2750</v>
      </c>
      <c r="L2329">
        <v>0</v>
      </c>
      <c r="M2329">
        <v>0</v>
      </c>
      <c r="N2329">
        <v>2750</v>
      </c>
    </row>
    <row r="2330" spans="1:14" x14ac:dyDescent="0.25">
      <c r="A2330">
        <v>1461.922577</v>
      </c>
      <c r="B2330" s="1">
        <f>DATE(2014,5,1) + TIME(22,8,30)</f>
        <v>41760.922569444447</v>
      </c>
      <c r="C2330">
        <v>80</v>
      </c>
      <c r="D2330">
        <v>78.591659546000002</v>
      </c>
      <c r="E2330">
        <v>40</v>
      </c>
      <c r="F2330">
        <v>39.945968628000003</v>
      </c>
      <c r="G2330">
        <v>1340.4805908000001</v>
      </c>
      <c r="H2330">
        <v>1337.6439209</v>
      </c>
      <c r="I2330">
        <v>1324.9199219</v>
      </c>
      <c r="J2330">
        <v>1322.3757324000001</v>
      </c>
      <c r="K2330">
        <v>2750</v>
      </c>
      <c r="L2330">
        <v>0</v>
      </c>
      <c r="M2330">
        <v>0</v>
      </c>
      <c r="N2330">
        <v>2750</v>
      </c>
    </row>
    <row r="2331" spans="1:14" x14ac:dyDescent="0.25">
      <c r="A2331">
        <v>1461.9706020000001</v>
      </c>
      <c r="B2331" s="1">
        <f>DATE(2014,5,1) + TIME(23,17,39)</f>
        <v>41760.970590277779</v>
      </c>
      <c r="C2331">
        <v>80</v>
      </c>
      <c r="D2331">
        <v>78.750671386999997</v>
      </c>
      <c r="E2331">
        <v>40</v>
      </c>
      <c r="F2331">
        <v>39.944061279000003</v>
      </c>
      <c r="G2331">
        <v>1340.5124512</v>
      </c>
      <c r="H2331">
        <v>1337.6669922000001</v>
      </c>
      <c r="I2331">
        <v>1324.9196777</v>
      </c>
      <c r="J2331">
        <v>1322.3754882999999</v>
      </c>
      <c r="K2331">
        <v>2750</v>
      </c>
      <c r="L2331">
        <v>0</v>
      </c>
      <c r="M2331">
        <v>0</v>
      </c>
      <c r="N2331">
        <v>2750</v>
      </c>
    </row>
    <row r="2332" spans="1:14" x14ac:dyDescent="0.25">
      <c r="A2332">
        <v>1462.021115</v>
      </c>
      <c r="B2332" s="1">
        <f>DATE(2014,5,2) + TIME(0,30,24)</f>
        <v>41761.021111111113</v>
      </c>
      <c r="C2332">
        <v>80</v>
      </c>
      <c r="D2332">
        <v>78.898460388000004</v>
      </c>
      <c r="E2332">
        <v>40</v>
      </c>
      <c r="F2332">
        <v>39.942073821999998</v>
      </c>
      <c r="G2332">
        <v>1340.5440673999999</v>
      </c>
      <c r="H2332">
        <v>1337.6898193</v>
      </c>
      <c r="I2332">
        <v>1324.9195557</v>
      </c>
      <c r="J2332">
        <v>1322.3752440999999</v>
      </c>
      <c r="K2332">
        <v>2750</v>
      </c>
      <c r="L2332">
        <v>0</v>
      </c>
      <c r="M2332">
        <v>0</v>
      </c>
      <c r="N2332">
        <v>2750</v>
      </c>
    </row>
    <row r="2333" spans="1:14" x14ac:dyDescent="0.25">
      <c r="A2333">
        <v>1462.074126</v>
      </c>
      <c r="B2333" s="1">
        <f>DATE(2014,5,2) + TIME(1,46,44)</f>
        <v>41761.074120370373</v>
      </c>
      <c r="C2333">
        <v>80</v>
      </c>
      <c r="D2333">
        <v>79.034614563000005</v>
      </c>
      <c r="E2333">
        <v>40</v>
      </c>
      <c r="F2333">
        <v>39.940013884999999</v>
      </c>
      <c r="G2333">
        <v>1340.5755615</v>
      </c>
      <c r="H2333">
        <v>1337.7124022999999</v>
      </c>
      <c r="I2333">
        <v>1324.9194336</v>
      </c>
      <c r="J2333">
        <v>1322.375</v>
      </c>
      <c r="K2333">
        <v>2750</v>
      </c>
      <c r="L2333">
        <v>0</v>
      </c>
      <c r="M2333">
        <v>0</v>
      </c>
      <c r="N2333">
        <v>2750</v>
      </c>
    </row>
    <row r="2334" spans="1:14" x14ac:dyDescent="0.25">
      <c r="A2334">
        <v>1462.129852</v>
      </c>
      <c r="B2334" s="1">
        <f>DATE(2014,5,2) + TIME(3,6,59)</f>
        <v>41761.129849537036</v>
      </c>
      <c r="C2334">
        <v>80</v>
      </c>
      <c r="D2334">
        <v>79.159362793</v>
      </c>
      <c r="E2334">
        <v>40</v>
      </c>
      <c r="F2334">
        <v>39.937870025999999</v>
      </c>
      <c r="G2334">
        <v>1340.6065673999999</v>
      </c>
      <c r="H2334">
        <v>1337.7346190999999</v>
      </c>
      <c r="I2334">
        <v>1324.9193115</v>
      </c>
      <c r="J2334">
        <v>1322.3747559000001</v>
      </c>
      <c r="K2334">
        <v>2750</v>
      </c>
      <c r="L2334">
        <v>0</v>
      </c>
      <c r="M2334">
        <v>0</v>
      </c>
      <c r="N2334">
        <v>2750</v>
      </c>
    </row>
    <row r="2335" spans="1:14" x14ac:dyDescent="0.25">
      <c r="A2335">
        <v>1462.188531</v>
      </c>
      <c r="B2335" s="1">
        <f>DATE(2014,5,2) + TIME(4,31,29)</f>
        <v>41761.188530092593</v>
      </c>
      <c r="C2335">
        <v>80</v>
      </c>
      <c r="D2335">
        <v>79.272964478000006</v>
      </c>
      <c r="E2335">
        <v>40</v>
      </c>
      <c r="F2335">
        <v>39.935638427999997</v>
      </c>
      <c r="G2335">
        <v>1340.6369629000001</v>
      </c>
      <c r="H2335">
        <v>1337.7563477000001</v>
      </c>
      <c r="I2335">
        <v>1324.9191894999999</v>
      </c>
      <c r="J2335">
        <v>1322.3743896000001</v>
      </c>
      <c r="K2335">
        <v>2750</v>
      </c>
      <c r="L2335">
        <v>0</v>
      </c>
      <c r="M2335">
        <v>0</v>
      </c>
      <c r="N2335">
        <v>2750</v>
      </c>
    </row>
    <row r="2336" spans="1:14" x14ac:dyDescent="0.25">
      <c r="A2336">
        <v>1462.250436</v>
      </c>
      <c r="B2336" s="1">
        <f>DATE(2014,5,2) + TIME(6,0,37)</f>
        <v>41761.250428240739</v>
      </c>
      <c r="C2336">
        <v>80</v>
      </c>
      <c r="D2336">
        <v>79.375755310000002</v>
      </c>
      <c r="E2336">
        <v>40</v>
      </c>
      <c r="F2336">
        <v>39.933311461999999</v>
      </c>
      <c r="G2336">
        <v>1340.6667480000001</v>
      </c>
      <c r="H2336">
        <v>1337.7775879000001</v>
      </c>
      <c r="I2336">
        <v>1324.9189452999999</v>
      </c>
      <c r="J2336">
        <v>1322.3741454999999</v>
      </c>
      <c r="K2336">
        <v>2750</v>
      </c>
      <c r="L2336">
        <v>0</v>
      </c>
      <c r="M2336">
        <v>0</v>
      </c>
      <c r="N2336">
        <v>2750</v>
      </c>
    </row>
    <row r="2337" spans="1:14" x14ac:dyDescent="0.25">
      <c r="A2337">
        <v>1462.315885</v>
      </c>
      <c r="B2337" s="1">
        <f>DATE(2014,5,2) + TIME(7,34,52)</f>
        <v>41761.315879629627</v>
      </c>
      <c r="C2337">
        <v>80</v>
      </c>
      <c r="D2337">
        <v>79.468132018999995</v>
      </c>
      <c r="E2337">
        <v>40</v>
      </c>
      <c r="F2337">
        <v>39.930881499999998</v>
      </c>
      <c r="G2337">
        <v>1340.6958007999999</v>
      </c>
      <c r="H2337">
        <v>1337.7982178</v>
      </c>
      <c r="I2337">
        <v>1324.9188231999999</v>
      </c>
      <c r="J2337">
        <v>1322.3739014</v>
      </c>
      <c r="K2337">
        <v>2750</v>
      </c>
      <c r="L2337">
        <v>0</v>
      </c>
      <c r="M2337">
        <v>0</v>
      </c>
      <c r="N2337">
        <v>2750</v>
      </c>
    </row>
    <row r="2338" spans="1:14" x14ac:dyDescent="0.25">
      <c r="A2338">
        <v>1462.3852549999999</v>
      </c>
      <c r="B2338" s="1">
        <f>DATE(2014,5,2) + TIME(9,14,46)</f>
        <v>41761.385254629633</v>
      </c>
      <c r="C2338">
        <v>80</v>
      </c>
      <c r="D2338">
        <v>79.550529479999994</v>
      </c>
      <c r="E2338">
        <v>40</v>
      </c>
      <c r="F2338">
        <v>39.928333281999997</v>
      </c>
      <c r="G2338">
        <v>1340.7238769999999</v>
      </c>
      <c r="H2338">
        <v>1337.8182373</v>
      </c>
      <c r="I2338">
        <v>1324.9185791</v>
      </c>
      <c r="J2338">
        <v>1322.3735352000001</v>
      </c>
      <c r="K2338">
        <v>2750</v>
      </c>
      <c r="L2338">
        <v>0</v>
      </c>
      <c r="M2338">
        <v>0</v>
      </c>
      <c r="N2338">
        <v>2750</v>
      </c>
    </row>
    <row r="2339" spans="1:14" x14ac:dyDescent="0.25">
      <c r="A2339">
        <v>1462.4589169999999</v>
      </c>
      <c r="B2339" s="1">
        <f>DATE(2014,5,2) + TIME(11,0,50)</f>
        <v>41761.458912037036</v>
      </c>
      <c r="C2339">
        <v>80</v>
      </c>
      <c r="D2339">
        <v>79.623397827000005</v>
      </c>
      <c r="E2339">
        <v>40</v>
      </c>
      <c r="F2339">
        <v>39.925659179999997</v>
      </c>
      <c r="G2339">
        <v>1340.7509766000001</v>
      </c>
      <c r="H2339">
        <v>1337.8376464999999</v>
      </c>
      <c r="I2339">
        <v>1324.918457</v>
      </c>
      <c r="J2339">
        <v>1322.3732910000001</v>
      </c>
      <c r="K2339">
        <v>2750</v>
      </c>
      <c r="L2339">
        <v>0</v>
      </c>
      <c r="M2339">
        <v>0</v>
      </c>
      <c r="N2339">
        <v>2750</v>
      </c>
    </row>
    <row r="2340" spans="1:14" x14ac:dyDescent="0.25">
      <c r="A2340">
        <v>1462.533492</v>
      </c>
      <c r="B2340" s="1">
        <f>DATE(2014,5,2) + TIME(12,48,13)</f>
        <v>41761.533483796295</v>
      </c>
      <c r="C2340">
        <v>80</v>
      </c>
      <c r="D2340">
        <v>79.684661864999995</v>
      </c>
      <c r="E2340">
        <v>40</v>
      </c>
      <c r="F2340">
        <v>39.922973632999998</v>
      </c>
      <c r="G2340">
        <v>1340.7775879000001</v>
      </c>
      <c r="H2340">
        <v>1337.8565673999999</v>
      </c>
      <c r="I2340">
        <v>1324.9183350000001</v>
      </c>
      <c r="J2340">
        <v>1322.3729248</v>
      </c>
      <c r="K2340">
        <v>2750</v>
      </c>
      <c r="L2340">
        <v>0</v>
      </c>
      <c r="M2340">
        <v>0</v>
      </c>
      <c r="N2340">
        <v>2750</v>
      </c>
    </row>
    <row r="2341" spans="1:14" x14ac:dyDescent="0.25">
      <c r="A2341">
        <v>1462.608522</v>
      </c>
      <c r="B2341" s="1">
        <f>DATE(2014,5,2) + TIME(14,36,16)</f>
        <v>41761.608518518522</v>
      </c>
      <c r="C2341">
        <v>80</v>
      </c>
      <c r="D2341">
        <v>79.735763550000001</v>
      </c>
      <c r="E2341">
        <v>40</v>
      </c>
      <c r="F2341">
        <v>39.920291900999999</v>
      </c>
      <c r="G2341">
        <v>1340.8020019999999</v>
      </c>
      <c r="H2341">
        <v>1337.8739014</v>
      </c>
      <c r="I2341">
        <v>1324.9180908000001</v>
      </c>
      <c r="J2341">
        <v>1322.3725586</v>
      </c>
      <c r="K2341">
        <v>2750</v>
      </c>
      <c r="L2341">
        <v>0</v>
      </c>
      <c r="M2341">
        <v>0</v>
      </c>
      <c r="N2341">
        <v>2750</v>
      </c>
    </row>
    <row r="2342" spans="1:14" x14ac:dyDescent="0.25">
      <c r="A2342">
        <v>1462.6842349999999</v>
      </c>
      <c r="B2342" s="1">
        <f>DATE(2014,5,2) + TIME(16,25,17)</f>
        <v>41761.684224537035</v>
      </c>
      <c r="C2342">
        <v>80</v>
      </c>
      <c r="D2342">
        <v>79.778411864999995</v>
      </c>
      <c r="E2342">
        <v>40</v>
      </c>
      <c r="F2342">
        <v>39.917602539000001</v>
      </c>
      <c r="G2342">
        <v>1340.8239745999999</v>
      </c>
      <c r="H2342">
        <v>1337.8896483999999</v>
      </c>
      <c r="I2342">
        <v>1324.9179687999999</v>
      </c>
      <c r="J2342">
        <v>1322.3723144999999</v>
      </c>
      <c r="K2342">
        <v>2750</v>
      </c>
      <c r="L2342">
        <v>0</v>
      </c>
      <c r="M2342">
        <v>0</v>
      </c>
      <c r="N2342">
        <v>2750</v>
      </c>
    </row>
    <row r="2343" spans="1:14" x14ac:dyDescent="0.25">
      <c r="A2343">
        <v>1462.7608270000001</v>
      </c>
      <c r="B2343" s="1">
        <f>DATE(2014,5,2) + TIME(18,15,35)</f>
        <v>41761.760821759257</v>
      </c>
      <c r="C2343">
        <v>80</v>
      </c>
      <c r="D2343">
        <v>79.814018250000004</v>
      </c>
      <c r="E2343">
        <v>40</v>
      </c>
      <c r="F2343">
        <v>39.914901733000001</v>
      </c>
      <c r="G2343">
        <v>1340.84375</v>
      </c>
      <c r="H2343">
        <v>1337.9039307</v>
      </c>
      <c r="I2343">
        <v>1324.9177245999999</v>
      </c>
      <c r="J2343">
        <v>1322.3720702999999</v>
      </c>
      <c r="K2343">
        <v>2750</v>
      </c>
      <c r="L2343">
        <v>0</v>
      </c>
      <c r="M2343">
        <v>0</v>
      </c>
      <c r="N2343">
        <v>2750</v>
      </c>
    </row>
    <row r="2344" spans="1:14" x14ac:dyDescent="0.25">
      <c r="A2344">
        <v>1462.838471</v>
      </c>
      <c r="B2344" s="1">
        <f>DATE(2014,5,2) + TIME(20,7,23)</f>
        <v>41761.838460648149</v>
      </c>
      <c r="C2344">
        <v>80</v>
      </c>
      <c r="D2344">
        <v>79.843711853000002</v>
      </c>
      <c r="E2344">
        <v>40</v>
      </c>
      <c r="F2344">
        <v>39.912181854000004</v>
      </c>
      <c r="G2344">
        <v>1340.8616943</v>
      </c>
      <c r="H2344">
        <v>1337.9168701000001</v>
      </c>
      <c r="I2344">
        <v>1324.9176024999999</v>
      </c>
      <c r="J2344">
        <v>1322.3717041</v>
      </c>
      <c r="K2344">
        <v>2750</v>
      </c>
      <c r="L2344">
        <v>0</v>
      </c>
      <c r="M2344">
        <v>0</v>
      </c>
      <c r="N2344">
        <v>2750</v>
      </c>
    </row>
    <row r="2345" spans="1:14" x14ac:dyDescent="0.25">
      <c r="A2345">
        <v>1462.917361</v>
      </c>
      <c r="B2345" s="1">
        <f>DATE(2014,5,2) + TIME(22,1,0)</f>
        <v>41761.917361111111</v>
      </c>
      <c r="C2345">
        <v>80</v>
      </c>
      <c r="D2345">
        <v>79.868453978999995</v>
      </c>
      <c r="E2345">
        <v>40</v>
      </c>
      <c r="F2345">
        <v>39.909435272000003</v>
      </c>
      <c r="G2345">
        <v>1340.8778076000001</v>
      </c>
      <c r="H2345">
        <v>1337.9287108999999</v>
      </c>
      <c r="I2345">
        <v>1324.9173584</v>
      </c>
      <c r="J2345">
        <v>1322.3714600000001</v>
      </c>
      <c r="K2345">
        <v>2750</v>
      </c>
      <c r="L2345">
        <v>0</v>
      </c>
      <c r="M2345">
        <v>0</v>
      </c>
      <c r="N2345">
        <v>2750</v>
      </c>
    </row>
    <row r="2346" spans="1:14" x14ac:dyDescent="0.25">
      <c r="A2346">
        <v>1462.997701</v>
      </c>
      <c r="B2346" s="1">
        <f>DATE(2014,5,2) + TIME(23,56,41)</f>
        <v>41761.997696759259</v>
      </c>
      <c r="C2346">
        <v>80</v>
      </c>
      <c r="D2346">
        <v>79.889045714999995</v>
      </c>
      <c r="E2346">
        <v>40</v>
      </c>
      <c r="F2346">
        <v>39.906658172999997</v>
      </c>
      <c r="G2346">
        <v>1340.8923339999999</v>
      </c>
      <c r="H2346">
        <v>1337.9394531</v>
      </c>
      <c r="I2346">
        <v>1324.9172363</v>
      </c>
      <c r="J2346">
        <v>1322.3710937999999</v>
      </c>
      <c r="K2346">
        <v>2750</v>
      </c>
      <c r="L2346">
        <v>0</v>
      </c>
      <c r="M2346">
        <v>0</v>
      </c>
      <c r="N2346">
        <v>2750</v>
      </c>
    </row>
    <row r="2347" spans="1:14" x14ac:dyDescent="0.25">
      <c r="A2347">
        <v>1463.079704</v>
      </c>
      <c r="B2347" s="1">
        <f>DATE(2014,5,3) + TIME(1,54,46)</f>
        <v>41762.079699074071</v>
      </c>
      <c r="C2347">
        <v>80</v>
      </c>
      <c r="D2347">
        <v>79.906158446999996</v>
      </c>
      <c r="E2347">
        <v>40</v>
      </c>
      <c r="F2347">
        <v>39.903846741000002</v>
      </c>
      <c r="G2347">
        <v>1340.9052733999999</v>
      </c>
      <c r="H2347">
        <v>1337.9492187999999</v>
      </c>
      <c r="I2347">
        <v>1324.9169922000001</v>
      </c>
      <c r="J2347">
        <v>1322.3708495999999</v>
      </c>
      <c r="K2347">
        <v>2750</v>
      </c>
      <c r="L2347">
        <v>0</v>
      </c>
      <c r="M2347">
        <v>0</v>
      </c>
      <c r="N2347">
        <v>2750</v>
      </c>
    </row>
    <row r="2348" spans="1:14" x14ac:dyDescent="0.25">
      <c r="A2348">
        <v>1463.163644</v>
      </c>
      <c r="B2348" s="1">
        <f>DATE(2014,5,3) + TIME(3,55,38)</f>
        <v>41762.163634259261</v>
      </c>
      <c r="C2348">
        <v>80</v>
      </c>
      <c r="D2348">
        <v>79.920349121000001</v>
      </c>
      <c r="E2348">
        <v>40</v>
      </c>
      <c r="F2348">
        <v>39.900985718000001</v>
      </c>
      <c r="G2348">
        <v>1340.9169922000001</v>
      </c>
      <c r="H2348">
        <v>1337.9581298999999</v>
      </c>
      <c r="I2348">
        <v>1324.9168701000001</v>
      </c>
      <c r="J2348">
        <v>1322.3706055</v>
      </c>
      <c r="K2348">
        <v>2750</v>
      </c>
      <c r="L2348">
        <v>0</v>
      </c>
      <c r="M2348">
        <v>0</v>
      </c>
      <c r="N2348">
        <v>2750</v>
      </c>
    </row>
    <row r="2349" spans="1:14" x14ac:dyDescent="0.25">
      <c r="A2349">
        <v>1463.249822</v>
      </c>
      <c r="B2349" s="1">
        <f>DATE(2014,5,3) + TIME(5,59,44)</f>
        <v>41762.249814814815</v>
      </c>
      <c r="C2349">
        <v>80</v>
      </c>
      <c r="D2349">
        <v>79.932098389000004</v>
      </c>
      <c r="E2349">
        <v>40</v>
      </c>
      <c r="F2349">
        <v>39.898071289000001</v>
      </c>
      <c r="G2349">
        <v>1340.9272461</v>
      </c>
      <c r="H2349">
        <v>1337.9660644999999</v>
      </c>
      <c r="I2349">
        <v>1324.916626</v>
      </c>
      <c r="J2349">
        <v>1322.3702393000001</v>
      </c>
      <c r="K2349">
        <v>2750</v>
      </c>
      <c r="L2349">
        <v>0</v>
      </c>
      <c r="M2349">
        <v>0</v>
      </c>
      <c r="N2349">
        <v>2750</v>
      </c>
    </row>
    <row r="2350" spans="1:14" x14ac:dyDescent="0.25">
      <c r="A2350">
        <v>1463.338522</v>
      </c>
      <c r="B2350" s="1">
        <f>DATE(2014,5,3) + TIME(8,7,28)</f>
        <v>41762.338518518518</v>
      </c>
      <c r="C2350">
        <v>80</v>
      </c>
      <c r="D2350">
        <v>79.941795349000003</v>
      </c>
      <c r="E2350">
        <v>40</v>
      </c>
      <c r="F2350">
        <v>39.895092009999999</v>
      </c>
      <c r="G2350">
        <v>1340.9362793</v>
      </c>
      <c r="H2350">
        <v>1337.9732666</v>
      </c>
      <c r="I2350">
        <v>1324.9165039</v>
      </c>
      <c r="J2350">
        <v>1322.3699951000001</v>
      </c>
      <c r="K2350">
        <v>2750</v>
      </c>
      <c r="L2350">
        <v>0</v>
      </c>
      <c r="M2350">
        <v>0</v>
      </c>
      <c r="N2350">
        <v>2750</v>
      </c>
    </row>
    <row r="2351" spans="1:14" x14ac:dyDescent="0.25">
      <c r="A2351">
        <v>1463.430065</v>
      </c>
      <c r="B2351" s="1">
        <f>DATE(2014,5,3) + TIME(10,19,17)</f>
        <v>41762.43005787037</v>
      </c>
      <c r="C2351">
        <v>80</v>
      </c>
      <c r="D2351">
        <v>79.949783324999999</v>
      </c>
      <c r="E2351">
        <v>40</v>
      </c>
      <c r="F2351">
        <v>39.892040252999998</v>
      </c>
      <c r="G2351">
        <v>1340.9442139</v>
      </c>
      <c r="H2351">
        <v>1337.9798584</v>
      </c>
      <c r="I2351">
        <v>1324.9162598</v>
      </c>
      <c r="J2351">
        <v>1322.3696289</v>
      </c>
      <c r="K2351">
        <v>2750</v>
      </c>
      <c r="L2351">
        <v>0</v>
      </c>
      <c r="M2351">
        <v>0</v>
      </c>
      <c r="N2351">
        <v>2750</v>
      </c>
    </row>
    <row r="2352" spans="1:14" x14ac:dyDescent="0.25">
      <c r="A2352">
        <v>1463.5244290000001</v>
      </c>
      <c r="B2352" s="1">
        <f>DATE(2014,5,3) + TIME(12,35,10)</f>
        <v>41762.524421296293</v>
      </c>
      <c r="C2352">
        <v>80</v>
      </c>
      <c r="D2352">
        <v>79.956298828000001</v>
      </c>
      <c r="E2352">
        <v>40</v>
      </c>
      <c r="F2352">
        <v>39.888916016000003</v>
      </c>
      <c r="G2352">
        <v>1340.9511719</v>
      </c>
      <c r="H2352">
        <v>1337.9857178</v>
      </c>
      <c r="I2352">
        <v>1324.9161377</v>
      </c>
      <c r="J2352">
        <v>1322.3693848</v>
      </c>
      <c r="K2352">
        <v>2750</v>
      </c>
      <c r="L2352">
        <v>0</v>
      </c>
      <c r="M2352">
        <v>0</v>
      </c>
      <c r="N2352">
        <v>2750</v>
      </c>
    </row>
    <row r="2353" spans="1:14" x14ac:dyDescent="0.25">
      <c r="A2353">
        <v>1463.6204729999999</v>
      </c>
      <c r="B2353" s="1">
        <f>DATE(2014,5,3) + TIME(14,53,28)</f>
        <v>41762.620462962965</v>
      </c>
      <c r="C2353">
        <v>80</v>
      </c>
      <c r="D2353">
        <v>79.961547851999995</v>
      </c>
      <c r="E2353">
        <v>40</v>
      </c>
      <c r="F2353">
        <v>39.885757446</v>
      </c>
      <c r="G2353">
        <v>1340.9570312000001</v>
      </c>
      <c r="H2353">
        <v>1337.9909668</v>
      </c>
      <c r="I2353">
        <v>1324.9158935999999</v>
      </c>
      <c r="J2353">
        <v>1322.3690185999999</v>
      </c>
      <c r="K2353">
        <v>2750</v>
      </c>
      <c r="L2353">
        <v>0</v>
      </c>
      <c r="M2353">
        <v>0</v>
      </c>
      <c r="N2353">
        <v>2750</v>
      </c>
    </row>
    <row r="2354" spans="1:14" x14ac:dyDescent="0.25">
      <c r="A2354">
        <v>1463.718404</v>
      </c>
      <c r="B2354" s="1">
        <f>DATE(2014,5,3) + TIME(17,14,30)</f>
        <v>41762.718402777777</v>
      </c>
      <c r="C2354">
        <v>80</v>
      </c>
      <c r="D2354">
        <v>79.965759277000004</v>
      </c>
      <c r="E2354">
        <v>40</v>
      </c>
      <c r="F2354">
        <v>39.882553100999999</v>
      </c>
      <c r="G2354">
        <v>1340.9619141000001</v>
      </c>
      <c r="H2354">
        <v>1337.9956055</v>
      </c>
      <c r="I2354">
        <v>1324.9156493999999</v>
      </c>
      <c r="J2354">
        <v>1322.3687743999999</v>
      </c>
      <c r="K2354">
        <v>2750</v>
      </c>
      <c r="L2354">
        <v>0</v>
      </c>
      <c r="M2354">
        <v>0</v>
      </c>
      <c r="N2354">
        <v>2750</v>
      </c>
    </row>
    <row r="2355" spans="1:14" x14ac:dyDescent="0.25">
      <c r="A2355">
        <v>1463.8184229999999</v>
      </c>
      <c r="B2355" s="1">
        <f>DATE(2014,5,3) + TIME(19,38,31)</f>
        <v>41762.818414351852</v>
      </c>
      <c r="C2355">
        <v>80</v>
      </c>
      <c r="D2355">
        <v>79.969139099000003</v>
      </c>
      <c r="E2355">
        <v>40</v>
      </c>
      <c r="F2355">
        <v>39.879299164000003</v>
      </c>
      <c r="G2355">
        <v>1340.9658202999999</v>
      </c>
      <c r="H2355">
        <v>1337.9995117000001</v>
      </c>
      <c r="I2355">
        <v>1324.9155272999999</v>
      </c>
      <c r="J2355">
        <v>1322.3684082</v>
      </c>
      <c r="K2355">
        <v>2750</v>
      </c>
      <c r="L2355">
        <v>0</v>
      </c>
      <c r="M2355">
        <v>0</v>
      </c>
      <c r="N2355">
        <v>2750</v>
      </c>
    </row>
    <row r="2356" spans="1:14" x14ac:dyDescent="0.25">
      <c r="A2356">
        <v>1463.920752</v>
      </c>
      <c r="B2356" s="1">
        <f>DATE(2014,5,3) + TIME(22,5,52)</f>
        <v>41762.920740740738</v>
      </c>
      <c r="C2356">
        <v>80</v>
      </c>
      <c r="D2356">
        <v>79.971839904999996</v>
      </c>
      <c r="E2356">
        <v>40</v>
      </c>
      <c r="F2356">
        <v>39.875988006999997</v>
      </c>
      <c r="G2356">
        <v>1340.96875</v>
      </c>
      <c r="H2356">
        <v>1338.0029297000001</v>
      </c>
      <c r="I2356">
        <v>1324.9152832</v>
      </c>
      <c r="J2356">
        <v>1322.3680420000001</v>
      </c>
      <c r="K2356">
        <v>2750</v>
      </c>
      <c r="L2356">
        <v>0</v>
      </c>
      <c r="M2356">
        <v>0</v>
      </c>
      <c r="N2356">
        <v>2750</v>
      </c>
    </row>
    <row r="2357" spans="1:14" x14ac:dyDescent="0.25">
      <c r="A2357">
        <v>1464.025633</v>
      </c>
      <c r="B2357" s="1">
        <f>DATE(2014,5,4) + TIME(0,36,54)</f>
        <v>41763.025625000002</v>
      </c>
      <c r="C2357">
        <v>80</v>
      </c>
      <c r="D2357">
        <v>79.973991393999995</v>
      </c>
      <c r="E2357">
        <v>40</v>
      </c>
      <c r="F2357">
        <v>39.872615814</v>
      </c>
      <c r="G2357">
        <v>1340.9709473</v>
      </c>
      <c r="H2357">
        <v>1338.0058594</v>
      </c>
      <c r="I2357">
        <v>1324.9150391000001</v>
      </c>
      <c r="J2357">
        <v>1322.3677978999999</v>
      </c>
      <c r="K2357">
        <v>2750</v>
      </c>
      <c r="L2357">
        <v>0</v>
      </c>
      <c r="M2357">
        <v>0</v>
      </c>
      <c r="N2357">
        <v>2750</v>
      </c>
    </row>
    <row r="2358" spans="1:14" x14ac:dyDescent="0.25">
      <c r="A2358">
        <v>1464.1333279999999</v>
      </c>
      <c r="B2358" s="1">
        <f>DATE(2014,5,4) + TIME(3,11,59)</f>
        <v>41763.133321759262</v>
      </c>
      <c r="C2358">
        <v>80</v>
      </c>
      <c r="D2358">
        <v>79.975708007999998</v>
      </c>
      <c r="E2358">
        <v>40</v>
      </c>
      <c r="F2358">
        <v>39.869178771999998</v>
      </c>
      <c r="G2358">
        <v>1340.9719238</v>
      </c>
      <c r="H2358">
        <v>1338.0080565999999</v>
      </c>
      <c r="I2358">
        <v>1324.9149170000001</v>
      </c>
      <c r="J2358">
        <v>1322.3674315999999</v>
      </c>
      <c r="K2358">
        <v>2750</v>
      </c>
      <c r="L2358">
        <v>0</v>
      </c>
      <c r="M2358">
        <v>0</v>
      </c>
      <c r="N2358">
        <v>2750</v>
      </c>
    </row>
    <row r="2359" spans="1:14" x14ac:dyDescent="0.25">
      <c r="A2359">
        <v>1464.24414</v>
      </c>
      <c r="B2359" s="1">
        <f>DATE(2014,5,4) + TIME(5,51,33)</f>
        <v>41763.244131944448</v>
      </c>
      <c r="C2359">
        <v>80</v>
      </c>
      <c r="D2359">
        <v>79.977073669000006</v>
      </c>
      <c r="E2359">
        <v>40</v>
      </c>
      <c r="F2359">
        <v>39.865657806000002</v>
      </c>
      <c r="G2359">
        <v>1340.9710693</v>
      </c>
      <c r="H2359">
        <v>1338.0089111</v>
      </c>
      <c r="I2359">
        <v>1324.9146728999999</v>
      </c>
      <c r="J2359">
        <v>1322.3671875</v>
      </c>
      <c r="K2359">
        <v>2750</v>
      </c>
      <c r="L2359">
        <v>0</v>
      </c>
      <c r="M2359">
        <v>0</v>
      </c>
      <c r="N2359">
        <v>2750</v>
      </c>
    </row>
    <row r="2360" spans="1:14" x14ac:dyDescent="0.25">
      <c r="A2360">
        <v>1464.3584370000001</v>
      </c>
      <c r="B2360" s="1">
        <f>DATE(2014,5,4) + TIME(8,36,8)</f>
        <v>41763.358425925922</v>
      </c>
      <c r="C2360">
        <v>80</v>
      </c>
      <c r="D2360">
        <v>79.978149414000001</v>
      </c>
      <c r="E2360">
        <v>40</v>
      </c>
      <c r="F2360">
        <v>39.862056731999999</v>
      </c>
      <c r="G2360">
        <v>1340.9696045000001</v>
      </c>
      <c r="H2360">
        <v>1338.0096435999999</v>
      </c>
      <c r="I2360">
        <v>1324.9144286999999</v>
      </c>
      <c r="J2360">
        <v>1322.3668213000001</v>
      </c>
      <c r="K2360">
        <v>2750</v>
      </c>
      <c r="L2360">
        <v>0</v>
      </c>
      <c r="M2360">
        <v>0</v>
      </c>
      <c r="N2360">
        <v>2750</v>
      </c>
    </row>
    <row r="2361" spans="1:14" x14ac:dyDescent="0.25">
      <c r="A2361">
        <v>1464.476817</v>
      </c>
      <c r="B2361" s="1">
        <f>DATE(2014,5,4) + TIME(11,26,36)</f>
        <v>41763.476805555554</v>
      </c>
      <c r="C2361">
        <v>80</v>
      </c>
      <c r="D2361">
        <v>79.979003906000003</v>
      </c>
      <c r="E2361">
        <v>40</v>
      </c>
      <c r="F2361">
        <v>39.858348845999998</v>
      </c>
      <c r="G2361">
        <v>1340.9676514</v>
      </c>
      <c r="H2361">
        <v>1338.0098877</v>
      </c>
      <c r="I2361">
        <v>1324.9141846</v>
      </c>
      <c r="J2361">
        <v>1322.3664550999999</v>
      </c>
      <c r="K2361">
        <v>2750</v>
      </c>
      <c r="L2361">
        <v>0</v>
      </c>
      <c r="M2361">
        <v>0</v>
      </c>
      <c r="N2361">
        <v>2750</v>
      </c>
    </row>
    <row r="2362" spans="1:14" x14ac:dyDescent="0.25">
      <c r="A2362">
        <v>1464.5997299999999</v>
      </c>
      <c r="B2362" s="1">
        <f>DATE(2014,5,4) + TIME(14,23,36)</f>
        <v>41763.599722222221</v>
      </c>
      <c r="C2362">
        <v>80</v>
      </c>
      <c r="D2362">
        <v>79.979675293</v>
      </c>
      <c r="E2362">
        <v>40</v>
      </c>
      <c r="F2362">
        <v>39.85452652</v>
      </c>
      <c r="G2362">
        <v>1340.9650879000001</v>
      </c>
      <c r="H2362">
        <v>1338.0100098</v>
      </c>
      <c r="I2362">
        <v>1324.9140625</v>
      </c>
      <c r="J2362">
        <v>1322.3660889</v>
      </c>
      <c r="K2362">
        <v>2750</v>
      </c>
      <c r="L2362">
        <v>0</v>
      </c>
      <c r="M2362">
        <v>0</v>
      </c>
      <c r="N2362">
        <v>2750</v>
      </c>
    </row>
    <row r="2363" spans="1:14" x14ac:dyDescent="0.25">
      <c r="A2363">
        <v>1464.726758</v>
      </c>
      <c r="B2363" s="1">
        <f>DATE(2014,5,4) + TIME(17,26,31)</f>
        <v>41763.726747685185</v>
      </c>
      <c r="C2363">
        <v>80</v>
      </c>
      <c r="D2363">
        <v>79.980194092000005</v>
      </c>
      <c r="E2363">
        <v>40</v>
      </c>
      <c r="F2363">
        <v>39.850601196</v>
      </c>
      <c r="G2363">
        <v>1340.9620361</v>
      </c>
      <c r="H2363">
        <v>1338.0097656</v>
      </c>
      <c r="I2363">
        <v>1324.9138184000001</v>
      </c>
      <c r="J2363">
        <v>1322.3657227000001</v>
      </c>
      <c r="K2363">
        <v>2750</v>
      </c>
      <c r="L2363">
        <v>0</v>
      </c>
      <c r="M2363">
        <v>0</v>
      </c>
      <c r="N2363">
        <v>2750</v>
      </c>
    </row>
    <row r="2364" spans="1:14" x14ac:dyDescent="0.25">
      <c r="A2364">
        <v>1464.8574659999999</v>
      </c>
      <c r="B2364" s="1">
        <f>DATE(2014,5,4) + TIME(20,34,45)</f>
        <v>41763.857465277775</v>
      </c>
      <c r="C2364">
        <v>80</v>
      </c>
      <c r="D2364">
        <v>79.980606078999998</v>
      </c>
      <c r="E2364">
        <v>40</v>
      </c>
      <c r="F2364">
        <v>39.846588134999998</v>
      </c>
      <c r="G2364">
        <v>1340.9586182</v>
      </c>
      <c r="H2364">
        <v>1338.0092772999999</v>
      </c>
      <c r="I2364">
        <v>1324.9135742000001</v>
      </c>
      <c r="J2364">
        <v>1322.3653564000001</v>
      </c>
      <c r="K2364">
        <v>2750</v>
      </c>
      <c r="L2364">
        <v>0</v>
      </c>
      <c r="M2364">
        <v>0</v>
      </c>
      <c r="N2364">
        <v>2750</v>
      </c>
    </row>
    <row r="2365" spans="1:14" x14ac:dyDescent="0.25">
      <c r="A2365">
        <v>1464.9922469999999</v>
      </c>
      <c r="B2365" s="1">
        <f>DATE(2014,5,4) + TIME(23,48,50)</f>
        <v>41763.992245370369</v>
      </c>
      <c r="C2365">
        <v>80</v>
      </c>
      <c r="D2365">
        <v>79.980918884000005</v>
      </c>
      <c r="E2365">
        <v>40</v>
      </c>
      <c r="F2365">
        <v>39.842475890999999</v>
      </c>
      <c r="G2365">
        <v>1340.9547118999999</v>
      </c>
      <c r="H2365">
        <v>1338.0085449000001</v>
      </c>
      <c r="I2365">
        <v>1324.9133300999999</v>
      </c>
      <c r="J2365">
        <v>1322.3649902</v>
      </c>
      <c r="K2365">
        <v>2750</v>
      </c>
      <c r="L2365">
        <v>0</v>
      </c>
      <c r="M2365">
        <v>0</v>
      </c>
      <c r="N2365">
        <v>2750</v>
      </c>
    </row>
    <row r="2366" spans="1:14" x14ac:dyDescent="0.25">
      <c r="A2366">
        <v>1465.1315079999999</v>
      </c>
      <c r="B2366" s="1">
        <f>DATE(2014,5,5) + TIME(3,9,22)</f>
        <v>41764.131504629629</v>
      </c>
      <c r="C2366">
        <v>80</v>
      </c>
      <c r="D2366">
        <v>79.981155396000005</v>
      </c>
      <c r="E2366">
        <v>40</v>
      </c>
      <c r="F2366">
        <v>39.838249206999997</v>
      </c>
      <c r="G2366">
        <v>1340.9504394999999</v>
      </c>
      <c r="H2366">
        <v>1338.0075684000001</v>
      </c>
      <c r="I2366">
        <v>1324.9130858999999</v>
      </c>
      <c r="J2366">
        <v>1322.364624</v>
      </c>
      <c r="K2366">
        <v>2750</v>
      </c>
      <c r="L2366">
        <v>0</v>
      </c>
      <c r="M2366">
        <v>0</v>
      </c>
      <c r="N2366">
        <v>2750</v>
      </c>
    </row>
    <row r="2367" spans="1:14" x14ac:dyDescent="0.25">
      <c r="A2367">
        <v>1465.275705</v>
      </c>
      <c r="B2367" s="1">
        <f>DATE(2014,5,5) + TIME(6,37,0)</f>
        <v>41764.275694444441</v>
      </c>
      <c r="C2367">
        <v>80</v>
      </c>
      <c r="D2367">
        <v>79.981338500999996</v>
      </c>
      <c r="E2367">
        <v>40</v>
      </c>
      <c r="F2367">
        <v>39.833904265999998</v>
      </c>
      <c r="G2367">
        <v>1340.9458007999999</v>
      </c>
      <c r="H2367">
        <v>1338.0064697</v>
      </c>
      <c r="I2367">
        <v>1324.9127197</v>
      </c>
      <c r="J2367">
        <v>1322.3642577999999</v>
      </c>
      <c r="K2367">
        <v>2750</v>
      </c>
      <c r="L2367">
        <v>0</v>
      </c>
      <c r="M2367">
        <v>0</v>
      </c>
      <c r="N2367">
        <v>2750</v>
      </c>
    </row>
    <row r="2368" spans="1:14" x14ac:dyDescent="0.25">
      <c r="A2368">
        <v>1465.4255089999999</v>
      </c>
      <c r="B2368" s="1">
        <f>DATE(2014,5,5) + TIME(10,12,43)</f>
        <v>41764.425497685188</v>
      </c>
      <c r="C2368">
        <v>80</v>
      </c>
      <c r="D2368">
        <v>79.981483459000003</v>
      </c>
      <c r="E2368">
        <v>40</v>
      </c>
      <c r="F2368">
        <v>39.829421996999997</v>
      </c>
      <c r="G2368">
        <v>1340.9406738</v>
      </c>
      <c r="H2368">
        <v>1338.0051269999999</v>
      </c>
      <c r="I2368">
        <v>1324.9124756000001</v>
      </c>
      <c r="J2368">
        <v>1322.3638916</v>
      </c>
      <c r="K2368">
        <v>2750</v>
      </c>
      <c r="L2368">
        <v>0</v>
      </c>
      <c r="M2368">
        <v>0</v>
      </c>
      <c r="N2368">
        <v>2750</v>
      </c>
    </row>
    <row r="2369" spans="1:14" x14ac:dyDescent="0.25">
      <c r="A2369">
        <v>1465.5774309999999</v>
      </c>
      <c r="B2369" s="1">
        <f>DATE(2014,5,5) + TIME(13,51,30)</f>
        <v>41764.577430555553</v>
      </c>
      <c r="C2369">
        <v>80</v>
      </c>
      <c r="D2369">
        <v>79.981582642000006</v>
      </c>
      <c r="E2369">
        <v>40</v>
      </c>
      <c r="F2369">
        <v>39.824890136999997</v>
      </c>
      <c r="G2369">
        <v>1340.9351807</v>
      </c>
      <c r="H2369">
        <v>1338.0035399999999</v>
      </c>
      <c r="I2369">
        <v>1324.9122314000001</v>
      </c>
      <c r="J2369">
        <v>1322.3634033000001</v>
      </c>
      <c r="K2369">
        <v>2750</v>
      </c>
      <c r="L2369">
        <v>0</v>
      </c>
      <c r="M2369">
        <v>0</v>
      </c>
      <c r="N2369">
        <v>2750</v>
      </c>
    </row>
    <row r="2370" spans="1:14" x14ac:dyDescent="0.25">
      <c r="A2370">
        <v>1465.7317599999999</v>
      </c>
      <c r="B2370" s="1">
        <f>DATE(2014,5,5) + TIME(17,33,44)</f>
        <v>41764.731759259259</v>
      </c>
      <c r="C2370">
        <v>80</v>
      </c>
      <c r="D2370">
        <v>79.981658936000002</v>
      </c>
      <c r="E2370">
        <v>40</v>
      </c>
      <c r="F2370">
        <v>39.820301055999998</v>
      </c>
      <c r="G2370">
        <v>1340.9294434000001</v>
      </c>
      <c r="H2370">
        <v>1338.0019531</v>
      </c>
      <c r="I2370">
        <v>1324.9118652</v>
      </c>
      <c r="J2370">
        <v>1322.3630370999999</v>
      </c>
      <c r="K2370">
        <v>2750</v>
      </c>
      <c r="L2370">
        <v>0</v>
      </c>
      <c r="M2370">
        <v>0</v>
      </c>
      <c r="N2370">
        <v>2750</v>
      </c>
    </row>
    <row r="2371" spans="1:14" x14ac:dyDescent="0.25">
      <c r="A2371">
        <v>1465.88896</v>
      </c>
      <c r="B2371" s="1">
        <f>DATE(2014,5,5) + TIME(21,20,6)</f>
        <v>41764.888958333337</v>
      </c>
      <c r="C2371">
        <v>80</v>
      </c>
      <c r="D2371">
        <v>79.981712341000005</v>
      </c>
      <c r="E2371">
        <v>40</v>
      </c>
      <c r="F2371">
        <v>39.815650939999998</v>
      </c>
      <c r="G2371">
        <v>1340.9234618999999</v>
      </c>
      <c r="H2371">
        <v>1338.0001221</v>
      </c>
      <c r="I2371">
        <v>1324.9116211</v>
      </c>
      <c r="J2371">
        <v>1322.3625488</v>
      </c>
      <c r="K2371">
        <v>2750</v>
      </c>
      <c r="L2371">
        <v>0</v>
      </c>
      <c r="M2371">
        <v>0</v>
      </c>
      <c r="N2371">
        <v>2750</v>
      </c>
    </row>
    <row r="2372" spans="1:14" x14ac:dyDescent="0.25">
      <c r="A2372">
        <v>1466.0497849999999</v>
      </c>
      <c r="B2372" s="1">
        <f>DATE(2014,5,6) + TIME(1,11,41)</f>
        <v>41765.049780092595</v>
      </c>
      <c r="C2372">
        <v>80</v>
      </c>
      <c r="D2372">
        <v>79.981750488000003</v>
      </c>
      <c r="E2372">
        <v>40</v>
      </c>
      <c r="F2372">
        <v>39.810916900999999</v>
      </c>
      <c r="G2372">
        <v>1340.9173584</v>
      </c>
      <c r="H2372">
        <v>1337.9981689000001</v>
      </c>
      <c r="I2372">
        <v>1324.9112548999999</v>
      </c>
      <c r="J2372">
        <v>1322.3620605000001</v>
      </c>
      <c r="K2372">
        <v>2750</v>
      </c>
      <c r="L2372">
        <v>0</v>
      </c>
      <c r="M2372">
        <v>0</v>
      </c>
      <c r="N2372">
        <v>2750</v>
      </c>
    </row>
    <row r="2373" spans="1:14" x14ac:dyDescent="0.25">
      <c r="A2373">
        <v>1466.2141879999999</v>
      </c>
      <c r="B2373" s="1">
        <f>DATE(2014,5,6) + TIME(5,8,25)</f>
        <v>41765.214178240742</v>
      </c>
      <c r="C2373">
        <v>80</v>
      </c>
      <c r="D2373">
        <v>79.981773376000007</v>
      </c>
      <c r="E2373">
        <v>40</v>
      </c>
      <c r="F2373">
        <v>39.806102752999998</v>
      </c>
      <c r="G2373">
        <v>1340.9110106999999</v>
      </c>
      <c r="H2373">
        <v>1337.9960937999999</v>
      </c>
      <c r="I2373">
        <v>1324.9110106999999</v>
      </c>
      <c r="J2373">
        <v>1322.3615723</v>
      </c>
      <c r="K2373">
        <v>2750</v>
      </c>
      <c r="L2373">
        <v>0</v>
      </c>
      <c r="M2373">
        <v>0</v>
      </c>
      <c r="N2373">
        <v>2750</v>
      </c>
    </row>
    <row r="2374" spans="1:14" x14ac:dyDescent="0.25">
      <c r="A2374">
        <v>1466.3819900000001</v>
      </c>
      <c r="B2374" s="1">
        <f>DATE(2014,5,6) + TIME(9,10,3)</f>
        <v>41765.381979166668</v>
      </c>
      <c r="C2374">
        <v>80</v>
      </c>
      <c r="D2374">
        <v>79.981788635000001</v>
      </c>
      <c r="E2374">
        <v>40</v>
      </c>
      <c r="F2374">
        <v>39.801212311</v>
      </c>
      <c r="G2374">
        <v>1340.9044189000001</v>
      </c>
      <c r="H2374">
        <v>1337.9940185999999</v>
      </c>
      <c r="I2374">
        <v>1324.9106445</v>
      </c>
      <c r="J2374">
        <v>1322.3612060999999</v>
      </c>
      <c r="K2374">
        <v>2750</v>
      </c>
      <c r="L2374">
        <v>0</v>
      </c>
      <c r="M2374">
        <v>0</v>
      </c>
      <c r="N2374">
        <v>2750</v>
      </c>
    </row>
    <row r="2375" spans="1:14" x14ac:dyDescent="0.25">
      <c r="A2375">
        <v>1466.5538919999999</v>
      </c>
      <c r="B2375" s="1">
        <f>DATE(2014,5,6) + TIME(13,17,36)</f>
        <v>41765.553888888891</v>
      </c>
      <c r="C2375">
        <v>80</v>
      </c>
      <c r="D2375">
        <v>79.981796265</v>
      </c>
      <c r="E2375">
        <v>40</v>
      </c>
      <c r="F2375">
        <v>39.796234130999999</v>
      </c>
      <c r="G2375">
        <v>1340.8977050999999</v>
      </c>
      <c r="H2375">
        <v>1337.9918213000001</v>
      </c>
      <c r="I2375">
        <v>1324.9104004000001</v>
      </c>
      <c r="J2375">
        <v>1322.3607178</v>
      </c>
      <c r="K2375">
        <v>2750</v>
      </c>
      <c r="L2375">
        <v>0</v>
      </c>
      <c r="M2375">
        <v>0</v>
      </c>
      <c r="N2375">
        <v>2750</v>
      </c>
    </row>
    <row r="2376" spans="1:14" x14ac:dyDescent="0.25">
      <c r="A2376">
        <v>1466.7308599999999</v>
      </c>
      <c r="B2376" s="1">
        <f>DATE(2014,5,6) + TIME(17,32,26)</f>
        <v>41765.730856481481</v>
      </c>
      <c r="C2376">
        <v>80</v>
      </c>
      <c r="D2376">
        <v>79.981796265</v>
      </c>
      <c r="E2376">
        <v>40</v>
      </c>
      <c r="F2376">
        <v>39.791145325000002</v>
      </c>
      <c r="G2376">
        <v>1340.8908690999999</v>
      </c>
      <c r="H2376">
        <v>1337.9895019999999</v>
      </c>
      <c r="I2376">
        <v>1324.9100341999999</v>
      </c>
      <c r="J2376">
        <v>1322.3602295000001</v>
      </c>
      <c r="K2376">
        <v>2750</v>
      </c>
      <c r="L2376">
        <v>0</v>
      </c>
      <c r="M2376">
        <v>0</v>
      </c>
      <c r="N2376">
        <v>2750</v>
      </c>
    </row>
    <row r="2377" spans="1:14" x14ac:dyDescent="0.25">
      <c r="A2377">
        <v>1466.9096099999999</v>
      </c>
      <c r="B2377" s="1">
        <f>DATE(2014,5,6) + TIME(21,49,50)</f>
        <v>41765.90960648148</v>
      </c>
      <c r="C2377">
        <v>80</v>
      </c>
      <c r="D2377">
        <v>79.981796265</v>
      </c>
      <c r="E2377">
        <v>40</v>
      </c>
      <c r="F2377">
        <v>39.786018372000001</v>
      </c>
      <c r="G2377">
        <v>1340.8837891000001</v>
      </c>
      <c r="H2377">
        <v>1337.9871826000001</v>
      </c>
      <c r="I2377">
        <v>1324.909668</v>
      </c>
      <c r="J2377">
        <v>1322.3597411999999</v>
      </c>
      <c r="K2377">
        <v>2750</v>
      </c>
      <c r="L2377">
        <v>0</v>
      </c>
      <c r="M2377">
        <v>0</v>
      </c>
      <c r="N2377">
        <v>2750</v>
      </c>
    </row>
    <row r="2378" spans="1:14" x14ac:dyDescent="0.25">
      <c r="A2378">
        <v>1467.090512</v>
      </c>
      <c r="B2378" s="1">
        <f>DATE(2014,5,7) + TIME(2,10,20)</f>
        <v>41766.090509259258</v>
      </c>
      <c r="C2378">
        <v>80</v>
      </c>
      <c r="D2378">
        <v>79.981781006000006</v>
      </c>
      <c r="E2378">
        <v>40</v>
      </c>
      <c r="F2378">
        <v>39.780849457000002</v>
      </c>
      <c r="G2378">
        <v>1340.8767089999999</v>
      </c>
      <c r="H2378">
        <v>1337.9847411999999</v>
      </c>
      <c r="I2378">
        <v>1324.9093018000001</v>
      </c>
      <c r="J2378">
        <v>1322.3591309000001</v>
      </c>
      <c r="K2378">
        <v>2750</v>
      </c>
      <c r="L2378">
        <v>0</v>
      </c>
      <c r="M2378">
        <v>0</v>
      </c>
      <c r="N2378">
        <v>2750</v>
      </c>
    </row>
    <row r="2379" spans="1:14" x14ac:dyDescent="0.25">
      <c r="A2379">
        <v>1467.2739859999999</v>
      </c>
      <c r="B2379" s="1">
        <f>DATE(2014,5,7) + TIME(6,34,32)</f>
        <v>41766.273981481485</v>
      </c>
      <c r="C2379">
        <v>80</v>
      </c>
      <c r="D2379">
        <v>79.981773376000007</v>
      </c>
      <c r="E2379">
        <v>40</v>
      </c>
      <c r="F2379">
        <v>39.775634766000003</v>
      </c>
      <c r="G2379">
        <v>1340.8695068</v>
      </c>
      <c r="H2379">
        <v>1337.9822998</v>
      </c>
      <c r="I2379">
        <v>1324.9089355000001</v>
      </c>
      <c r="J2379">
        <v>1322.3586425999999</v>
      </c>
      <c r="K2379">
        <v>2750</v>
      </c>
      <c r="L2379">
        <v>0</v>
      </c>
      <c r="M2379">
        <v>0</v>
      </c>
      <c r="N2379">
        <v>2750</v>
      </c>
    </row>
    <row r="2380" spans="1:14" x14ac:dyDescent="0.25">
      <c r="A2380">
        <v>1467.460464</v>
      </c>
      <c r="B2380" s="1">
        <f>DATE(2014,5,7) + TIME(11,3,4)</f>
        <v>41766.460462962961</v>
      </c>
      <c r="C2380">
        <v>80</v>
      </c>
      <c r="D2380">
        <v>79.981758118000002</v>
      </c>
      <c r="E2380">
        <v>40</v>
      </c>
      <c r="F2380">
        <v>39.770362853999998</v>
      </c>
      <c r="G2380">
        <v>1340.8623047000001</v>
      </c>
      <c r="H2380">
        <v>1337.9798584</v>
      </c>
      <c r="I2380">
        <v>1324.9085693</v>
      </c>
      <c r="J2380">
        <v>1322.3581543</v>
      </c>
      <c r="K2380">
        <v>2750</v>
      </c>
      <c r="L2380">
        <v>0</v>
      </c>
      <c r="M2380">
        <v>0</v>
      </c>
      <c r="N2380">
        <v>2750</v>
      </c>
    </row>
    <row r="2381" spans="1:14" x14ac:dyDescent="0.25">
      <c r="A2381">
        <v>1467.650402</v>
      </c>
      <c r="B2381" s="1">
        <f>DATE(2014,5,7) + TIME(15,36,34)</f>
        <v>41766.650393518517</v>
      </c>
      <c r="C2381">
        <v>80</v>
      </c>
      <c r="D2381">
        <v>79.981735228999995</v>
      </c>
      <c r="E2381">
        <v>40</v>
      </c>
      <c r="F2381">
        <v>39.765022278000004</v>
      </c>
      <c r="G2381">
        <v>1340.8551024999999</v>
      </c>
      <c r="H2381">
        <v>1337.9774170000001</v>
      </c>
      <c r="I2381">
        <v>1324.9082031</v>
      </c>
      <c r="J2381">
        <v>1322.3575439000001</v>
      </c>
      <c r="K2381">
        <v>2750</v>
      </c>
      <c r="L2381">
        <v>0</v>
      </c>
      <c r="M2381">
        <v>0</v>
      </c>
      <c r="N2381">
        <v>2750</v>
      </c>
    </row>
    <row r="2382" spans="1:14" x14ac:dyDescent="0.25">
      <c r="A2382">
        <v>1467.8442849999999</v>
      </c>
      <c r="B2382" s="1">
        <f>DATE(2014,5,7) + TIME(20,15,46)</f>
        <v>41766.844282407408</v>
      </c>
      <c r="C2382">
        <v>80</v>
      </c>
      <c r="D2382">
        <v>79.981719971000004</v>
      </c>
      <c r="E2382">
        <v>40</v>
      </c>
      <c r="F2382">
        <v>39.759605407999999</v>
      </c>
      <c r="G2382">
        <v>1340.8477783000001</v>
      </c>
      <c r="H2382">
        <v>1337.9749756000001</v>
      </c>
      <c r="I2382">
        <v>1324.9078368999999</v>
      </c>
      <c r="J2382">
        <v>1322.3570557</v>
      </c>
      <c r="K2382">
        <v>2750</v>
      </c>
      <c r="L2382">
        <v>0</v>
      </c>
      <c r="M2382">
        <v>0</v>
      </c>
      <c r="N2382">
        <v>2750</v>
      </c>
    </row>
    <row r="2383" spans="1:14" x14ac:dyDescent="0.25">
      <c r="A2383">
        <v>1468.0426319999999</v>
      </c>
      <c r="B2383" s="1">
        <f>DATE(2014,5,8) + TIME(1,1,23)</f>
        <v>41767.042627314811</v>
      </c>
      <c r="C2383">
        <v>80</v>
      </c>
      <c r="D2383">
        <v>79.981697083</v>
      </c>
      <c r="E2383">
        <v>40</v>
      </c>
      <c r="F2383">
        <v>39.754104613999999</v>
      </c>
      <c r="G2383">
        <v>1340.8404541</v>
      </c>
      <c r="H2383">
        <v>1337.9724120999999</v>
      </c>
      <c r="I2383">
        <v>1324.9074707</v>
      </c>
      <c r="J2383">
        <v>1322.3564452999999</v>
      </c>
      <c r="K2383">
        <v>2750</v>
      </c>
      <c r="L2383">
        <v>0</v>
      </c>
      <c r="M2383">
        <v>0</v>
      </c>
      <c r="N2383">
        <v>2750</v>
      </c>
    </row>
    <row r="2384" spans="1:14" x14ac:dyDescent="0.25">
      <c r="A2384">
        <v>1468.246011</v>
      </c>
      <c r="B2384" s="1">
        <f>DATE(2014,5,8) + TIME(5,54,15)</f>
        <v>41767.246006944442</v>
      </c>
      <c r="C2384">
        <v>80</v>
      </c>
      <c r="D2384">
        <v>79.981674193999993</v>
      </c>
      <c r="E2384">
        <v>40</v>
      </c>
      <c r="F2384">
        <v>39.748500823999997</v>
      </c>
      <c r="G2384">
        <v>1340.8330077999999</v>
      </c>
      <c r="H2384">
        <v>1337.9698486</v>
      </c>
      <c r="I2384">
        <v>1324.9071045000001</v>
      </c>
      <c r="J2384">
        <v>1322.3558350000001</v>
      </c>
      <c r="K2384">
        <v>2750</v>
      </c>
      <c r="L2384">
        <v>0</v>
      </c>
      <c r="M2384">
        <v>0</v>
      </c>
      <c r="N2384">
        <v>2750</v>
      </c>
    </row>
    <row r="2385" spans="1:14" x14ac:dyDescent="0.25">
      <c r="A2385">
        <v>1468.453096</v>
      </c>
      <c r="B2385" s="1">
        <f>DATE(2014,5,8) + TIME(10,52,27)</f>
        <v>41767.453090277777</v>
      </c>
      <c r="C2385">
        <v>80</v>
      </c>
      <c r="D2385">
        <v>79.981643676999994</v>
      </c>
      <c r="E2385">
        <v>40</v>
      </c>
      <c r="F2385">
        <v>39.742824554000002</v>
      </c>
      <c r="G2385">
        <v>1340.8254394999999</v>
      </c>
      <c r="H2385">
        <v>1337.9672852000001</v>
      </c>
      <c r="I2385">
        <v>1324.9067382999999</v>
      </c>
      <c r="J2385">
        <v>1322.3553466999999</v>
      </c>
      <c r="K2385">
        <v>2750</v>
      </c>
      <c r="L2385">
        <v>0</v>
      </c>
      <c r="M2385">
        <v>0</v>
      </c>
      <c r="N2385">
        <v>2750</v>
      </c>
    </row>
    <row r="2386" spans="1:14" x14ac:dyDescent="0.25">
      <c r="A2386">
        <v>1468.66416</v>
      </c>
      <c r="B2386" s="1">
        <f>DATE(2014,5,8) + TIME(15,56,23)</f>
        <v>41767.664155092592</v>
      </c>
      <c r="C2386">
        <v>80</v>
      </c>
      <c r="D2386">
        <v>79.981620789000004</v>
      </c>
      <c r="E2386">
        <v>40</v>
      </c>
      <c r="F2386">
        <v>39.737075806</v>
      </c>
      <c r="G2386">
        <v>1340.8178711</v>
      </c>
      <c r="H2386">
        <v>1337.9647216999999</v>
      </c>
      <c r="I2386">
        <v>1324.90625</v>
      </c>
      <c r="J2386">
        <v>1322.3547363</v>
      </c>
      <c r="K2386">
        <v>2750</v>
      </c>
      <c r="L2386">
        <v>0</v>
      </c>
      <c r="M2386">
        <v>0</v>
      </c>
      <c r="N2386">
        <v>2750</v>
      </c>
    </row>
    <row r="2387" spans="1:14" x14ac:dyDescent="0.25">
      <c r="A2387">
        <v>1468.8797139999999</v>
      </c>
      <c r="B2387" s="1">
        <f>DATE(2014,5,8) + TIME(21,6,47)</f>
        <v>41767.879710648151</v>
      </c>
      <c r="C2387">
        <v>80</v>
      </c>
      <c r="D2387">
        <v>79.981590271000002</v>
      </c>
      <c r="E2387">
        <v>40</v>
      </c>
      <c r="F2387">
        <v>39.731239318999997</v>
      </c>
      <c r="G2387">
        <v>1340.8103027</v>
      </c>
      <c r="H2387">
        <v>1337.9621582</v>
      </c>
      <c r="I2387">
        <v>1324.9058838000001</v>
      </c>
      <c r="J2387">
        <v>1322.354126</v>
      </c>
      <c r="K2387">
        <v>2750</v>
      </c>
      <c r="L2387">
        <v>0</v>
      </c>
      <c r="M2387">
        <v>0</v>
      </c>
      <c r="N2387">
        <v>2750</v>
      </c>
    </row>
    <row r="2388" spans="1:14" x14ac:dyDescent="0.25">
      <c r="A2388">
        <v>1469.100308</v>
      </c>
      <c r="B2388" s="1">
        <f>DATE(2014,5,9) + TIME(2,24,26)</f>
        <v>41768.100300925929</v>
      </c>
      <c r="C2388">
        <v>80</v>
      </c>
      <c r="D2388">
        <v>79.981559752999999</v>
      </c>
      <c r="E2388">
        <v>40</v>
      </c>
      <c r="F2388">
        <v>39.725307465</v>
      </c>
      <c r="G2388">
        <v>1340.8026123</v>
      </c>
      <c r="H2388">
        <v>1337.9595947</v>
      </c>
      <c r="I2388">
        <v>1324.9053954999999</v>
      </c>
      <c r="J2388">
        <v>1322.3533935999999</v>
      </c>
      <c r="K2388">
        <v>2750</v>
      </c>
      <c r="L2388">
        <v>0</v>
      </c>
      <c r="M2388">
        <v>0</v>
      </c>
      <c r="N2388">
        <v>2750</v>
      </c>
    </row>
    <row r="2389" spans="1:14" x14ac:dyDescent="0.25">
      <c r="A2389">
        <v>1469.3265409999999</v>
      </c>
      <c r="B2389" s="1">
        <f>DATE(2014,5,9) + TIME(7,50,13)</f>
        <v>41768.326539351852</v>
      </c>
      <c r="C2389">
        <v>80</v>
      </c>
      <c r="D2389">
        <v>79.981536864999995</v>
      </c>
      <c r="E2389">
        <v>40</v>
      </c>
      <c r="F2389">
        <v>39.719268798999998</v>
      </c>
      <c r="G2389">
        <v>1340.7949219</v>
      </c>
      <c r="H2389">
        <v>1337.9570312000001</v>
      </c>
      <c r="I2389">
        <v>1324.9050293</v>
      </c>
      <c r="J2389">
        <v>1322.3527832</v>
      </c>
      <c r="K2389">
        <v>2750</v>
      </c>
      <c r="L2389">
        <v>0</v>
      </c>
      <c r="M2389">
        <v>0</v>
      </c>
      <c r="N2389">
        <v>2750</v>
      </c>
    </row>
    <row r="2390" spans="1:14" x14ac:dyDescent="0.25">
      <c r="A2390">
        <v>1469.5590589999999</v>
      </c>
      <c r="B2390" s="1">
        <f>DATE(2014,5,9) + TIME(13,25,2)</f>
        <v>41768.559050925927</v>
      </c>
      <c r="C2390">
        <v>80</v>
      </c>
      <c r="D2390">
        <v>79.981506347999996</v>
      </c>
      <c r="E2390">
        <v>40</v>
      </c>
      <c r="F2390">
        <v>39.713108063</v>
      </c>
      <c r="G2390">
        <v>1340.7871094</v>
      </c>
      <c r="H2390">
        <v>1337.9543457</v>
      </c>
      <c r="I2390">
        <v>1324.9045410000001</v>
      </c>
      <c r="J2390">
        <v>1322.3520507999999</v>
      </c>
      <c r="K2390">
        <v>2750</v>
      </c>
      <c r="L2390">
        <v>0</v>
      </c>
      <c r="M2390">
        <v>0</v>
      </c>
      <c r="N2390">
        <v>2750</v>
      </c>
    </row>
    <row r="2391" spans="1:14" x14ac:dyDescent="0.25">
      <c r="A2391">
        <v>1469.7994080000001</v>
      </c>
      <c r="B2391" s="1">
        <f>DATE(2014,5,9) + TIME(19,11,8)</f>
        <v>41768.799398148149</v>
      </c>
      <c r="C2391">
        <v>80</v>
      </c>
      <c r="D2391">
        <v>79.981475829999994</v>
      </c>
      <c r="E2391">
        <v>40</v>
      </c>
      <c r="F2391">
        <v>39.706798552999999</v>
      </c>
      <c r="G2391">
        <v>1340.7792969</v>
      </c>
      <c r="H2391">
        <v>1337.9517822</v>
      </c>
      <c r="I2391">
        <v>1324.9040527</v>
      </c>
      <c r="J2391">
        <v>1322.3514404</v>
      </c>
      <c r="K2391">
        <v>2750</v>
      </c>
      <c r="L2391">
        <v>0</v>
      </c>
      <c r="M2391">
        <v>0</v>
      </c>
      <c r="N2391">
        <v>2750</v>
      </c>
    </row>
    <row r="2392" spans="1:14" x14ac:dyDescent="0.25">
      <c r="A2392">
        <v>1470.0492549999999</v>
      </c>
      <c r="B2392" s="1">
        <f>DATE(2014,5,10) + TIME(1,10,55)</f>
        <v>41769.049247685187</v>
      </c>
      <c r="C2392">
        <v>80</v>
      </c>
      <c r="D2392">
        <v>79.981437682999996</v>
      </c>
      <c r="E2392">
        <v>40</v>
      </c>
      <c r="F2392">
        <v>39.700302123999997</v>
      </c>
      <c r="G2392">
        <v>1340.7713623</v>
      </c>
      <c r="H2392">
        <v>1337.9490966999999</v>
      </c>
      <c r="I2392">
        <v>1324.9035644999999</v>
      </c>
      <c r="J2392">
        <v>1322.3507079999999</v>
      </c>
      <c r="K2392">
        <v>2750</v>
      </c>
      <c r="L2392">
        <v>0</v>
      </c>
      <c r="M2392">
        <v>0</v>
      </c>
      <c r="N2392">
        <v>2750</v>
      </c>
    </row>
    <row r="2393" spans="1:14" x14ac:dyDescent="0.25">
      <c r="A2393">
        <v>1470.3074369999999</v>
      </c>
      <c r="B2393" s="1">
        <f>DATE(2014,5,10) + TIME(7,22,42)</f>
        <v>41769.307430555556</v>
      </c>
      <c r="C2393">
        <v>80</v>
      </c>
      <c r="D2393">
        <v>79.981407165999997</v>
      </c>
      <c r="E2393">
        <v>40</v>
      </c>
      <c r="F2393">
        <v>39.693637848000002</v>
      </c>
      <c r="G2393">
        <v>1340.7631836</v>
      </c>
      <c r="H2393">
        <v>1337.9464111</v>
      </c>
      <c r="I2393">
        <v>1324.9030762</v>
      </c>
      <c r="J2393">
        <v>1322.3499756000001</v>
      </c>
      <c r="K2393">
        <v>2750</v>
      </c>
      <c r="L2393">
        <v>0</v>
      </c>
      <c r="M2393">
        <v>0</v>
      </c>
      <c r="N2393">
        <v>2750</v>
      </c>
    </row>
    <row r="2394" spans="1:14" x14ac:dyDescent="0.25">
      <c r="A2394">
        <v>1470.569837</v>
      </c>
      <c r="B2394" s="1">
        <f>DATE(2014,5,10) + TIME(13,40,33)</f>
        <v>41769.569826388892</v>
      </c>
      <c r="C2394">
        <v>80</v>
      </c>
      <c r="D2394">
        <v>79.981376647999994</v>
      </c>
      <c r="E2394">
        <v>40</v>
      </c>
      <c r="F2394">
        <v>39.686889647999998</v>
      </c>
      <c r="G2394">
        <v>1340.7550048999999</v>
      </c>
      <c r="H2394">
        <v>1337.9437256000001</v>
      </c>
      <c r="I2394">
        <v>1324.9025879000001</v>
      </c>
      <c r="J2394">
        <v>1322.3491211</v>
      </c>
      <c r="K2394">
        <v>2750</v>
      </c>
      <c r="L2394">
        <v>0</v>
      </c>
      <c r="M2394">
        <v>0</v>
      </c>
      <c r="N2394">
        <v>2750</v>
      </c>
    </row>
    <row r="2395" spans="1:14" x14ac:dyDescent="0.25">
      <c r="A2395">
        <v>1470.837119</v>
      </c>
      <c r="B2395" s="1">
        <f>DATE(2014,5,10) + TIME(20,5,27)</f>
        <v>41769.837118055555</v>
      </c>
      <c r="C2395">
        <v>80</v>
      </c>
      <c r="D2395">
        <v>79.981338500999996</v>
      </c>
      <c r="E2395">
        <v>40</v>
      </c>
      <c r="F2395">
        <v>39.680049896</v>
      </c>
      <c r="G2395">
        <v>1340.7468262</v>
      </c>
      <c r="H2395">
        <v>1337.9410399999999</v>
      </c>
      <c r="I2395">
        <v>1324.9019774999999</v>
      </c>
      <c r="J2395">
        <v>1322.3483887</v>
      </c>
      <c r="K2395">
        <v>2750</v>
      </c>
      <c r="L2395">
        <v>0</v>
      </c>
      <c r="M2395">
        <v>0</v>
      </c>
      <c r="N2395">
        <v>2750</v>
      </c>
    </row>
    <row r="2396" spans="1:14" x14ac:dyDescent="0.25">
      <c r="A2396">
        <v>1471.1099220000001</v>
      </c>
      <c r="B2396" s="1">
        <f>DATE(2014,5,11) + TIME(2,38,17)</f>
        <v>41770.109918981485</v>
      </c>
      <c r="C2396">
        <v>80</v>
      </c>
      <c r="D2396">
        <v>79.981307982999994</v>
      </c>
      <c r="E2396">
        <v>40</v>
      </c>
      <c r="F2396">
        <v>39.673110962000003</v>
      </c>
      <c r="G2396">
        <v>1340.7386475000001</v>
      </c>
      <c r="H2396">
        <v>1337.9383545000001</v>
      </c>
      <c r="I2396">
        <v>1324.9014893000001</v>
      </c>
      <c r="J2396">
        <v>1322.3475341999999</v>
      </c>
      <c r="K2396">
        <v>2750</v>
      </c>
      <c r="L2396">
        <v>0</v>
      </c>
      <c r="M2396">
        <v>0</v>
      </c>
      <c r="N2396">
        <v>2750</v>
      </c>
    </row>
    <row r="2397" spans="1:14" x14ac:dyDescent="0.25">
      <c r="A2397">
        <v>1471.388948</v>
      </c>
      <c r="B2397" s="1">
        <f>DATE(2014,5,11) + TIME(9,20,5)</f>
        <v>41770.38894675926</v>
      </c>
      <c r="C2397">
        <v>80</v>
      </c>
      <c r="D2397">
        <v>79.981269835999996</v>
      </c>
      <c r="E2397">
        <v>40</v>
      </c>
      <c r="F2397">
        <v>39.666057586999997</v>
      </c>
      <c r="G2397">
        <v>1340.7304687999999</v>
      </c>
      <c r="H2397">
        <v>1337.9356689000001</v>
      </c>
      <c r="I2397">
        <v>1324.9008789</v>
      </c>
      <c r="J2397">
        <v>1322.3466797000001</v>
      </c>
      <c r="K2397">
        <v>2750</v>
      </c>
      <c r="L2397">
        <v>0</v>
      </c>
      <c r="M2397">
        <v>0</v>
      </c>
      <c r="N2397">
        <v>2750</v>
      </c>
    </row>
    <row r="2398" spans="1:14" x14ac:dyDescent="0.25">
      <c r="A2398">
        <v>1471.67182</v>
      </c>
      <c r="B2398" s="1">
        <f>DATE(2014,5,11) + TIME(16,7,25)</f>
        <v>41770.671817129631</v>
      </c>
      <c r="C2398">
        <v>80</v>
      </c>
      <c r="D2398">
        <v>79.981239318999997</v>
      </c>
      <c r="E2398">
        <v>40</v>
      </c>
      <c r="F2398">
        <v>39.658943176000001</v>
      </c>
      <c r="G2398">
        <v>1340.7222899999999</v>
      </c>
      <c r="H2398">
        <v>1337.9329834</v>
      </c>
      <c r="I2398">
        <v>1324.9002685999999</v>
      </c>
      <c r="J2398">
        <v>1322.3458252</v>
      </c>
      <c r="K2398">
        <v>2750</v>
      </c>
      <c r="L2398">
        <v>0</v>
      </c>
      <c r="M2398">
        <v>0</v>
      </c>
      <c r="N2398">
        <v>2750</v>
      </c>
    </row>
    <row r="2399" spans="1:14" x14ac:dyDescent="0.25">
      <c r="A2399">
        <v>1471.9576770000001</v>
      </c>
      <c r="B2399" s="1">
        <f>DATE(2014,5,11) + TIME(22,59,3)</f>
        <v>41770.957673611112</v>
      </c>
      <c r="C2399">
        <v>80</v>
      </c>
      <c r="D2399">
        <v>79.981201171999999</v>
      </c>
      <c r="E2399">
        <v>40</v>
      </c>
      <c r="F2399">
        <v>39.651786803999997</v>
      </c>
      <c r="G2399">
        <v>1340.7142334</v>
      </c>
      <c r="H2399">
        <v>1337.9304199000001</v>
      </c>
      <c r="I2399">
        <v>1324.8996582</v>
      </c>
      <c r="J2399">
        <v>1322.3449707</v>
      </c>
      <c r="K2399">
        <v>2750</v>
      </c>
      <c r="L2399">
        <v>0</v>
      </c>
      <c r="M2399">
        <v>0</v>
      </c>
      <c r="N2399">
        <v>2750</v>
      </c>
    </row>
    <row r="2400" spans="1:14" x14ac:dyDescent="0.25">
      <c r="A2400">
        <v>1472.247296</v>
      </c>
      <c r="B2400" s="1">
        <f>DATE(2014,5,12) + TIME(5,56,6)</f>
        <v>41771.247291666667</v>
      </c>
      <c r="C2400">
        <v>80</v>
      </c>
      <c r="D2400">
        <v>79.981170653999996</v>
      </c>
      <c r="E2400">
        <v>40</v>
      </c>
      <c r="F2400">
        <v>39.644577026</v>
      </c>
      <c r="G2400">
        <v>1340.7061768000001</v>
      </c>
      <c r="H2400">
        <v>1337.9278564000001</v>
      </c>
      <c r="I2400">
        <v>1324.8990478999999</v>
      </c>
      <c r="J2400">
        <v>1322.3439940999999</v>
      </c>
      <c r="K2400">
        <v>2750</v>
      </c>
      <c r="L2400">
        <v>0</v>
      </c>
      <c r="M2400">
        <v>0</v>
      </c>
      <c r="N2400">
        <v>2750</v>
      </c>
    </row>
    <row r="2401" spans="1:14" x14ac:dyDescent="0.25">
      <c r="A2401">
        <v>1472.541457</v>
      </c>
      <c r="B2401" s="1">
        <f>DATE(2014,5,12) + TIME(12,59,41)</f>
        <v>41771.541446759256</v>
      </c>
      <c r="C2401">
        <v>80</v>
      </c>
      <c r="D2401">
        <v>79.981132506999998</v>
      </c>
      <c r="E2401">
        <v>40</v>
      </c>
      <c r="F2401">
        <v>39.637306213000002</v>
      </c>
      <c r="G2401">
        <v>1340.6982422000001</v>
      </c>
      <c r="H2401">
        <v>1337.925293</v>
      </c>
      <c r="I2401">
        <v>1324.8984375</v>
      </c>
      <c r="J2401">
        <v>1322.3431396000001</v>
      </c>
      <c r="K2401">
        <v>2750</v>
      </c>
      <c r="L2401">
        <v>0</v>
      </c>
      <c r="M2401">
        <v>0</v>
      </c>
      <c r="N2401">
        <v>2750</v>
      </c>
    </row>
    <row r="2402" spans="1:14" x14ac:dyDescent="0.25">
      <c r="A2402">
        <v>1472.8409770000001</v>
      </c>
      <c r="B2402" s="1">
        <f>DATE(2014,5,12) + TIME(20,11,0)</f>
        <v>41771.84097222222</v>
      </c>
      <c r="C2402">
        <v>80</v>
      </c>
      <c r="D2402">
        <v>79.981101989999999</v>
      </c>
      <c r="E2402">
        <v>40</v>
      </c>
      <c r="F2402">
        <v>39.629962921000001</v>
      </c>
      <c r="G2402">
        <v>1340.6903076000001</v>
      </c>
      <c r="H2402">
        <v>1337.9227295000001</v>
      </c>
      <c r="I2402">
        <v>1324.8978271000001</v>
      </c>
      <c r="J2402">
        <v>1322.3421631000001</v>
      </c>
      <c r="K2402">
        <v>2750</v>
      </c>
      <c r="L2402">
        <v>0</v>
      </c>
      <c r="M2402">
        <v>0</v>
      </c>
      <c r="N2402">
        <v>2750</v>
      </c>
    </row>
    <row r="2403" spans="1:14" x14ac:dyDescent="0.25">
      <c r="A2403">
        <v>1473.146459</v>
      </c>
      <c r="B2403" s="1">
        <f>DATE(2014,5,13) + TIME(3,30,54)</f>
        <v>41772.146458333336</v>
      </c>
      <c r="C2403">
        <v>80</v>
      </c>
      <c r="D2403">
        <v>79.981063843000001</v>
      </c>
      <c r="E2403">
        <v>40</v>
      </c>
      <c r="F2403">
        <v>39.622531891000001</v>
      </c>
      <c r="G2403">
        <v>1340.6824951000001</v>
      </c>
      <c r="H2403">
        <v>1337.9202881000001</v>
      </c>
      <c r="I2403">
        <v>1324.8972168</v>
      </c>
      <c r="J2403">
        <v>1322.3411865</v>
      </c>
      <c r="K2403">
        <v>2750</v>
      </c>
      <c r="L2403">
        <v>0</v>
      </c>
      <c r="M2403">
        <v>0</v>
      </c>
      <c r="N2403">
        <v>2750</v>
      </c>
    </row>
    <row r="2404" spans="1:14" x14ac:dyDescent="0.25">
      <c r="A2404">
        <v>1473.459646</v>
      </c>
      <c r="B2404" s="1">
        <f>DATE(2014,5,13) + TIME(11,1,53)</f>
        <v>41772.459641203706</v>
      </c>
      <c r="C2404">
        <v>80</v>
      </c>
      <c r="D2404">
        <v>79.981025696000003</v>
      </c>
      <c r="E2404">
        <v>40</v>
      </c>
      <c r="F2404">
        <v>39.614990233999997</v>
      </c>
      <c r="G2404">
        <v>1340.6745605000001</v>
      </c>
      <c r="H2404">
        <v>1337.9178466999999</v>
      </c>
      <c r="I2404">
        <v>1324.8966064000001</v>
      </c>
      <c r="J2404">
        <v>1322.3402100000001</v>
      </c>
      <c r="K2404">
        <v>2750</v>
      </c>
      <c r="L2404">
        <v>0</v>
      </c>
      <c r="M2404">
        <v>0</v>
      </c>
      <c r="N2404">
        <v>2750</v>
      </c>
    </row>
    <row r="2405" spans="1:14" x14ac:dyDescent="0.25">
      <c r="A2405">
        <v>1473.7823860000001</v>
      </c>
      <c r="B2405" s="1">
        <f>DATE(2014,5,13) + TIME(18,46,38)</f>
        <v>41772.782384259262</v>
      </c>
      <c r="C2405">
        <v>80</v>
      </c>
      <c r="D2405">
        <v>79.980995178000001</v>
      </c>
      <c r="E2405">
        <v>40</v>
      </c>
      <c r="F2405">
        <v>39.607299804999997</v>
      </c>
      <c r="G2405">
        <v>1340.6667480000001</v>
      </c>
      <c r="H2405">
        <v>1337.9154053</v>
      </c>
      <c r="I2405">
        <v>1324.895874</v>
      </c>
      <c r="J2405">
        <v>1322.3392334</v>
      </c>
      <c r="K2405">
        <v>2750</v>
      </c>
      <c r="L2405">
        <v>0</v>
      </c>
      <c r="M2405">
        <v>0</v>
      </c>
      <c r="N2405">
        <v>2750</v>
      </c>
    </row>
    <row r="2406" spans="1:14" x14ac:dyDescent="0.25">
      <c r="A2406">
        <v>1474.1111189999999</v>
      </c>
      <c r="B2406" s="1">
        <f>DATE(2014,5,14) + TIME(2,40,0)</f>
        <v>41773.111111111109</v>
      </c>
      <c r="C2406">
        <v>80</v>
      </c>
      <c r="D2406">
        <v>79.980957031000003</v>
      </c>
      <c r="E2406">
        <v>40</v>
      </c>
      <c r="F2406">
        <v>39.599517822000003</v>
      </c>
      <c r="G2406">
        <v>1340.6588135</v>
      </c>
      <c r="H2406">
        <v>1337.9129639</v>
      </c>
      <c r="I2406">
        <v>1324.8951416</v>
      </c>
      <c r="J2406">
        <v>1322.3381348</v>
      </c>
      <c r="K2406">
        <v>2750</v>
      </c>
      <c r="L2406">
        <v>0</v>
      </c>
      <c r="M2406">
        <v>0</v>
      </c>
      <c r="N2406">
        <v>2750</v>
      </c>
    </row>
    <row r="2407" spans="1:14" x14ac:dyDescent="0.25">
      <c r="A2407">
        <v>1474.443677</v>
      </c>
      <c r="B2407" s="1">
        <f>DATE(2014,5,14) + TIME(10,38,53)</f>
        <v>41773.443668981483</v>
      </c>
      <c r="C2407">
        <v>80</v>
      </c>
      <c r="D2407">
        <v>79.980926514000004</v>
      </c>
      <c r="E2407">
        <v>40</v>
      </c>
      <c r="F2407">
        <v>39.591682433999999</v>
      </c>
      <c r="G2407">
        <v>1340.6508789</v>
      </c>
      <c r="H2407">
        <v>1337.9105225000001</v>
      </c>
      <c r="I2407">
        <v>1324.8944091999999</v>
      </c>
      <c r="J2407">
        <v>1322.3370361</v>
      </c>
      <c r="K2407">
        <v>2750</v>
      </c>
      <c r="L2407">
        <v>0</v>
      </c>
      <c r="M2407">
        <v>0</v>
      </c>
      <c r="N2407">
        <v>2750</v>
      </c>
    </row>
    <row r="2408" spans="1:14" x14ac:dyDescent="0.25">
      <c r="A2408">
        <v>1474.780788</v>
      </c>
      <c r="B2408" s="1">
        <f>DATE(2014,5,14) + TIME(18,44,20)</f>
        <v>41773.780787037038</v>
      </c>
      <c r="C2408">
        <v>80</v>
      </c>
      <c r="D2408">
        <v>79.980888367000006</v>
      </c>
      <c r="E2408">
        <v>40</v>
      </c>
      <c r="F2408">
        <v>39.583793640000003</v>
      </c>
      <c r="G2408">
        <v>1340.6430664</v>
      </c>
      <c r="H2408">
        <v>1337.9082031</v>
      </c>
      <c r="I2408">
        <v>1324.8936768000001</v>
      </c>
      <c r="J2408">
        <v>1322.3359375</v>
      </c>
      <c r="K2408">
        <v>2750</v>
      </c>
      <c r="L2408">
        <v>0</v>
      </c>
      <c r="M2408">
        <v>0</v>
      </c>
      <c r="N2408">
        <v>2750</v>
      </c>
    </row>
    <row r="2409" spans="1:14" x14ac:dyDescent="0.25">
      <c r="A2409">
        <v>1475.123296</v>
      </c>
      <c r="B2409" s="1">
        <f>DATE(2014,5,15) + TIME(2,57,32)</f>
        <v>41774.123287037037</v>
      </c>
      <c r="C2409">
        <v>80</v>
      </c>
      <c r="D2409">
        <v>79.980850219999994</v>
      </c>
      <c r="E2409">
        <v>40</v>
      </c>
      <c r="F2409">
        <v>39.575839995999999</v>
      </c>
      <c r="G2409">
        <v>1340.635376</v>
      </c>
      <c r="H2409">
        <v>1337.9058838000001</v>
      </c>
      <c r="I2409">
        <v>1324.8929443</v>
      </c>
      <c r="J2409">
        <v>1322.3348389</v>
      </c>
      <c r="K2409">
        <v>2750</v>
      </c>
      <c r="L2409">
        <v>0</v>
      </c>
      <c r="M2409">
        <v>0</v>
      </c>
      <c r="N2409">
        <v>2750</v>
      </c>
    </row>
    <row r="2410" spans="1:14" x14ac:dyDescent="0.25">
      <c r="A2410">
        <v>1475.4720809999999</v>
      </c>
      <c r="B2410" s="1">
        <f>DATE(2014,5,15) + TIME(11,19,47)</f>
        <v>41774.472071759257</v>
      </c>
      <c r="C2410">
        <v>80</v>
      </c>
      <c r="D2410">
        <v>79.980819702000005</v>
      </c>
      <c r="E2410">
        <v>40</v>
      </c>
      <c r="F2410">
        <v>39.567810059000003</v>
      </c>
      <c r="G2410">
        <v>1340.6275635</v>
      </c>
      <c r="H2410">
        <v>1337.9035644999999</v>
      </c>
      <c r="I2410">
        <v>1324.8920897999999</v>
      </c>
      <c r="J2410">
        <v>1322.3336182</v>
      </c>
      <c r="K2410">
        <v>2750</v>
      </c>
      <c r="L2410">
        <v>0</v>
      </c>
      <c r="M2410">
        <v>0</v>
      </c>
      <c r="N2410">
        <v>2750</v>
      </c>
    </row>
    <row r="2411" spans="1:14" x14ac:dyDescent="0.25">
      <c r="A2411">
        <v>1475.828082</v>
      </c>
      <c r="B2411" s="1">
        <f>DATE(2014,5,15) + TIME(19,52,26)</f>
        <v>41774.8280787037</v>
      </c>
      <c r="C2411">
        <v>80</v>
      </c>
      <c r="D2411">
        <v>79.980781554999993</v>
      </c>
      <c r="E2411">
        <v>40</v>
      </c>
      <c r="F2411">
        <v>39.559692382999998</v>
      </c>
      <c r="G2411">
        <v>1340.6199951000001</v>
      </c>
      <c r="H2411">
        <v>1337.9012451000001</v>
      </c>
      <c r="I2411">
        <v>1324.8913574000001</v>
      </c>
      <c r="J2411">
        <v>1322.3323975000001</v>
      </c>
      <c r="K2411">
        <v>2750</v>
      </c>
      <c r="L2411">
        <v>0</v>
      </c>
      <c r="M2411">
        <v>0</v>
      </c>
      <c r="N2411">
        <v>2750</v>
      </c>
    </row>
    <row r="2412" spans="1:14" x14ac:dyDescent="0.25">
      <c r="A2412">
        <v>1476.192364</v>
      </c>
      <c r="B2412" s="1">
        <f>DATE(2014,5,16) + TIME(4,37,0)</f>
        <v>41775.192361111112</v>
      </c>
      <c r="C2412">
        <v>80</v>
      </c>
      <c r="D2412">
        <v>79.980751037999994</v>
      </c>
      <c r="E2412">
        <v>40</v>
      </c>
      <c r="F2412">
        <v>39.551467895999998</v>
      </c>
      <c r="G2412">
        <v>1340.6123047000001</v>
      </c>
      <c r="H2412">
        <v>1337.8989257999999</v>
      </c>
      <c r="I2412">
        <v>1324.8905029</v>
      </c>
      <c r="J2412">
        <v>1322.3311768000001</v>
      </c>
      <c r="K2412">
        <v>2750</v>
      </c>
      <c r="L2412">
        <v>0</v>
      </c>
      <c r="M2412">
        <v>0</v>
      </c>
      <c r="N2412">
        <v>2750</v>
      </c>
    </row>
    <row r="2413" spans="1:14" x14ac:dyDescent="0.25">
      <c r="A2413">
        <v>1476.5674730000001</v>
      </c>
      <c r="B2413" s="1">
        <f>DATE(2014,5,16) + TIME(13,37,9)</f>
        <v>41775.567465277774</v>
      </c>
      <c r="C2413">
        <v>80</v>
      </c>
      <c r="D2413">
        <v>79.980712890999996</v>
      </c>
      <c r="E2413">
        <v>40</v>
      </c>
      <c r="F2413">
        <v>39.543098450000002</v>
      </c>
      <c r="G2413">
        <v>1340.6046143000001</v>
      </c>
      <c r="H2413">
        <v>1337.8966064000001</v>
      </c>
      <c r="I2413">
        <v>1324.8896483999999</v>
      </c>
      <c r="J2413">
        <v>1322.3298339999999</v>
      </c>
      <c r="K2413">
        <v>2750</v>
      </c>
      <c r="L2413">
        <v>0</v>
      </c>
      <c r="M2413">
        <v>0</v>
      </c>
      <c r="N2413">
        <v>2750</v>
      </c>
    </row>
    <row r="2414" spans="1:14" x14ac:dyDescent="0.25">
      <c r="A2414">
        <v>1476.9568839999999</v>
      </c>
      <c r="B2414" s="1">
        <f>DATE(2014,5,16) + TIME(22,57,54)</f>
        <v>41775.956875000003</v>
      </c>
      <c r="C2414">
        <v>80</v>
      </c>
      <c r="D2414">
        <v>79.980674743999998</v>
      </c>
      <c r="E2414">
        <v>40</v>
      </c>
      <c r="F2414">
        <v>39.534526825</v>
      </c>
      <c r="G2414">
        <v>1340.5969238</v>
      </c>
      <c r="H2414">
        <v>1337.8944091999999</v>
      </c>
      <c r="I2414">
        <v>1324.8887939000001</v>
      </c>
      <c r="J2414">
        <v>1322.3284911999999</v>
      </c>
      <c r="K2414">
        <v>2750</v>
      </c>
      <c r="L2414">
        <v>0</v>
      </c>
      <c r="M2414">
        <v>0</v>
      </c>
      <c r="N2414">
        <v>2750</v>
      </c>
    </row>
    <row r="2415" spans="1:14" x14ac:dyDescent="0.25">
      <c r="A2415">
        <v>1477.353085</v>
      </c>
      <c r="B2415" s="1">
        <f>DATE(2014,5,17) + TIME(8,28,26)</f>
        <v>41776.353078703702</v>
      </c>
      <c r="C2415">
        <v>80</v>
      </c>
      <c r="D2415">
        <v>79.980644225999995</v>
      </c>
      <c r="E2415">
        <v>40</v>
      </c>
      <c r="F2415">
        <v>39.525856017999999</v>
      </c>
      <c r="G2415">
        <v>1340.5891113</v>
      </c>
      <c r="H2415">
        <v>1337.8920897999999</v>
      </c>
      <c r="I2415">
        <v>1324.8878173999999</v>
      </c>
      <c r="J2415">
        <v>1322.3271483999999</v>
      </c>
      <c r="K2415">
        <v>2750</v>
      </c>
      <c r="L2415">
        <v>0</v>
      </c>
      <c r="M2415">
        <v>0</v>
      </c>
      <c r="N2415">
        <v>2750</v>
      </c>
    </row>
    <row r="2416" spans="1:14" x14ac:dyDescent="0.25">
      <c r="A2416">
        <v>1477.751937</v>
      </c>
      <c r="B2416" s="1">
        <f>DATE(2014,5,17) + TIME(18,2,47)</f>
        <v>41776.751932870371</v>
      </c>
      <c r="C2416">
        <v>80</v>
      </c>
      <c r="D2416">
        <v>79.980606078999998</v>
      </c>
      <c r="E2416">
        <v>40</v>
      </c>
      <c r="F2416">
        <v>39.517154693999998</v>
      </c>
      <c r="G2416">
        <v>1340.5814209</v>
      </c>
      <c r="H2416">
        <v>1337.8897704999999</v>
      </c>
      <c r="I2416">
        <v>1324.8869629000001</v>
      </c>
      <c r="J2416">
        <v>1322.3256836</v>
      </c>
      <c r="K2416">
        <v>2750</v>
      </c>
      <c r="L2416">
        <v>0</v>
      </c>
      <c r="M2416">
        <v>0</v>
      </c>
      <c r="N2416">
        <v>2750</v>
      </c>
    </row>
    <row r="2417" spans="1:14" x14ac:dyDescent="0.25">
      <c r="A2417">
        <v>1478.1544940000001</v>
      </c>
      <c r="B2417" s="1">
        <f>DATE(2014,5,18) + TIME(3,42,28)</f>
        <v>41777.154490740744</v>
      </c>
      <c r="C2417">
        <v>80</v>
      </c>
      <c r="D2417">
        <v>79.980567932</v>
      </c>
      <c r="E2417">
        <v>40</v>
      </c>
      <c r="F2417">
        <v>39.508426665999998</v>
      </c>
      <c r="G2417">
        <v>1340.5737305</v>
      </c>
      <c r="H2417">
        <v>1337.8875731999999</v>
      </c>
      <c r="I2417">
        <v>1324.8859863</v>
      </c>
      <c r="J2417">
        <v>1322.3242187999999</v>
      </c>
      <c r="K2417">
        <v>2750</v>
      </c>
      <c r="L2417">
        <v>0</v>
      </c>
      <c r="M2417">
        <v>0</v>
      </c>
      <c r="N2417">
        <v>2750</v>
      </c>
    </row>
    <row r="2418" spans="1:14" x14ac:dyDescent="0.25">
      <c r="A2418">
        <v>1478.56197</v>
      </c>
      <c r="B2418" s="1">
        <f>DATE(2014,5,18) + TIME(13,29,14)</f>
        <v>41777.561967592592</v>
      </c>
      <c r="C2418">
        <v>80</v>
      </c>
      <c r="D2418">
        <v>79.980537415000001</v>
      </c>
      <c r="E2418">
        <v>40</v>
      </c>
      <c r="F2418">
        <v>39.499668120999999</v>
      </c>
      <c r="G2418">
        <v>1340.5661620999999</v>
      </c>
      <c r="H2418">
        <v>1337.885376</v>
      </c>
      <c r="I2418">
        <v>1324.8850098</v>
      </c>
      <c r="J2418">
        <v>1322.3227539</v>
      </c>
      <c r="K2418">
        <v>2750</v>
      </c>
      <c r="L2418">
        <v>0</v>
      </c>
      <c r="M2418">
        <v>0</v>
      </c>
      <c r="N2418">
        <v>2750</v>
      </c>
    </row>
    <row r="2419" spans="1:14" x14ac:dyDescent="0.25">
      <c r="A2419">
        <v>1478.9756090000001</v>
      </c>
      <c r="B2419" s="1">
        <f>DATE(2014,5,18) + TIME(23,24,52)</f>
        <v>41777.975601851853</v>
      </c>
      <c r="C2419">
        <v>80</v>
      </c>
      <c r="D2419">
        <v>79.980499268000003</v>
      </c>
      <c r="E2419">
        <v>40</v>
      </c>
      <c r="F2419">
        <v>39.490867614999999</v>
      </c>
      <c r="G2419">
        <v>1340.5587158000001</v>
      </c>
      <c r="H2419">
        <v>1337.8831786999999</v>
      </c>
      <c r="I2419">
        <v>1324.8839111</v>
      </c>
      <c r="J2419">
        <v>1322.3211670000001</v>
      </c>
      <c r="K2419">
        <v>2750</v>
      </c>
      <c r="L2419">
        <v>0</v>
      </c>
      <c r="M2419">
        <v>0</v>
      </c>
      <c r="N2419">
        <v>2750</v>
      </c>
    </row>
    <row r="2420" spans="1:14" x14ac:dyDescent="0.25">
      <c r="A2420">
        <v>1479.3979859999999</v>
      </c>
      <c r="B2420" s="1">
        <f>DATE(2014,5,19) + TIME(9,33,5)</f>
        <v>41778.397974537038</v>
      </c>
      <c r="C2420">
        <v>80</v>
      </c>
      <c r="D2420">
        <v>79.98046875</v>
      </c>
      <c r="E2420">
        <v>40</v>
      </c>
      <c r="F2420">
        <v>39.481986999999997</v>
      </c>
      <c r="G2420">
        <v>1340.5512695</v>
      </c>
      <c r="H2420">
        <v>1337.8811035000001</v>
      </c>
      <c r="I2420">
        <v>1324.8829346</v>
      </c>
      <c r="J2420">
        <v>1322.3195800999999</v>
      </c>
      <c r="K2420">
        <v>2750</v>
      </c>
      <c r="L2420">
        <v>0</v>
      </c>
      <c r="M2420">
        <v>0</v>
      </c>
      <c r="N2420">
        <v>2750</v>
      </c>
    </row>
    <row r="2421" spans="1:14" x14ac:dyDescent="0.25">
      <c r="A2421">
        <v>1479.833175</v>
      </c>
      <c r="B2421" s="1">
        <f>DATE(2014,5,19) + TIME(19,59,46)</f>
        <v>41778.833171296297</v>
      </c>
      <c r="C2421">
        <v>80</v>
      </c>
      <c r="D2421">
        <v>79.980430603000002</v>
      </c>
      <c r="E2421">
        <v>40</v>
      </c>
      <c r="F2421">
        <v>39.472969055</v>
      </c>
      <c r="G2421">
        <v>1340.5438231999999</v>
      </c>
      <c r="H2421">
        <v>1337.8789062000001</v>
      </c>
      <c r="I2421">
        <v>1324.8818358999999</v>
      </c>
      <c r="J2421">
        <v>1322.3179932</v>
      </c>
      <c r="K2421">
        <v>2750</v>
      </c>
      <c r="L2421">
        <v>0</v>
      </c>
      <c r="M2421">
        <v>0</v>
      </c>
      <c r="N2421">
        <v>2750</v>
      </c>
    </row>
    <row r="2422" spans="1:14" x14ac:dyDescent="0.25">
      <c r="A2422">
        <v>1480.2833370000001</v>
      </c>
      <c r="B2422" s="1">
        <f>DATE(2014,5,20) + TIME(6,48,0)</f>
        <v>41779.283333333333</v>
      </c>
      <c r="C2422">
        <v>80</v>
      </c>
      <c r="D2422">
        <v>79.980400084999999</v>
      </c>
      <c r="E2422">
        <v>40</v>
      </c>
      <c r="F2422">
        <v>39.463779449</v>
      </c>
      <c r="G2422">
        <v>1340.5363769999999</v>
      </c>
      <c r="H2422">
        <v>1337.8767089999999</v>
      </c>
      <c r="I2422">
        <v>1324.8807373</v>
      </c>
      <c r="J2422">
        <v>1322.3162841999999</v>
      </c>
      <c r="K2422">
        <v>2750</v>
      </c>
      <c r="L2422">
        <v>0</v>
      </c>
      <c r="M2422">
        <v>0</v>
      </c>
      <c r="N2422">
        <v>2750</v>
      </c>
    </row>
    <row r="2423" spans="1:14" x14ac:dyDescent="0.25">
      <c r="A2423">
        <v>1480.750947</v>
      </c>
      <c r="B2423" s="1">
        <f>DATE(2014,5,20) + TIME(18,1,21)</f>
        <v>41779.750937500001</v>
      </c>
      <c r="C2423">
        <v>80</v>
      </c>
      <c r="D2423">
        <v>79.980361938000001</v>
      </c>
      <c r="E2423">
        <v>40</v>
      </c>
      <c r="F2423">
        <v>39.454380035</v>
      </c>
      <c r="G2423">
        <v>1340.5288086</v>
      </c>
      <c r="H2423">
        <v>1337.8745117000001</v>
      </c>
      <c r="I2423">
        <v>1324.8796387</v>
      </c>
      <c r="J2423">
        <v>1322.3144531</v>
      </c>
      <c r="K2423">
        <v>2750</v>
      </c>
      <c r="L2423">
        <v>0</v>
      </c>
      <c r="M2423">
        <v>0</v>
      </c>
      <c r="N2423">
        <v>2750</v>
      </c>
    </row>
    <row r="2424" spans="1:14" x14ac:dyDescent="0.25">
      <c r="A2424">
        <v>1481.2285890000001</v>
      </c>
      <c r="B2424" s="1">
        <f>DATE(2014,5,21) + TIME(5,29,10)</f>
        <v>41780.228587962964</v>
      </c>
      <c r="C2424">
        <v>80</v>
      </c>
      <c r="D2424">
        <v>79.980323791999993</v>
      </c>
      <c r="E2424">
        <v>40</v>
      </c>
      <c r="F2424">
        <v>39.444847107000001</v>
      </c>
      <c r="G2424">
        <v>1340.5211182</v>
      </c>
      <c r="H2424">
        <v>1337.8723144999999</v>
      </c>
      <c r="I2424">
        <v>1324.878418</v>
      </c>
      <c r="J2424">
        <v>1322.3126221</v>
      </c>
      <c r="K2424">
        <v>2750</v>
      </c>
      <c r="L2424">
        <v>0</v>
      </c>
      <c r="M2424">
        <v>0</v>
      </c>
      <c r="N2424">
        <v>2750</v>
      </c>
    </row>
    <row r="2425" spans="1:14" x14ac:dyDescent="0.25">
      <c r="A2425">
        <v>1481.70858</v>
      </c>
      <c r="B2425" s="1">
        <f>DATE(2014,5,21) + TIME(17,0,21)</f>
        <v>41780.70857638889</v>
      </c>
      <c r="C2425">
        <v>80</v>
      </c>
      <c r="D2425">
        <v>79.980293274000005</v>
      </c>
      <c r="E2425">
        <v>40</v>
      </c>
      <c r="F2425">
        <v>39.435291290000002</v>
      </c>
      <c r="G2425">
        <v>1340.5134277</v>
      </c>
      <c r="H2425">
        <v>1337.8701172000001</v>
      </c>
      <c r="I2425">
        <v>1324.8770752</v>
      </c>
      <c r="J2425">
        <v>1322.3106689000001</v>
      </c>
      <c r="K2425">
        <v>2750</v>
      </c>
      <c r="L2425">
        <v>0</v>
      </c>
      <c r="M2425">
        <v>0</v>
      </c>
      <c r="N2425">
        <v>2750</v>
      </c>
    </row>
    <row r="2426" spans="1:14" x14ac:dyDescent="0.25">
      <c r="A2426">
        <v>1482.192358</v>
      </c>
      <c r="B2426" s="1">
        <f>DATE(2014,5,22) + TIME(4,36,59)</f>
        <v>41781.192349537036</v>
      </c>
      <c r="C2426">
        <v>80</v>
      </c>
      <c r="D2426">
        <v>79.980255127000007</v>
      </c>
      <c r="E2426">
        <v>40</v>
      </c>
      <c r="F2426">
        <v>39.425731659</v>
      </c>
      <c r="G2426">
        <v>1340.5058594</v>
      </c>
      <c r="H2426">
        <v>1337.8680420000001</v>
      </c>
      <c r="I2426">
        <v>1324.8758545000001</v>
      </c>
      <c r="J2426">
        <v>1322.3085937999999</v>
      </c>
      <c r="K2426">
        <v>2750</v>
      </c>
      <c r="L2426">
        <v>0</v>
      </c>
      <c r="M2426">
        <v>0</v>
      </c>
      <c r="N2426">
        <v>2750</v>
      </c>
    </row>
    <row r="2427" spans="1:14" x14ac:dyDescent="0.25">
      <c r="A2427">
        <v>1482.6814999999999</v>
      </c>
      <c r="B2427" s="1">
        <f>DATE(2014,5,22) + TIME(16,21,21)</f>
        <v>41781.681493055556</v>
      </c>
      <c r="C2427">
        <v>80</v>
      </c>
      <c r="D2427">
        <v>79.980224609000004</v>
      </c>
      <c r="E2427">
        <v>40</v>
      </c>
      <c r="F2427">
        <v>39.416168212999999</v>
      </c>
      <c r="G2427">
        <v>1340.4984131000001</v>
      </c>
      <c r="H2427">
        <v>1337.8658447</v>
      </c>
      <c r="I2427">
        <v>1324.8745117000001</v>
      </c>
      <c r="J2427">
        <v>1322.3066406</v>
      </c>
      <c r="K2427">
        <v>2750</v>
      </c>
      <c r="L2427">
        <v>0</v>
      </c>
      <c r="M2427">
        <v>0</v>
      </c>
      <c r="N2427">
        <v>2750</v>
      </c>
    </row>
    <row r="2428" spans="1:14" x14ac:dyDescent="0.25">
      <c r="A2428">
        <v>1483.1772860000001</v>
      </c>
      <c r="B2428" s="1">
        <f>DATE(2014,5,23) + TIME(4,15,17)</f>
        <v>41782.17728009259</v>
      </c>
      <c r="C2428">
        <v>80</v>
      </c>
      <c r="D2428">
        <v>79.980186462000006</v>
      </c>
      <c r="E2428">
        <v>40</v>
      </c>
      <c r="F2428">
        <v>39.406585692999997</v>
      </c>
      <c r="G2428">
        <v>1340.4910889</v>
      </c>
      <c r="H2428">
        <v>1337.8637695</v>
      </c>
      <c r="I2428">
        <v>1324.8731689000001</v>
      </c>
      <c r="J2428">
        <v>1322.3044434000001</v>
      </c>
      <c r="K2428">
        <v>2750</v>
      </c>
      <c r="L2428">
        <v>0</v>
      </c>
      <c r="M2428">
        <v>0</v>
      </c>
      <c r="N2428">
        <v>2750</v>
      </c>
    </row>
    <row r="2429" spans="1:14" x14ac:dyDescent="0.25">
      <c r="A2429">
        <v>1483.6812299999999</v>
      </c>
      <c r="B2429" s="1">
        <f>DATE(2014,5,23) + TIME(16,20,58)</f>
        <v>41782.681226851855</v>
      </c>
      <c r="C2429">
        <v>80</v>
      </c>
      <c r="D2429">
        <v>79.980148314999994</v>
      </c>
      <c r="E2429">
        <v>40</v>
      </c>
      <c r="F2429">
        <v>39.396976471000002</v>
      </c>
      <c r="G2429">
        <v>1340.4837646000001</v>
      </c>
      <c r="H2429">
        <v>1337.8616943</v>
      </c>
      <c r="I2429">
        <v>1324.8718262</v>
      </c>
      <c r="J2429">
        <v>1322.3023682</v>
      </c>
      <c r="K2429">
        <v>2750</v>
      </c>
      <c r="L2429">
        <v>0</v>
      </c>
      <c r="M2429">
        <v>0</v>
      </c>
      <c r="N2429">
        <v>2750</v>
      </c>
    </row>
    <row r="2430" spans="1:14" x14ac:dyDescent="0.25">
      <c r="A2430">
        <v>1484.1951959999999</v>
      </c>
      <c r="B2430" s="1">
        <f>DATE(2014,5,24) + TIME(4,41,4)</f>
        <v>41783.195185185185</v>
      </c>
      <c r="C2430">
        <v>80</v>
      </c>
      <c r="D2430">
        <v>79.980117797999995</v>
      </c>
      <c r="E2430">
        <v>40</v>
      </c>
      <c r="F2430">
        <v>39.387317656999997</v>
      </c>
      <c r="G2430">
        <v>1340.4764404</v>
      </c>
      <c r="H2430">
        <v>1337.8596190999999</v>
      </c>
      <c r="I2430">
        <v>1324.8703613</v>
      </c>
      <c r="J2430">
        <v>1322.3000488</v>
      </c>
      <c r="K2430">
        <v>2750</v>
      </c>
      <c r="L2430">
        <v>0</v>
      </c>
      <c r="M2430">
        <v>0</v>
      </c>
      <c r="N2430">
        <v>2750</v>
      </c>
    </row>
    <row r="2431" spans="1:14" x14ac:dyDescent="0.25">
      <c r="A2431">
        <v>1484.7210319999999</v>
      </c>
      <c r="B2431" s="1">
        <f>DATE(2014,5,24) + TIME(17,18,17)</f>
        <v>41783.721030092594</v>
      </c>
      <c r="C2431">
        <v>80</v>
      </c>
      <c r="D2431">
        <v>79.980087280000006</v>
      </c>
      <c r="E2431">
        <v>40</v>
      </c>
      <c r="F2431">
        <v>39.377586364999999</v>
      </c>
      <c r="G2431">
        <v>1340.4691161999999</v>
      </c>
      <c r="H2431">
        <v>1337.8575439000001</v>
      </c>
      <c r="I2431">
        <v>1324.8688964999999</v>
      </c>
      <c r="J2431">
        <v>1322.2977295000001</v>
      </c>
      <c r="K2431">
        <v>2750</v>
      </c>
      <c r="L2431">
        <v>0</v>
      </c>
      <c r="M2431">
        <v>0</v>
      </c>
      <c r="N2431">
        <v>2750</v>
      </c>
    </row>
    <row r="2432" spans="1:14" x14ac:dyDescent="0.25">
      <c r="A2432">
        <v>1485.260925</v>
      </c>
      <c r="B2432" s="1">
        <f>DATE(2014,5,25) + TIME(6,15,43)</f>
        <v>41784.260914351849</v>
      </c>
      <c r="C2432">
        <v>80</v>
      </c>
      <c r="D2432">
        <v>79.980049132999994</v>
      </c>
      <c r="E2432">
        <v>40</v>
      </c>
      <c r="F2432">
        <v>39.367752074999999</v>
      </c>
      <c r="G2432">
        <v>1340.4619141000001</v>
      </c>
      <c r="H2432">
        <v>1337.8553466999999</v>
      </c>
      <c r="I2432">
        <v>1324.8674315999999</v>
      </c>
      <c r="J2432">
        <v>1322.2954102000001</v>
      </c>
      <c r="K2432">
        <v>2750</v>
      </c>
      <c r="L2432">
        <v>0</v>
      </c>
      <c r="M2432">
        <v>0</v>
      </c>
      <c r="N2432">
        <v>2750</v>
      </c>
    </row>
    <row r="2433" spans="1:14" x14ac:dyDescent="0.25">
      <c r="A2433">
        <v>1485.814085</v>
      </c>
      <c r="B2433" s="1">
        <f>DATE(2014,5,25) + TIME(19,32,16)</f>
        <v>41784.814074074071</v>
      </c>
      <c r="C2433">
        <v>80</v>
      </c>
      <c r="D2433">
        <v>79.980018615999995</v>
      </c>
      <c r="E2433">
        <v>40</v>
      </c>
      <c r="F2433">
        <v>39.357822417999998</v>
      </c>
      <c r="G2433">
        <v>1340.4545897999999</v>
      </c>
      <c r="H2433">
        <v>1337.8532714999999</v>
      </c>
      <c r="I2433">
        <v>1324.8658447</v>
      </c>
      <c r="J2433">
        <v>1322.2928466999999</v>
      </c>
      <c r="K2433">
        <v>2750</v>
      </c>
      <c r="L2433">
        <v>0</v>
      </c>
      <c r="M2433">
        <v>0</v>
      </c>
      <c r="N2433">
        <v>2750</v>
      </c>
    </row>
    <row r="2434" spans="1:14" x14ac:dyDescent="0.25">
      <c r="A2434">
        <v>1486.374476</v>
      </c>
      <c r="B2434" s="1">
        <f>DATE(2014,5,26) + TIME(8,59,14)</f>
        <v>41785.374467592592</v>
      </c>
      <c r="C2434">
        <v>80</v>
      </c>
      <c r="D2434">
        <v>79.979980468999997</v>
      </c>
      <c r="E2434">
        <v>40</v>
      </c>
      <c r="F2434">
        <v>39.347862243999998</v>
      </c>
      <c r="G2434">
        <v>1340.4471435999999</v>
      </c>
      <c r="H2434">
        <v>1337.8511963000001</v>
      </c>
      <c r="I2434">
        <v>1324.8641356999999</v>
      </c>
      <c r="J2434">
        <v>1322.2902832</v>
      </c>
      <c r="K2434">
        <v>2750</v>
      </c>
      <c r="L2434">
        <v>0</v>
      </c>
      <c r="M2434">
        <v>0</v>
      </c>
      <c r="N2434">
        <v>2750</v>
      </c>
    </row>
    <row r="2435" spans="1:14" x14ac:dyDescent="0.25">
      <c r="A2435">
        <v>1486.94569</v>
      </c>
      <c r="B2435" s="1">
        <f>DATE(2014,5,26) + TIME(22,41,47)</f>
        <v>41785.94568287037</v>
      </c>
      <c r="C2435">
        <v>80</v>
      </c>
      <c r="D2435">
        <v>79.979949950999995</v>
      </c>
      <c r="E2435">
        <v>40</v>
      </c>
      <c r="F2435">
        <v>39.337856293000002</v>
      </c>
      <c r="G2435">
        <v>1340.4399414</v>
      </c>
      <c r="H2435">
        <v>1337.848999</v>
      </c>
      <c r="I2435">
        <v>1324.8624268000001</v>
      </c>
      <c r="J2435">
        <v>1322.2875977000001</v>
      </c>
      <c r="K2435">
        <v>2750</v>
      </c>
      <c r="L2435">
        <v>0</v>
      </c>
      <c r="M2435">
        <v>0</v>
      </c>
      <c r="N2435">
        <v>2750</v>
      </c>
    </row>
    <row r="2436" spans="1:14" x14ac:dyDescent="0.25">
      <c r="A2436">
        <v>1487.5351680000001</v>
      </c>
      <c r="B2436" s="1">
        <f>DATE(2014,5,27) + TIME(12,50,38)</f>
        <v>41786.535162037035</v>
      </c>
      <c r="C2436">
        <v>80</v>
      </c>
      <c r="D2436">
        <v>79.979911803999997</v>
      </c>
      <c r="E2436">
        <v>40</v>
      </c>
      <c r="F2436">
        <v>39.327739716000004</v>
      </c>
      <c r="G2436">
        <v>1340.4326172000001</v>
      </c>
      <c r="H2436">
        <v>1337.8469238</v>
      </c>
      <c r="I2436">
        <v>1324.8607178</v>
      </c>
      <c r="J2436">
        <v>1322.2847899999999</v>
      </c>
      <c r="K2436">
        <v>2750</v>
      </c>
      <c r="L2436">
        <v>0</v>
      </c>
      <c r="M2436">
        <v>0</v>
      </c>
      <c r="N2436">
        <v>2750</v>
      </c>
    </row>
    <row r="2437" spans="1:14" x14ac:dyDescent="0.25">
      <c r="A2437">
        <v>1488.1351729999999</v>
      </c>
      <c r="B2437" s="1">
        <f>DATE(2014,5,28) + TIME(3,14,38)</f>
        <v>41787.135162037041</v>
      </c>
      <c r="C2437">
        <v>80</v>
      </c>
      <c r="D2437">
        <v>79.979881286999998</v>
      </c>
      <c r="E2437">
        <v>40</v>
      </c>
      <c r="F2437">
        <v>39.317573547000002</v>
      </c>
      <c r="G2437">
        <v>1340.4251709</v>
      </c>
      <c r="H2437">
        <v>1337.8447266000001</v>
      </c>
      <c r="I2437">
        <v>1324.8588867000001</v>
      </c>
      <c r="J2437">
        <v>1322.2818603999999</v>
      </c>
      <c r="K2437">
        <v>2750</v>
      </c>
      <c r="L2437">
        <v>0</v>
      </c>
      <c r="M2437">
        <v>0</v>
      </c>
      <c r="N2437">
        <v>2750</v>
      </c>
    </row>
    <row r="2438" spans="1:14" x14ac:dyDescent="0.25">
      <c r="A2438">
        <v>1488.7546299999999</v>
      </c>
      <c r="B2438" s="1">
        <f>DATE(2014,5,28) + TIME(18,6,39)</f>
        <v>41787.754618055558</v>
      </c>
      <c r="C2438">
        <v>80</v>
      </c>
      <c r="D2438">
        <v>79.97984314</v>
      </c>
      <c r="E2438">
        <v>40</v>
      </c>
      <c r="F2438">
        <v>39.307292938000003</v>
      </c>
      <c r="G2438">
        <v>1340.4178466999999</v>
      </c>
      <c r="H2438">
        <v>1337.8425293</v>
      </c>
      <c r="I2438">
        <v>1324.8569336</v>
      </c>
      <c r="J2438">
        <v>1322.2788086</v>
      </c>
      <c r="K2438">
        <v>2750</v>
      </c>
      <c r="L2438">
        <v>0</v>
      </c>
      <c r="M2438">
        <v>0</v>
      </c>
      <c r="N2438">
        <v>2750</v>
      </c>
    </row>
    <row r="2439" spans="1:14" x14ac:dyDescent="0.25">
      <c r="A2439">
        <v>1489.3969649999999</v>
      </c>
      <c r="B2439" s="1">
        <f>DATE(2014,5,29) + TIME(9,31,37)</f>
        <v>41788.396956018521</v>
      </c>
      <c r="C2439">
        <v>80</v>
      </c>
      <c r="D2439">
        <v>79.979812621999997</v>
      </c>
      <c r="E2439">
        <v>40</v>
      </c>
      <c r="F2439">
        <v>39.296863555999998</v>
      </c>
      <c r="G2439">
        <v>1340.4104004000001</v>
      </c>
      <c r="H2439">
        <v>1337.840332</v>
      </c>
      <c r="I2439">
        <v>1324.8549805</v>
      </c>
      <c r="J2439">
        <v>1322.2756348</v>
      </c>
      <c r="K2439">
        <v>2750</v>
      </c>
      <c r="L2439">
        <v>0</v>
      </c>
      <c r="M2439">
        <v>0</v>
      </c>
      <c r="N2439">
        <v>2750</v>
      </c>
    </row>
    <row r="2440" spans="1:14" x14ac:dyDescent="0.25">
      <c r="A2440">
        <v>1490.0662560000001</v>
      </c>
      <c r="B2440" s="1">
        <f>DATE(2014,5,30) + TIME(1,35,24)</f>
        <v>41789.066250000003</v>
      </c>
      <c r="C2440">
        <v>80</v>
      </c>
      <c r="D2440">
        <v>79.979782103999995</v>
      </c>
      <c r="E2440">
        <v>40</v>
      </c>
      <c r="F2440">
        <v>39.286239623999997</v>
      </c>
      <c r="G2440">
        <v>1340.402832</v>
      </c>
      <c r="H2440">
        <v>1337.8381348</v>
      </c>
      <c r="I2440">
        <v>1324.8529053</v>
      </c>
      <c r="J2440">
        <v>1322.2722168</v>
      </c>
      <c r="K2440">
        <v>2750</v>
      </c>
      <c r="L2440">
        <v>0</v>
      </c>
      <c r="M2440">
        <v>0</v>
      </c>
      <c r="N2440">
        <v>2750</v>
      </c>
    </row>
    <row r="2441" spans="1:14" x14ac:dyDescent="0.25">
      <c r="A2441">
        <v>1490.7569759999999</v>
      </c>
      <c r="B2441" s="1">
        <f>DATE(2014,5,30) + TIME(18,10,2)</f>
        <v>41789.756967592592</v>
      </c>
      <c r="C2441">
        <v>80</v>
      </c>
      <c r="D2441">
        <v>79.979743958</v>
      </c>
      <c r="E2441">
        <v>40</v>
      </c>
      <c r="F2441">
        <v>39.275466919000003</v>
      </c>
      <c r="G2441">
        <v>1340.3951416</v>
      </c>
      <c r="H2441">
        <v>1337.8358154</v>
      </c>
      <c r="I2441">
        <v>1324.8507079999999</v>
      </c>
      <c r="J2441">
        <v>1322.2686768000001</v>
      </c>
      <c r="K2441">
        <v>2750</v>
      </c>
      <c r="L2441">
        <v>0</v>
      </c>
      <c r="M2441">
        <v>0</v>
      </c>
      <c r="N2441">
        <v>2750</v>
      </c>
    </row>
    <row r="2442" spans="1:14" x14ac:dyDescent="0.25">
      <c r="A2442">
        <v>1491.456062</v>
      </c>
      <c r="B2442" s="1">
        <f>DATE(2014,5,31) + TIME(10,56,43)</f>
        <v>41790.456053240741</v>
      </c>
      <c r="C2442">
        <v>80</v>
      </c>
      <c r="D2442">
        <v>79.979705811000002</v>
      </c>
      <c r="E2442">
        <v>40</v>
      </c>
      <c r="F2442">
        <v>39.264671325999998</v>
      </c>
      <c r="G2442">
        <v>1340.3873291</v>
      </c>
      <c r="H2442">
        <v>1337.8334961</v>
      </c>
      <c r="I2442">
        <v>1324.8483887</v>
      </c>
      <c r="J2442">
        <v>1322.2648925999999</v>
      </c>
      <c r="K2442">
        <v>2750</v>
      </c>
      <c r="L2442">
        <v>0</v>
      </c>
      <c r="M2442">
        <v>0</v>
      </c>
      <c r="N2442">
        <v>2750</v>
      </c>
    </row>
    <row r="2443" spans="1:14" x14ac:dyDescent="0.25">
      <c r="A2443">
        <v>1492</v>
      </c>
      <c r="B2443" s="1">
        <f>DATE(2014,6,1) + TIME(0,0,0)</f>
        <v>41791</v>
      </c>
      <c r="C2443">
        <v>80</v>
      </c>
      <c r="D2443">
        <v>79.979675293</v>
      </c>
      <c r="E2443">
        <v>40</v>
      </c>
      <c r="F2443">
        <v>39.255363463999998</v>
      </c>
      <c r="G2443">
        <v>1340.3796387</v>
      </c>
      <c r="H2443">
        <v>1337.8310547000001</v>
      </c>
      <c r="I2443">
        <v>1324.8460693</v>
      </c>
      <c r="J2443">
        <v>1322.2611084</v>
      </c>
      <c r="K2443">
        <v>2750</v>
      </c>
      <c r="L2443">
        <v>0</v>
      </c>
      <c r="M2443">
        <v>0</v>
      </c>
      <c r="N2443">
        <v>2750</v>
      </c>
    </row>
    <row r="2444" spans="1:14" x14ac:dyDescent="0.25">
      <c r="A2444">
        <v>1492.710693</v>
      </c>
      <c r="B2444" s="1">
        <f>DATE(2014,6,1) + TIME(17,3,23)</f>
        <v>41791.710682870369</v>
      </c>
      <c r="C2444">
        <v>80</v>
      </c>
      <c r="D2444">
        <v>79.979644774999997</v>
      </c>
      <c r="E2444">
        <v>40</v>
      </c>
      <c r="F2444">
        <v>39.245204926</v>
      </c>
      <c r="G2444">
        <v>1340.3737793</v>
      </c>
      <c r="H2444">
        <v>1337.8293457</v>
      </c>
      <c r="I2444">
        <v>1324.8439940999999</v>
      </c>
      <c r="J2444">
        <v>1322.2578125</v>
      </c>
      <c r="K2444">
        <v>2750</v>
      </c>
      <c r="L2444">
        <v>0</v>
      </c>
      <c r="M2444">
        <v>0</v>
      </c>
      <c r="N2444">
        <v>2750</v>
      </c>
    </row>
    <row r="2445" spans="1:14" x14ac:dyDescent="0.25">
      <c r="A2445">
        <v>1493.430038</v>
      </c>
      <c r="B2445" s="1">
        <f>DATE(2014,6,2) + TIME(10,19,15)</f>
        <v>41792.430034722223</v>
      </c>
      <c r="C2445">
        <v>80</v>
      </c>
      <c r="D2445">
        <v>79.979614257999998</v>
      </c>
      <c r="E2445">
        <v>40</v>
      </c>
      <c r="F2445">
        <v>39.234912872000002</v>
      </c>
      <c r="G2445">
        <v>1340.3662108999999</v>
      </c>
      <c r="H2445">
        <v>1337.8269043</v>
      </c>
      <c r="I2445">
        <v>1324.8415527</v>
      </c>
      <c r="J2445">
        <v>1322.2537841999999</v>
      </c>
      <c r="K2445">
        <v>2750</v>
      </c>
      <c r="L2445">
        <v>0</v>
      </c>
      <c r="M2445">
        <v>0</v>
      </c>
      <c r="N2445">
        <v>2750</v>
      </c>
    </row>
    <row r="2446" spans="1:14" x14ac:dyDescent="0.25">
      <c r="A2446">
        <v>1494.1552360000001</v>
      </c>
      <c r="B2446" s="1">
        <f>DATE(2014,6,3) + TIME(3,43,32)</f>
        <v>41793.155231481483</v>
      </c>
      <c r="C2446">
        <v>80</v>
      </c>
      <c r="D2446">
        <v>79.979583739999995</v>
      </c>
      <c r="E2446">
        <v>40</v>
      </c>
      <c r="F2446">
        <v>39.224647521999998</v>
      </c>
      <c r="G2446">
        <v>1340.3586425999999</v>
      </c>
      <c r="H2446">
        <v>1337.8245850000001</v>
      </c>
      <c r="I2446">
        <v>1324.8389893000001</v>
      </c>
      <c r="J2446">
        <v>1322.2496338000001</v>
      </c>
      <c r="K2446">
        <v>2750</v>
      </c>
      <c r="L2446">
        <v>0</v>
      </c>
      <c r="M2446">
        <v>0</v>
      </c>
      <c r="N2446">
        <v>2750</v>
      </c>
    </row>
    <row r="2447" spans="1:14" x14ac:dyDescent="0.25">
      <c r="A2447">
        <v>1494.8891149999999</v>
      </c>
      <c r="B2447" s="1">
        <f>DATE(2014,6,3) + TIME(21,20,19)</f>
        <v>41793.889108796298</v>
      </c>
      <c r="C2447">
        <v>80</v>
      </c>
      <c r="D2447">
        <v>79.979545592999997</v>
      </c>
      <c r="E2447">
        <v>40</v>
      </c>
      <c r="F2447">
        <v>39.214469909999998</v>
      </c>
      <c r="G2447">
        <v>1340.3511963000001</v>
      </c>
      <c r="H2447">
        <v>1337.8222656</v>
      </c>
      <c r="I2447">
        <v>1324.8364257999999</v>
      </c>
      <c r="J2447">
        <v>1322.2452393000001</v>
      </c>
      <c r="K2447">
        <v>2750</v>
      </c>
      <c r="L2447">
        <v>0</v>
      </c>
      <c r="M2447">
        <v>0</v>
      </c>
      <c r="N2447">
        <v>2750</v>
      </c>
    </row>
    <row r="2448" spans="1:14" x14ac:dyDescent="0.25">
      <c r="A2448">
        <v>1495.633664</v>
      </c>
      <c r="B2448" s="1">
        <f>DATE(2014,6,4) + TIME(15,12,28)</f>
        <v>41794.633657407408</v>
      </c>
      <c r="C2448">
        <v>80</v>
      </c>
      <c r="D2448">
        <v>79.979515075999998</v>
      </c>
      <c r="E2448">
        <v>40</v>
      </c>
      <c r="F2448">
        <v>39.204414368000002</v>
      </c>
      <c r="G2448">
        <v>1340.3438721</v>
      </c>
      <c r="H2448">
        <v>1337.8199463000001</v>
      </c>
      <c r="I2448">
        <v>1324.8337402</v>
      </c>
      <c r="J2448">
        <v>1322.2408447</v>
      </c>
      <c r="K2448">
        <v>2750</v>
      </c>
      <c r="L2448">
        <v>0</v>
      </c>
      <c r="M2448">
        <v>0</v>
      </c>
      <c r="N2448">
        <v>2750</v>
      </c>
    </row>
    <row r="2449" spans="1:14" x14ac:dyDescent="0.25">
      <c r="A2449">
        <v>1496.388874</v>
      </c>
      <c r="B2449" s="1">
        <f>DATE(2014,6,5) + TIME(9,19,58)</f>
        <v>41795.388865740744</v>
      </c>
      <c r="C2449">
        <v>80</v>
      </c>
      <c r="D2449">
        <v>79.979484557999996</v>
      </c>
      <c r="E2449">
        <v>40</v>
      </c>
      <c r="F2449">
        <v>39.194503783999998</v>
      </c>
      <c r="G2449">
        <v>1340.3365478999999</v>
      </c>
      <c r="H2449">
        <v>1337.8176269999999</v>
      </c>
      <c r="I2449">
        <v>1324.8309326000001</v>
      </c>
      <c r="J2449">
        <v>1322.2362060999999</v>
      </c>
      <c r="K2449">
        <v>2750</v>
      </c>
      <c r="L2449">
        <v>0</v>
      </c>
      <c r="M2449">
        <v>0</v>
      </c>
      <c r="N2449">
        <v>2750</v>
      </c>
    </row>
    <row r="2450" spans="1:14" x14ac:dyDescent="0.25">
      <c r="A2450">
        <v>1497.158064</v>
      </c>
      <c r="B2450" s="1">
        <f>DATE(2014,6,6) + TIME(3,47,36)</f>
        <v>41796.158055555556</v>
      </c>
      <c r="C2450">
        <v>80</v>
      </c>
      <c r="D2450">
        <v>79.979454040999997</v>
      </c>
      <c r="E2450">
        <v>40</v>
      </c>
      <c r="F2450">
        <v>39.184745788999997</v>
      </c>
      <c r="G2450">
        <v>1340.3292236</v>
      </c>
      <c r="H2450">
        <v>1337.8151855000001</v>
      </c>
      <c r="I2450">
        <v>1324.828125</v>
      </c>
      <c r="J2450">
        <v>1322.2314452999999</v>
      </c>
      <c r="K2450">
        <v>2750</v>
      </c>
      <c r="L2450">
        <v>0</v>
      </c>
      <c r="M2450">
        <v>0</v>
      </c>
      <c r="N2450">
        <v>2750</v>
      </c>
    </row>
    <row r="2451" spans="1:14" x14ac:dyDescent="0.25">
      <c r="A2451">
        <v>1497.9535410000001</v>
      </c>
      <c r="B2451" s="1">
        <f>DATE(2014,6,6) + TIME(22,53,5)</f>
        <v>41796.953530092593</v>
      </c>
      <c r="C2451">
        <v>80</v>
      </c>
      <c r="D2451">
        <v>79.979423522999994</v>
      </c>
      <c r="E2451">
        <v>40</v>
      </c>
      <c r="F2451">
        <v>39.175075530999997</v>
      </c>
      <c r="G2451">
        <v>1340.3218993999999</v>
      </c>
      <c r="H2451">
        <v>1337.8128661999999</v>
      </c>
      <c r="I2451">
        <v>1324.8250731999999</v>
      </c>
      <c r="J2451">
        <v>1322.2265625</v>
      </c>
      <c r="K2451">
        <v>2750</v>
      </c>
      <c r="L2451">
        <v>0</v>
      </c>
      <c r="M2451">
        <v>0</v>
      </c>
      <c r="N2451">
        <v>2750</v>
      </c>
    </row>
    <row r="2452" spans="1:14" x14ac:dyDescent="0.25">
      <c r="A2452">
        <v>1498.7809689999999</v>
      </c>
      <c r="B2452" s="1">
        <f>DATE(2014,6,7) + TIME(18,44,35)</f>
        <v>41797.780960648146</v>
      </c>
      <c r="C2452">
        <v>80</v>
      </c>
      <c r="D2452">
        <v>79.979393005000006</v>
      </c>
      <c r="E2452">
        <v>40</v>
      </c>
      <c r="F2452">
        <v>39.165466309000003</v>
      </c>
      <c r="G2452">
        <v>1340.3145752</v>
      </c>
      <c r="H2452">
        <v>1337.8104248</v>
      </c>
      <c r="I2452">
        <v>1324.8220214999999</v>
      </c>
      <c r="J2452">
        <v>1322.2213135</v>
      </c>
      <c r="K2452">
        <v>2750</v>
      </c>
      <c r="L2452">
        <v>0</v>
      </c>
      <c r="M2452">
        <v>0</v>
      </c>
      <c r="N2452">
        <v>2750</v>
      </c>
    </row>
    <row r="2453" spans="1:14" x14ac:dyDescent="0.25">
      <c r="A2453">
        <v>1499.6434650000001</v>
      </c>
      <c r="B2453" s="1">
        <f>DATE(2014,6,8) + TIME(15,26,35)</f>
        <v>41798.643460648149</v>
      </c>
      <c r="C2453">
        <v>80</v>
      </c>
      <c r="D2453">
        <v>79.979362488000007</v>
      </c>
      <c r="E2453">
        <v>40</v>
      </c>
      <c r="F2453">
        <v>39.155910491999997</v>
      </c>
      <c r="G2453">
        <v>1340.3070068</v>
      </c>
      <c r="H2453">
        <v>1337.8078613</v>
      </c>
      <c r="I2453">
        <v>1324.8187256000001</v>
      </c>
      <c r="J2453">
        <v>1322.2158202999999</v>
      </c>
      <c r="K2453">
        <v>2750</v>
      </c>
      <c r="L2453">
        <v>0</v>
      </c>
      <c r="M2453">
        <v>0</v>
      </c>
      <c r="N2453">
        <v>2750</v>
      </c>
    </row>
    <row r="2454" spans="1:14" x14ac:dyDescent="0.25">
      <c r="A2454">
        <v>1500.5308500000001</v>
      </c>
      <c r="B2454" s="1">
        <f>DATE(2014,6,9) + TIME(12,44,25)</f>
        <v>41799.530844907407</v>
      </c>
      <c r="C2454">
        <v>80</v>
      </c>
      <c r="D2454">
        <v>79.979324340999995</v>
      </c>
      <c r="E2454">
        <v>40</v>
      </c>
      <c r="F2454">
        <v>39.146488189999999</v>
      </c>
      <c r="G2454">
        <v>1340.2993164</v>
      </c>
      <c r="H2454">
        <v>1337.8052978999999</v>
      </c>
      <c r="I2454">
        <v>1324.8153076000001</v>
      </c>
      <c r="J2454">
        <v>1322.2100829999999</v>
      </c>
      <c r="K2454">
        <v>2750</v>
      </c>
      <c r="L2454">
        <v>0</v>
      </c>
      <c r="M2454">
        <v>0</v>
      </c>
      <c r="N2454">
        <v>2750</v>
      </c>
    </row>
    <row r="2455" spans="1:14" x14ac:dyDescent="0.25">
      <c r="A2455">
        <v>1501.435015</v>
      </c>
      <c r="B2455" s="1">
        <f>DATE(2014,6,10) + TIME(10,26,25)</f>
        <v>41800.435011574074</v>
      </c>
      <c r="C2455">
        <v>80</v>
      </c>
      <c r="D2455">
        <v>79.979293823000006</v>
      </c>
      <c r="E2455">
        <v>40</v>
      </c>
      <c r="F2455">
        <v>39.137321471999996</v>
      </c>
      <c r="G2455">
        <v>1340.2915039</v>
      </c>
      <c r="H2455">
        <v>1337.8027344</v>
      </c>
      <c r="I2455">
        <v>1324.8117675999999</v>
      </c>
      <c r="J2455">
        <v>1322.2039795000001</v>
      </c>
      <c r="K2455">
        <v>2750</v>
      </c>
      <c r="L2455">
        <v>0</v>
      </c>
      <c r="M2455">
        <v>0</v>
      </c>
      <c r="N2455">
        <v>2750</v>
      </c>
    </row>
    <row r="2456" spans="1:14" x14ac:dyDescent="0.25">
      <c r="A2456">
        <v>1502.3457619999999</v>
      </c>
      <c r="B2456" s="1">
        <f>DATE(2014,6,11) + TIME(8,17,53)</f>
        <v>41801.345752314817</v>
      </c>
      <c r="C2456">
        <v>80</v>
      </c>
      <c r="D2456">
        <v>79.979263306000007</v>
      </c>
      <c r="E2456">
        <v>40</v>
      </c>
      <c r="F2456">
        <v>39.128543854</v>
      </c>
      <c r="G2456">
        <v>1340.2836914</v>
      </c>
      <c r="H2456">
        <v>1337.8000488</v>
      </c>
      <c r="I2456">
        <v>1324.8081055</v>
      </c>
      <c r="J2456">
        <v>1322.1977539</v>
      </c>
      <c r="K2456">
        <v>2750</v>
      </c>
      <c r="L2456">
        <v>0</v>
      </c>
      <c r="M2456">
        <v>0</v>
      </c>
      <c r="N2456">
        <v>2750</v>
      </c>
    </row>
    <row r="2457" spans="1:14" x14ac:dyDescent="0.25">
      <c r="A2457">
        <v>1503.268853</v>
      </c>
      <c r="B2457" s="1">
        <f>DATE(2014,6,12) + TIME(6,27,8)</f>
        <v>41802.268842592595</v>
      </c>
      <c r="C2457">
        <v>80</v>
      </c>
      <c r="D2457">
        <v>79.979232788000004</v>
      </c>
      <c r="E2457">
        <v>40</v>
      </c>
      <c r="F2457">
        <v>39.120231627999999</v>
      </c>
      <c r="G2457">
        <v>1340.276001</v>
      </c>
      <c r="H2457">
        <v>1337.7973632999999</v>
      </c>
      <c r="I2457">
        <v>1324.8043213000001</v>
      </c>
      <c r="J2457">
        <v>1322.1912841999999</v>
      </c>
      <c r="K2457">
        <v>2750</v>
      </c>
      <c r="L2457">
        <v>0</v>
      </c>
      <c r="M2457">
        <v>0</v>
      </c>
      <c r="N2457">
        <v>2750</v>
      </c>
    </row>
    <row r="2458" spans="1:14" x14ac:dyDescent="0.25">
      <c r="A2458">
        <v>1504.209885</v>
      </c>
      <c r="B2458" s="1">
        <f>DATE(2014,6,13) + TIME(5,2,14)</f>
        <v>41803.20988425926</v>
      </c>
      <c r="C2458">
        <v>80</v>
      </c>
      <c r="D2458">
        <v>79.979202271000005</v>
      </c>
      <c r="E2458">
        <v>40</v>
      </c>
      <c r="F2458">
        <v>39.112426757999998</v>
      </c>
      <c r="G2458">
        <v>1340.2684326000001</v>
      </c>
      <c r="H2458">
        <v>1337.7946777</v>
      </c>
      <c r="I2458">
        <v>1324.8004149999999</v>
      </c>
      <c r="J2458">
        <v>1322.1845702999999</v>
      </c>
      <c r="K2458">
        <v>2750</v>
      </c>
      <c r="L2458">
        <v>0</v>
      </c>
      <c r="M2458">
        <v>0</v>
      </c>
      <c r="N2458">
        <v>2750</v>
      </c>
    </row>
    <row r="2459" spans="1:14" x14ac:dyDescent="0.25">
      <c r="A2459">
        <v>1505.166948</v>
      </c>
      <c r="B2459" s="1">
        <f>DATE(2014,6,14) + TIME(4,0,24)</f>
        <v>41804.166944444441</v>
      </c>
      <c r="C2459">
        <v>80</v>
      </c>
      <c r="D2459">
        <v>79.979171753000003</v>
      </c>
      <c r="E2459">
        <v>40</v>
      </c>
      <c r="F2459">
        <v>39.105194091999998</v>
      </c>
      <c r="G2459">
        <v>1340.2607422000001</v>
      </c>
      <c r="H2459">
        <v>1337.7918701000001</v>
      </c>
      <c r="I2459">
        <v>1324.7965088000001</v>
      </c>
      <c r="J2459">
        <v>1322.1777344</v>
      </c>
      <c r="K2459">
        <v>2750</v>
      </c>
      <c r="L2459">
        <v>0</v>
      </c>
      <c r="M2459">
        <v>0</v>
      </c>
      <c r="N2459">
        <v>2750</v>
      </c>
    </row>
    <row r="2460" spans="1:14" x14ac:dyDescent="0.25">
      <c r="A2460">
        <v>1506.1322640000001</v>
      </c>
      <c r="B2460" s="1">
        <f>DATE(2014,6,15) + TIME(3,10,27)</f>
        <v>41805.132256944446</v>
      </c>
      <c r="C2460">
        <v>80</v>
      </c>
      <c r="D2460">
        <v>79.979141235</v>
      </c>
      <c r="E2460">
        <v>40</v>
      </c>
      <c r="F2460">
        <v>39.098636626999998</v>
      </c>
      <c r="G2460">
        <v>1340.2531738</v>
      </c>
      <c r="H2460">
        <v>1337.7891846</v>
      </c>
      <c r="I2460">
        <v>1324.7923584</v>
      </c>
      <c r="J2460">
        <v>1322.1706543</v>
      </c>
      <c r="K2460">
        <v>2750</v>
      </c>
      <c r="L2460">
        <v>0</v>
      </c>
      <c r="M2460">
        <v>0</v>
      </c>
      <c r="N2460">
        <v>2750</v>
      </c>
    </row>
    <row r="2461" spans="1:14" x14ac:dyDescent="0.25">
      <c r="A2461">
        <v>1507.1113700000001</v>
      </c>
      <c r="B2461" s="1">
        <f>DATE(2014,6,16) + TIME(2,40,22)</f>
        <v>41806.11136574074</v>
      </c>
      <c r="C2461">
        <v>80</v>
      </c>
      <c r="D2461">
        <v>79.979118346999996</v>
      </c>
      <c r="E2461">
        <v>40</v>
      </c>
      <c r="F2461">
        <v>39.092819214000002</v>
      </c>
      <c r="G2461">
        <v>1340.2456055</v>
      </c>
      <c r="H2461">
        <v>1337.7863769999999</v>
      </c>
      <c r="I2461">
        <v>1324.7882079999999</v>
      </c>
      <c r="J2461">
        <v>1322.1633300999999</v>
      </c>
      <c r="K2461">
        <v>2750</v>
      </c>
      <c r="L2461">
        <v>0</v>
      </c>
      <c r="M2461">
        <v>0</v>
      </c>
      <c r="N2461">
        <v>2750</v>
      </c>
    </row>
    <row r="2462" spans="1:14" x14ac:dyDescent="0.25">
      <c r="A2462">
        <v>1508.109183</v>
      </c>
      <c r="B2462" s="1">
        <f>DATE(2014,6,17) + TIME(2,37,13)</f>
        <v>41807.109178240738</v>
      </c>
      <c r="C2462">
        <v>80</v>
      </c>
      <c r="D2462">
        <v>79.979087829999997</v>
      </c>
      <c r="E2462">
        <v>40</v>
      </c>
      <c r="F2462">
        <v>39.087821959999999</v>
      </c>
      <c r="G2462">
        <v>1340.2380370999999</v>
      </c>
      <c r="H2462">
        <v>1337.7836914</v>
      </c>
      <c r="I2462">
        <v>1324.7839355000001</v>
      </c>
      <c r="J2462">
        <v>1322.1558838000001</v>
      </c>
      <c r="K2462">
        <v>2750</v>
      </c>
      <c r="L2462">
        <v>0</v>
      </c>
      <c r="M2462">
        <v>0</v>
      </c>
      <c r="N2462">
        <v>2750</v>
      </c>
    </row>
    <row r="2463" spans="1:14" x14ac:dyDescent="0.25">
      <c r="A2463">
        <v>1509.144004</v>
      </c>
      <c r="B2463" s="1">
        <f>DATE(2014,6,18) + TIME(3,27,21)</f>
        <v>41808.143993055557</v>
      </c>
      <c r="C2463">
        <v>80</v>
      </c>
      <c r="D2463">
        <v>79.979057311999995</v>
      </c>
      <c r="E2463">
        <v>40</v>
      </c>
      <c r="F2463">
        <v>39.083698273000003</v>
      </c>
      <c r="G2463">
        <v>1340.2305908000001</v>
      </c>
      <c r="H2463">
        <v>1337.7808838000001</v>
      </c>
      <c r="I2463">
        <v>1324.7795410000001</v>
      </c>
      <c r="J2463">
        <v>1322.1481934000001</v>
      </c>
      <c r="K2463">
        <v>2750</v>
      </c>
      <c r="L2463">
        <v>0</v>
      </c>
      <c r="M2463">
        <v>0</v>
      </c>
      <c r="N2463">
        <v>2750</v>
      </c>
    </row>
    <row r="2464" spans="1:14" x14ac:dyDescent="0.25">
      <c r="A2464">
        <v>1510.197774</v>
      </c>
      <c r="B2464" s="1">
        <f>DATE(2014,6,19) + TIME(4,44,47)</f>
        <v>41809.197766203702</v>
      </c>
      <c r="C2464">
        <v>80</v>
      </c>
      <c r="D2464">
        <v>79.979034424000005</v>
      </c>
      <c r="E2464">
        <v>40</v>
      </c>
      <c r="F2464">
        <v>39.080600738999998</v>
      </c>
      <c r="G2464">
        <v>1340.2229004000001</v>
      </c>
      <c r="H2464">
        <v>1337.7779541</v>
      </c>
      <c r="I2464">
        <v>1324.7750243999999</v>
      </c>
      <c r="J2464">
        <v>1322.1401367000001</v>
      </c>
      <c r="K2464">
        <v>2750</v>
      </c>
      <c r="L2464">
        <v>0</v>
      </c>
      <c r="M2464">
        <v>0</v>
      </c>
      <c r="N2464">
        <v>2750</v>
      </c>
    </row>
    <row r="2465" spans="1:14" x14ac:dyDescent="0.25">
      <c r="A2465">
        <v>1511.269164</v>
      </c>
      <c r="B2465" s="1">
        <f>DATE(2014,6,20) + TIME(6,27,35)</f>
        <v>41810.269155092596</v>
      </c>
      <c r="C2465">
        <v>80</v>
      </c>
      <c r="D2465">
        <v>79.979003906000003</v>
      </c>
      <c r="E2465">
        <v>40</v>
      </c>
      <c r="F2465">
        <v>39.078689574999999</v>
      </c>
      <c r="G2465">
        <v>1340.215332</v>
      </c>
      <c r="H2465">
        <v>1337.7751464999999</v>
      </c>
      <c r="I2465">
        <v>1324.7703856999999</v>
      </c>
      <c r="J2465">
        <v>1322.1317139</v>
      </c>
      <c r="K2465">
        <v>2750</v>
      </c>
      <c r="L2465">
        <v>0</v>
      </c>
      <c r="M2465">
        <v>0</v>
      </c>
      <c r="N2465">
        <v>2750</v>
      </c>
    </row>
    <row r="2466" spans="1:14" x14ac:dyDescent="0.25">
      <c r="A2466">
        <v>1512.3631849999999</v>
      </c>
      <c r="B2466" s="1">
        <f>DATE(2014,6,21) + TIME(8,42,59)</f>
        <v>41811.363182870373</v>
      </c>
      <c r="C2466">
        <v>80</v>
      </c>
      <c r="D2466">
        <v>79.978973389000004</v>
      </c>
      <c r="E2466">
        <v>40</v>
      </c>
      <c r="F2466">
        <v>39.078128814999999</v>
      </c>
      <c r="G2466">
        <v>1340.2076416</v>
      </c>
      <c r="H2466">
        <v>1337.7722168</v>
      </c>
      <c r="I2466">
        <v>1324.765625</v>
      </c>
      <c r="J2466">
        <v>1322.1231689000001</v>
      </c>
      <c r="K2466">
        <v>2750</v>
      </c>
      <c r="L2466">
        <v>0</v>
      </c>
      <c r="M2466">
        <v>0</v>
      </c>
      <c r="N2466">
        <v>2750</v>
      </c>
    </row>
    <row r="2467" spans="1:14" x14ac:dyDescent="0.25">
      <c r="A2467">
        <v>1513.484645</v>
      </c>
      <c r="B2467" s="1">
        <f>DATE(2014,6,22) + TIME(11,37,53)</f>
        <v>41812.4846412037</v>
      </c>
      <c r="C2467">
        <v>80</v>
      </c>
      <c r="D2467">
        <v>79.978950499999996</v>
      </c>
      <c r="E2467">
        <v>40</v>
      </c>
      <c r="F2467">
        <v>39.079113006999997</v>
      </c>
      <c r="G2467">
        <v>1340.2000731999999</v>
      </c>
      <c r="H2467">
        <v>1337.7691649999999</v>
      </c>
      <c r="I2467">
        <v>1324.7607422000001</v>
      </c>
      <c r="J2467">
        <v>1322.1143798999999</v>
      </c>
      <c r="K2467">
        <v>2750</v>
      </c>
      <c r="L2467">
        <v>0</v>
      </c>
      <c r="M2467">
        <v>0</v>
      </c>
      <c r="N2467">
        <v>2750</v>
      </c>
    </row>
    <row r="2468" spans="1:14" x14ac:dyDescent="0.25">
      <c r="A2468">
        <v>1514.642625</v>
      </c>
      <c r="B2468" s="1">
        <f>DATE(2014,6,23) + TIME(15,25,22)</f>
        <v>41813.64261574074</v>
      </c>
      <c r="C2468">
        <v>80</v>
      </c>
      <c r="D2468">
        <v>79.978927612000007</v>
      </c>
      <c r="E2468">
        <v>40</v>
      </c>
      <c r="F2468">
        <v>39.081874847000002</v>
      </c>
      <c r="G2468">
        <v>1340.1923827999999</v>
      </c>
      <c r="H2468">
        <v>1337.7662353999999</v>
      </c>
      <c r="I2468">
        <v>1324.7557373</v>
      </c>
      <c r="J2468">
        <v>1322.1052245999999</v>
      </c>
      <c r="K2468">
        <v>2750</v>
      </c>
      <c r="L2468">
        <v>0</v>
      </c>
      <c r="M2468">
        <v>0</v>
      </c>
      <c r="N2468">
        <v>2750</v>
      </c>
    </row>
    <row r="2469" spans="1:14" x14ac:dyDescent="0.25">
      <c r="A2469">
        <v>1515.8440599999999</v>
      </c>
      <c r="B2469" s="1">
        <f>DATE(2014,6,24) + TIME(20,15,26)</f>
        <v>41814.844050925924</v>
      </c>
      <c r="C2469">
        <v>80</v>
      </c>
      <c r="D2469">
        <v>79.978897094999994</v>
      </c>
      <c r="E2469">
        <v>40</v>
      </c>
      <c r="F2469">
        <v>39.086715697999999</v>
      </c>
      <c r="G2469">
        <v>1340.1845702999999</v>
      </c>
      <c r="H2469">
        <v>1337.7630615</v>
      </c>
      <c r="I2469">
        <v>1324.7506103999999</v>
      </c>
      <c r="J2469">
        <v>1322.0957031</v>
      </c>
      <c r="K2469">
        <v>2750</v>
      </c>
      <c r="L2469">
        <v>0</v>
      </c>
      <c r="M2469">
        <v>0</v>
      </c>
      <c r="N2469">
        <v>2750</v>
      </c>
    </row>
    <row r="2470" spans="1:14" x14ac:dyDescent="0.25">
      <c r="A2470">
        <v>1517.076534</v>
      </c>
      <c r="B2470" s="1">
        <f>DATE(2014,6,26) + TIME(1,50,12)</f>
        <v>41816.076527777775</v>
      </c>
      <c r="C2470">
        <v>80</v>
      </c>
      <c r="D2470">
        <v>79.978874207000004</v>
      </c>
      <c r="E2470">
        <v>40</v>
      </c>
      <c r="F2470">
        <v>39.093982697000001</v>
      </c>
      <c r="G2470">
        <v>1340.1767577999999</v>
      </c>
      <c r="H2470">
        <v>1337.7598877</v>
      </c>
      <c r="I2470">
        <v>1324.7453613</v>
      </c>
      <c r="J2470">
        <v>1322.0858154</v>
      </c>
      <c r="K2470">
        <v>2750</v>
      </c>
      <c r="L2470">
        <v>0</v>
      </c>
      <c r="M2470">
        <v>0</v>
      </c>
      <c r="N2470">
        <v>2750</v>
      </c>
    </row>
    <row r="2471" spans="1:14" x14ac:dyDescent="0.25">
      <c r="A2471">
        <v>1518.335963</v>
      </c>
      <c r="B2471" s="1">
        <f>DATE(2014,6,27) + TIME(8,3,47)</f>
        <v>41817.335960648146</v>
      </c>
      <c r="C2471">
        <v>80</v>
      </c>
      <c r="D2471">
        <v>79.978843689000001</v>
      </c>
      <c r="E2471">
        <v>40</v>
      </c>
      <c r="F2471">
        <v>39.104026793999999</v>
      </c>
      <c r="G2471">
        <v>1340.1688231999999</v>
      </c>
      <c r="H2471">
        <v>1337.7567139</v>
      </c>
      <c r="I2471">
        <v>1324.7398682</v>
      </c>
      <c r="J2471">
        <v>1322.0756836</v>
      </c>
      <c r="K2471">
        <v>2750</v>
      </c>
      <c r="L2471">
        <v>0</v>
      </c>
      <c r="M2471">
        <v>0</v>
      </c>
      <c r="N2471">
        <v>2750</v>
      </c>
    </row>
    <row r="2472" spans="1:14" x14ac:dyDescent="0.25">
      <c r="A2472">
        <v>1519.609459</v>
      </c>
      <c r="B2472" s="1">
        <f>DATE(2014,6,28) + TIME(14,37,37)</f>
        <v>41818.609456018516</v>
      </c>
      <c r="C2472">
        <v>80</v>
      </c>
      <c r="D2472">
        <v>79.978820800999998</v>
      </c>
      <c r="E2472">
        <v>40</v>
      </c>
      <c r="F2472">
        <v>39.117179870999998</v>
      </c>
      <c r="G2472">
        <v>1340.1608887</v>
      </c>
      <c r="H2472">
        <v>1337.753418</v>
      </c>
      <c r="I2472">
        <v>1324.734375</v>
      </c>
      <c r="J2472">
        <v>1322.0651855000001</v>
      </c>
      <c r="K2472">
        <v>2750</v>
      </c>
      <c r="L2472">
        <v>0</v>
      </c>
      <c r="M2472">
        <v>0</v>
      </c>
      <c r="N2472">
        <v>2750</v>
      </c>
    </row>
    <row r="2473" spans="1:14" x14ac:dyDescent="0.25">
      <c r="A2473">
        <v>1520.9007509999999</v>
      </c>
      <c r="B2473" s="1">
        <f>DATE(2014,6,29) + TIME(21,37,4)</f>
        <v>41819.900740740741</v>
      </c>
      <c r="C2473">
        <v>80</v>
      </c>
      <c r="D2473">
        <v>79.978797912999994</v>
      </c>
      <c r="E2473">
        <v>40</v>
      </c>
      <c r="F2473">
        <v>39.133777618000003</v>
      </c>
      <c r="G2473">
        <v>1340.1529541</v>
      </c>
      <c r="H2473">
        <v>1337.7501221</v>
      </c>
      <c r="I2473">
        <v>1324.7287598</v>
      </c>
      <c r="J2473">
        <v>1322.0545654</v>
      </c>
      <c r="K2473">
        <v>2750</v>
      </c>
      <c r="L2473">
        <v>0</v>
      </c>
      <c r="M2473">
        <v>0</v>
      </c>
      <c r="N2473">
        <v>2750</v>
      </c>
    </row>
    <row r="2474" spans="1:14" x14ac:dyDescent="0.25">
      <c r="A2474">
        <v>1522</v>
      </c>
      <c r="B2474" s="1">
        <f>DATE(2014,7,1) + TIME(0,0,0)</f>
        <v>41821</v>
      </c>
      <c r="C2474">
        <v>80</v>
      </c>
      <c r="D2474">
        <v>79.978775024000001</v>
      </c>
      <c r="E2474">
        <v>40</v>
      </c>
      <c r="F2474">
        <v>39.152919769</v>
      </c>
      <c r="G2474">
        <v>1340.1452637</v>
      </c>
      <c r="H2474">
        <v>1337.7468262</v>
      </c>
      <c r="I2474">
        <v>1324.7233887</v>
      </c>
      <c r="J2474">
        <v>1322.0439452999999</v>
      </c>
      <c r="K2474">
        <v>2750</v>
      </c>
      <c r="L2474">
        <v>0</v>
      </c>
      <c r="M2474">
        <v>0</v>
      </c>
      <c r="N2474">
        <v>2750</v>
      </c>
    </row>
    <row r="2475" spans="1:14" x14ac:dyDescent="0.25">
      <c r="A2475">
        <v>1523.308329</v>
      </c>
      <c r="B2475" s="1">
        <f>DATE(2014,7,2) + TIME(7,23,59)</f>
        <v>41822.308321759258</v>
      </c>
      <c r="C2475">
        <v>80</v>
      </c>
      <c r="D2475">
        <v>79.978752135999997</v>
      </c>
      <c r="E2475">
        <v>40</v>
      </c>
      <c r="F2475">
        <v>39.175609588999997</v>
      </c>
      <c r="G2475">
        <v>1340.1386719</v>
      </c>
      <c r="H2475">
        <v>1337.7441406</v>
      </c>
      <c r="I2475">
        <v>1324.7182617000001</v>
      </c>
      <c r="J2475">
        <v>1322.0341797000001</v>
      </c>
      <c r="K2475">
        <v>2750</v>
      </c>
      <c r="L2475">
        <v>0</v>
      </c>
      <c r="M2475">
        <v>0</v>
      </c>
      <c r="N2475">
        <v>2750</v>
      </c>
    </row>
    <row r="2476" spans="1:14" x14ac:dyDescent="0.25">
      <c r="A2476">
        <v>1524.6784009999999</v>
      </c>
      <c r="B2476" s="1">
        <f>DATE(2014,7,3) + TIME(16,16,53)</f>
        <v>41823.678391203706</v>
      </c>
      <c r="C2476">
        <v>80</v>
      </c>
      <c r="D2476">
        <v>79.978729247999993</v>
      </c>
      <c r="E2476">
        <v>40</v>
      </c>
      <c r="F2476">
        <v>39.203945160000004</v>
      </c>
      <c r="G2476">
        <v>1340.1311035000001</v>
      </c>
      <c r="H2476">
        <v>1337.7408447</v>
      </c>
      <c r="I2476">
        <v>1324.7127685999999</v>
      </c>
      <c r="J2476">
        <v>1322.0234375</v>
      </c>
      <c r="K2476">
        <v>2750</v>
      </c>
      <c r="L2476">
        <v>0</v>
      </c>
      <c r="M2476">
        <v>0</v>
      </c>
      <c r="N2476">
        <v>2750</v>
      </c>
    </row>
    <row r="2477" spans="1:14" x14ac:dyDescent="0.25">
      <c r="A2477">
        <v>1526.085131</v>
      </c>
      <c r="B2477" s="1">
        <f>DATE(2014,7,5) + TIME(2,2,35)</f>
        <v>41825.085127314815</v>
      </c>
      <c r="C2477">
        <v>80</v>
      </c>
      <c r="D2477">
        <v>79.978706360000004</v>
      </c>
      <c r="E2477">
        <v>40</v>
      </c>
      <c r="F2477">
        <v>39.238452911000003</v>
      </c>
      <c r="G2477">
        <v>1340.1232910000001</v>
      </c>
      <c r="H2477">
        <v>1337.7374268000001</v>
      </c>
      <c r="I2477">
        <v>1324.7071533000001</v>
      </c>
      <c r="J2477">
        <v>1322.0120850000001</v>
      </c>
      <c r="K2477">
        <v>2750</v>
      </c>
      <c r="L2477">
        <v>0</v>
      </c>
      <c r="M2477">
        <v>0</v>
      </c>
      <c r="N2477">
        <v>2750</v>
      </c>
    </row>
    <row r="2478" spans="1:14" x14ac:dyDescent="0.25">
      <c r="A2478">
        <v>1527.529583</v>
      </c>
      <c r="B2478" s="1">
        <f>DATE(2014,7,6) + TIME(12,42,35)</f>
        <v>41826.52957175926</v>
      </c>
      <c r="C2478">
        <v>80</v>
      </c>
      <c r="D2478">
        <v>79.978683472</v>
      </c>
      <c r="E2478">
        <v>40</v>
      </c>
      <c r="F2478">
        <v>39.279712676999999</v>
      </c>
      <c r="G2478">
        <v>1340.1153564000001</v>
      </c>
      <c r="H2478">
        <v>1337.7340088000001</v>
      </c>
      <c r="I2478">
        <v>1324.7015381000001</v>
      </c>
      <c r="J2478">
        <v>1322.0004882999999</v>
      </c>
      <c r="K2478">
        <v>2750</v>
      </c>
      <c r="L2478">
        <v>0</v>
      </c>
      <c r="M2478">
        <v>0</v>
      </c>
      <c r="N2478">
        <v>2750</v>
      </c>
    </row>
    <row r="2479" spans="1:14" x14ac:dyDescent="0.25">
      <c r="A2479">
        <v>1529.0249779999999</v>
      </c>
      <c r="B2479" s="1">
        <f>DATE(2014,7,8) + TIME(0,35,58)</f>
        <v>41828.024976851855</v>
      </c>
      <c r="C2479">
        <v>80</v>
      </c>
      <c r="D2479">
        <v>79.978668213000006</v>
      </c>
      <c r="E2479">
        <v>40</v>
      </c>
      <c r="F2479">
        <v>39.328727721999996</v>
      </c>
      <c r="G2479">
        <v>1340.1074219</v>
      </c>
      <c r="H2479">
        <v>1337.7304687999999</v>
      </c>
      <c r="I2479">
        <v>1324.6958007999999</v>
      </c>
      <c r="J2479">
        <v>1321.9887695</v>
      </c>
      <c r="K2479">
        <v>2750</v>
      </c>
      <c r="L2479">
        <v>0</v>
      </c>
      <c r="M2479">
        <v>0</v>
      </c>
      <c r="N2479">
        <v>2750</v>
      </c>
    </row>
    <row r="2480" spans="1:14" x14ac:dyDescent="0.25">
      <c r="A2480">
        <v>1530.585656</v>
      </c>
      <c r="B2480" s="1">
        <f>DATE(2014,7,9) + TIME(14,3,20)</f>
        <v>41829.585648148146</v>
      </c>
      <c r="C2480">
        <v>80</v>
      </c>
      <c r="D2480">
        <v>79.978645325000002</v>
      </c>
      <c r="E2480">
        <v>40</v>
      </c>
      <c r="F2480">
        <v>39.387004851999997</v>
      </c>
      <c r="G2480">
        <v>1340.0993652</v>
      </c>
      <c r="H2480">
        <v>1337.7268065999999</v>
      </c>
      <c r="I2480">
        <v>1324.6900635</v>
      </c>
      <c r="J2480">
        <v>1321.9766846</v>
      </c>
      <c r="K2480">
        <v>2750</v>
      </c>
      <c r="L2480">
        <v>0</v>
      </c>
      <c r="M2480">
        <v>0</v>
      </c>
      <c r="N2480">
        <v>2750</v>
      </c>
    </row>
    <row r="2481" spans="1:14" x14ac:dyDescent="0.25">
      <c r="A2481">
        <v>1532.1606919999999</v>
      </c>
      <c r="B2481" s="1">
        <f>DATE(2014,7,11) + TIME(3,51,23)</f>
        <v>41831.160682870373</v>
      </c>
      <c r="C2481">
        <v>80</v>
      </c>
      <c r="D2481">
        <v>79.978622436999999</v>
      </c>
      <c r="E2481">
        <v>40</v>
      </c>
      <c r="F2481">
        <v>39.455680846999996</v>
      </c>
      <c r="G2481">
        <v>1340.0910644999999</v>
      </c>
      <c r="H2481">
        <v>1337.7230225000001</v>
      </c>
      <c r="I2481">
        <v>1324.6843262</v>
      </c>
      <c r="J2481">
        <v>1321.9643555</v>
      </c>
      <c r="K2481">
        <v>2750</v>
      </c>
      <c r="L2481">
        <v>0</v>
      </c>
      <c r="M2481">
        <v>0</v>
      </c>
      <c r="N2481">
        <v>2750</v>
      </c>
    </row>
    <row r="2482" spans="1:14" x14ac:dyDescent="0.25">
      <c r="A2482">
        <v>1533.758041</v>
      </c>
      <c r="B2482" s="1">
        <f>DATE(2014,7,12) + TIME(18,11,34)</f>
        <v>41832.758032407408</v>
      </c>
      <c r="C2482">
        <v>80</v>
      </c>
      <c r="D2482">
        <v>79.978599548000005</v>
      </c>
      <c r="E2482">
        <v>40</v>
      </c>
      <c r="F2482">
        <v>39.535221100000001</v>
      </c>
      <c r="G2482">
        <v>1340.0826416</v>
      </c>
      <c r="H2482">
        <v>1337.7191161999999</v>
      </c>
      <c r="I2482">
        <v>1324.6787108999999</v>
      </c>
      <c r="J2482">
        <v>1321.9521483999999</v>
      </c>
      <c r="K2482">
        <v>2750</v>
      </c>
      <c r="L2482">
        <v>0</v>
      </c>
      <c r="M2482">
        <v>0</v>
      </c>
      <c r="N2482">
        <v>2750</v>
      </c>
    </row>
    <row r="2483" spans="1:14" x14ac:dyDescent="0.25">
      <c r="A2483">
        <v>1535.3820679999999</v>
      </c>
      <c r="B2483" s="1">
        <f>DATE(2014,7,14) + TIME(9,10,10)</f>
        <v>41834.382060185184</v>
      </c>
      <c r="C2483">
        <v>80</v>
      </c>
      <c r="D2483">
        <v>79.978584290000001</v>
      </c>
      <c r="E2483">
        <v>40</v>
      </c>
      <c r="F2483">
        <v>39.626834869</v>
      </c>
      <c r="G2483">
        <v>1340.0743408000001</v>
      </c>
      <c r="H2483">
        <v>1337.7152100000001</v>
      </c>
      <c r="I2483">
        <v>1324.6733397999999</v>
      </c>
      <c r="J2483">
        <v>1321.9399414</v>
      </c>
      <c r="K2483">
        <v>2750</v>
      </c>
      <c r="L2483">
        <v>0</v>
      </c>
      <c r="M2483">
        <v>0</v>
      </c>
      <c r="N2483">
        <v>2750</v>
      </c>
    </row>
    <row r="2484" spans="1:14" x14ac:dyDescent="0.25">
      <c r="A2484">
        <v>1537.028012</v>
      </c>
      <c r="B2484" s="1">
        <f>DATE(2014,7,16) + TIME(0,40,20)</f>
        <v>41836.028009259258</v>
      </c>
      <c r="C2484">
        <v>80</v>
      </c>
      <c r="D2484">
        <v>79.978561400999993</v>
      </c>
      <c r="E2484">
        <v>40</v>
      </c>
      <c r="F2484">
        <v>39.731891632</v>
      </c>
      <c r="G2484">
        <v>1340.0660399999999</v>
      </c>
      <c r="H2484">
        <v>1337.7113036999999</v>
      </c>
      <c r="I2484">
        <v>1324.6680908000001</v>
      </c>
      <c r="J2484">
        <v>1321.9279785000001</v>
      </c>
      <c r="K2484">
        <v>2750</v>
      </c>
      <c r="L2484">
        <v>0</v>
      </c>
      <c r="M2484">
        <v>0</v>
      </c>
      <c r="N2484">
        <v>2750</v>
      </c>
    </row>
    <row r="2485" spans="1:14" x14ac:dyDescent="0.25">
      <c r="A2485">
        <v>1538.712579</v>
      </c>
      <c r="B2485" s="1">
        <f>DATE(2014,7,17) + TIME(17,6,6)</f>
        <v>41837.712569444448</v>
      </c>
      <c r="C2485">
        <v>80</v>
      </c>
      <c r="D2485">
        <v>79.978546143000003</v>
      </c>
      <c r="E2485">
        <v>40</v>
      </c>
      <c r="F2485">
        <v>39.852085113999998</v>
      </c>
      <c r="G2485">
        <v>1340.0578613</v>
      </c>
      <c r="H2485">
        <v>1337.7073975000001</v>
      </c>
      <c r="I2485">
        <v>1324.6632079999999</v>
      </c>
      <c r="J2485">
        <v>1321.9162598</v>
      </c>
      <c r="K2485">
        <v>2750</v>
      </c>
      <c r="L2485">
        <v>0</v>
      </c>
      <c r="M2485">
        <v>0</v>
      </c>
      <c r="N2485">
        <v>2750</v>
      </c>
    </row>
    <row r="2486" spans="1:14" x14ac:dyDescent="0.25">
      <c r="A2486">
        <v>1540.4529520000001</v>
      </c>
      <c r="B2486" s="1">
        <f>DATE(2014,7,19) + TIME(10,52,15)</f>
        <v>41839.452951388892</v>
      </c>
      <c r="C2486">
        <v>80</v>
      </c>
      <c r="D2486">
        <v>79.978523253999995</v>
      </c>
      <c r="E2486">
        <v>40</v>
      </c>
      <c r="F2486">
        <v>39.990158080999997</v>
      </c>
      <c r="G2486">
        <v>1340.0495605000001</v>
      </c>
      <c r="H2486">
        <v>1337.7033690999999</v>
      </c>
      <c r="I2486">
        <v>1324.6584473</v>
      </c>
      <c r="J2486">
        <v>1321.9046631000001</v>
      </c>
      <c r="K2486">
        <v>2750</v>
      </c>
      <c r="L2486">
        <v>0</v>
      </c>
      <c r="M2486">
        <v>0</v>
      </c>
      <c r="N2486">
        <v>2750</v>
      </c>
    </row>
    <row r="2487" spans="1:14" x14ac:dyDescent="0.25">
      <c r="A2487">
        <v>1541.3356229999999</v>
      </c>
      <c r="B2487" s="1">
        <f>DATE(2014,7,20) + TIME(8,3,17)</f>
        <v>41840.335613425923</v>
      </c>
      <c r="C2487">
        <v>80</v>
      </c>
      <c r="D2487">
        <v>79.978507996000005</v>
      </c>
      <c r="E2487">
        <v>40</v>
      </c>
      <c r="F2487">
        <v>40.113697051999999</v>
      </c>
      <c r="G2487">
        <v>1340.0412598</v>
      </c>
      <c r="H2487">
        <v>1337.6993408000001</v>
      </c>
      <c r="I2487">
        <v>1324.6556396000001</v>
      </c>
      <c r="J2487">
        <v>1321.8944091999999</v>
      </c>
      <c r="K2487">
        <v>2750</v>
      </c>
      <c r="L2487">
        <v>0</v>
      </c>
      <c r="M2487">
        <v>0</v>
      </c>
      <c r="N2487">
        <v>2750</v>
      </c>
    </row>
    <row r="2488" spans="1:14" x14ac:dyDescent="0.25">
      <c r="A2488">
        <v>1542.981395</v>
      </c>
      <c r="B2488" s="1">
        <f>DATE(2014,7,21) + TIME(23,33,12)</f>
        <v>41841.981388888889</v>
      </c>
      <c r="C2488">
        <v>80</v>
      </c>
      <c r="D2488">
        <v>79.978500366000006</v>
      </c>
      <c r="E2488">
        <v>40</v>
      </c>
      <c r="F2488">
        <v>40.248058319000002</v>
      </c>
      <c r="G2488">
        <v>1340.0372314000001</v>
      </c>
      <c r="H2488">
        <v>1337.6972656</v>
      </c>
      <c r="I2488">
        <v>1324.6513672000001</v>
      </c>
      <c r="J2488">
        <v>1321.8874512</v>
      </c>
      <c r="K2488">
        <v>2750</v>
      </c>
      <c r="L2488">
        <v>0</v>
      </c>
      <c r="M2488">
        <v>0</v>
      </c>
      <c r="N2488">
        <v>2750</v>
      </c>
    </row>
    <row r="2489" spans="1:14" x14ac:dyDescent="0.25">
      <c r="A2489">
        <v>1544.6969409999999</v>
      </c>
      <c r="B2489" s="1">
        <f>DATE(2014,7,23) + TIME(16,43,35)</f>
        <v>41843.696932870371</v>
      </c>
      <c r="C2489">
        <v>80</v>
      </c>
      <c r="D2489">
        <v>79.978485106999997</v>
      </c>
      <c r="E2489">
        <v>40</v>
      </c>
      <c r="F2489">
        <v>40.419738770000002</v>
      </c>
      <c r="G2489">
        <v>1340.0295410000001</v>
      </c>
      <c r="H2489">
        <v>1337.6936035000001</v>
      </c>
      <c r="I2489">
        <v>1324.6483154</v>
      </c>
      <c r="J2489">
        <v>1321.8780518000001</v>
      </c>
      <c r="K2489">
        <v>2750</v>
      </c>
      <c r="L2489">
        <v>0</v>
      </c>
      <c r="M2489">
        <v>0</v>
      </c>
      <c r="N2489">
        <v>2750</v>
      </c>
    </row>
    <row r="2490" spans="1:14" x14ac:dyDescent="0.25">
      <c r="A2490">
        <v>1546.416074</v>
      </c>
      <c r="B2490" s="1">
        <f>DATE(2014,7,25) + TIME(9,59,8)</f>
        <v>41845.416064814817</v>
      </c>
      <c r="C2490">
        <v>80</v>
      </c>
      <c r="D2490">
        <v>79.978469849000007</v>
      </c>
      <c r="E2490">
        <v>40</v>
      </c>
      <c r="F2490">
        <v>40.620212555000002</v>
      </c>
      <c r="G2490">
        <v>1340.0218506000001</v>
      </c>
      <c r="H2490">
        <v>1337.6896973</v>
      </c>
      <c r="I2490">
        <v>1324.6453856999999</v>
      </c>
      <c r="J2490">
        <v>1321.8687743999999</v>
      </c>
      <c r="K2490">
        <v>2750</v>
      </c>
      <c r="L2490">
        <v>0</v>
      </c>
      <c r="M2490">
        <v>0</v>
      </c>
      <c r="N2490">
        <v>2750</v>
      </c>
    </row>
    <row r="2491" spans="1:14" x14ac:dyDescent="0.25">
      <c r="A2491">
        <v>1548.1508940000001</v>
      </c>
      <c r="B2491" s="1">
        <f>DATE(2014,7,27) + TIME(3,37,17)</f>
        <v>41847.150891203702</v>
      </c>
      <c r="C2491">
        <v>80</v>
      </c>
      <c r="D2491">
        <v>79.978454589999998</v>
      </c>
      <c r="E2491">
        <v>40</v>
      </c>
      <c r="F2491">
        <v>40.845264434999997</v>
      </c>
      <c r="G2491">
        <v>1340.0141602000001</v>
      </c>
      <c r="H2491">
        <v>1337.6857910000001</v>
      </c>
      <c r="I2491">
        <v>1324.6427002</v>
      </c>
      <c r="J2491">
        <v>1321.8601074000001</v>
      </c>
      <c r="K2491">
        <v>2750</v>
      </c>
      <c r="L2491">
        <v>0</v>
      </c>
      <c r="M2491">
        <v>0</v>
      </c>
      <c r="N2491">
        <v>2750</v>
      </c>
    </row>
    <row r="2492" spans="1:14" x14ac:dyDescent="0.25">
      <c r="A2492">
        <v>1549.0221759999999</v>
      </c>
      <c r="B2492" s="1">
        <f>DATE(2014,7,28) + TIME(0,31,55)</f>
        <v>41848.022164351853</v>
      </c>
      <c r="C2492">
        <v>80</v>
      </c>
      <c r="D2492">
        <v>79.978439331000004</v>
      </c>
      <c r="E2492">
        <v>40</v>
      </c>
      <c r="F2492">
        <v>41.040676116999997</v>
      </c>
      <c r="G2492">
        <v>1340.0067139</v>
      </c>
      <c r="H2492">
        <v>1337.6820068</v>
      </c>
      <c r="I2492">
        <v>1324.6425781</v>
      </c>
      <c r="J2492">
        <v>1321.8532714999999</v>
      </c>
      <c r="K2492">
        <v>2750</v>
      </c>
      <c r="L2492">
        <v>0</v>
      </c>
      <c r="M2492">
        <v>0</v>
      </c>
      <c r="N2492">
        <v>2750</v>
      </c>
    </row>
    <row r="2493" spans="1:14" x14ac:dyDescent="0.25">
      <c r="A2493">
        <v>1550.5835159999999</v>
      </c>
      <c r="B2493" s="1">
        <f>DATE(2014,7,29) + TIME(14,0,15)</f>
        <v>41849.583506944444</v>
      </c>
      <c r="C2493">
        <v>80</v>
      </c>
      <c r="D2493">
        <v>79.978431701999995</v>
      </c>
      <c r="E2493">
        <v>40</v>
      </c>
      <c r="F2493">
        <v>41.246131896999998</v>
      </c>
      <c r="G2493">
        <v>1340.0030518000001</v>
      </c>
      <c r="H2493">
        <v>1337.6800536999999</v>
      </c>
      <c r="I2493">
        <v>1324.6392822</v>
      </c>
      <c r="J2493">
        <v>1321.8487548999999</v>
      </c>
      <c r="K2493">
        <v>2750</v>
      </c>
      <c r="L2493">
        <v>0</v>
      </c>
      <c r="M2493">
        <v>0</v>
      </c>
      <c r="N2493">
        <v>2750</v>
      </c>
    </row>
    <row r="2494" spans="1:14" x14ac:dyDescent="0.25">
      <c r="A2494">
        <v>1552.2733840000001</v>
      </c>
      <c r="B2494" s="1">
        <f>DATE(2014,7,31) + TIME(6,33,40)</f>
        <v>41851.273379629631</v>
      </c>
      <c r="C2494">
        <v>80</v>
      </c>
      <c r="D2494">
        <v>79.978424071999996</v>
      </c>
      <c r="E2494">
        <v>40</v>
      </c>
      <c r="F2494">
        <v>41.500774384000003</v>
      </c>
      <c r="G2494">
        <v>1339.9964600000001</v>
      </c>
      <c r="H2494">
        <v>1337.6767577999999</v>
      </c>
      <c r="I2494">
        <v>1324.6383057</v>
      </c>
      <c r="J2494">
        <v>1321.8430175999999</v>
      </c>
      <c r="K2494">
        <v>2750</v>
      </c>
      <c r="L2494">
        <v>0</v>
      </c>
      <c r="M2494">
        <v>0</v>
      </c>
      <c r="N2494">
        <v>2750</v>
      </c>
    </row>
    <row r="2495" spans="1:14" x14ac:dyDescent="0.25">
      <c r="A2495">
        <v>1553</v>
      </c>
      <c r="B2495" s="1">
        <f>DATE(2014,8,1) + TIME(0,0,0)</f>
        <v>41852</v>
      </c>
      <c r="C2495">
        <v>80</v>
      </c>
      <c r="D2495">
        <v>79.978408813000001</v>
      </c>
      <c r="E2495">
        <v>40</v>
      </c>
      <c r="F2495">
        <v>41.716373443999998</v>
      </c>
      <c r="G2495">
        <v>1339.9895019999999</v>
      </c>
      <c r="H2495">
        <v>1337.6730957</v>
      </c>
      <c r="I2495">
        <v>1324.6403809000001</v>
      </c>
      <c r="J2495">
        <v>1321.8386230000001</v>
      </c>
      <c r="K2495">
        <v>2750</v>
      </c>
      <c r="L2495">
        <v>0</v>
      </c>
      <c r="M2495">
        <v>0</v>
      </c>
      <c r="N2495">
        <v>2750</v>
      </c>
    </row>
    <row r="2496" spans="1:14" x14ac:dyDescent="0.25">
      <c r="A2496">
        <v>1554.7131790000001</v>
      </c>
      <c r="B2496" s="1">
        <f>DATE(2014,8,2) + TIME(17,6,58)</f>
        <v>41853.713171296295</v>
      </c>
      <c r="C2496">
        <v>80</v>
      </c>
      <c r="D2496">
        <v>79.978408813000001</v>
      </c>
      <c r="E2496">
        <v>40</v>
      </c>
      <c r="F2496">
        <v>41.963302612</v>
      </c>
      <c r="G2496">
        <v>1339.9864502</v>
      </c>
      <c r="H2496">
        <v>1337.6715088000001</v>
      </c>
      <c r="I2496">
        <v>1324.6369629000001</v>
      </c>
      <c r="J2496">
        <v>1321.8360596</v>
      </c>
      <c r="K2496">
        <v>2750</v>
      </c>
      <c r="L2496">
        <v>0</v>
      </c>
      <c r="M2496">
        <v>0</v>
      </c>
      <c r="N2496">
        <v>2750</v>
      </c>
    </row>
    <row r="2497" spans="1:14" x14ac:dyDescent="0.25">
      <c r="A2497">
        <v>1555.5793839999999</v>
      </c>
      <c r="B2497" s="1">
        <f>DATE(2014,8,3) + TIME(13,54,18)</f>
        <v>41854.579375000001</v>
      </c>
      <c r="C2497">
        <v>80</v>
      </c>
      <c r="D2497">
        <v>79.978393554999997</v>
      </c>
      <c r="E2497">
        <v>40</v>
      </c>
      <c r="F2497">
        <v>42.218955993999998</v>
      </c>
      <c r="G2497">
        <v>1339.9796143000001</v>
      </c>
      <c r="H2497">
        <v>1337.6679687999999</v>
      </c>
      <c r="I2497">
        <v>1324.6397704999999</v>
      </c>
      <c r="J2497">
        <v>1321.8326416</v>
      </c>
      <c r="K2497">
        <v>2750</v>
      </c>
      <c r="L2497">
        <v>0</v>
      </c>
      <c r="M2497">
        <v>0</v>
      </c>
      <c r="N2497">
        <v>2750</v>
      </c>
    </row>
    <row r="2498" spans="1:14" x14ac:dyDescent="0.25">
      <c r="A2498">
        <v>1557.092388</v>
      </c>
      <c r="B2498" s="1">
        <f>DATE(2014,8,5) + TIME(2,13,2)</f>
        <v>41856.09238425926</v>
      </c>
      <c r="C2498">
        <v>80</v>
      </c>
      <c r="D2498">
        <v>79.978393554999997</v>
      </c>
      <c r="E2498">
        <v>40</v>
      </c>
      <c r="F2498">
        <v>42.489112853999998</v>
      </c>
      <c r="G2498">
        <v>1339.9761963000001</v>
      </c>
      <c r="H2498">
        <v>1337.6661377</v>
      </c>
      <c r="I2498">
        <v>1324.6375731999999</v>
      </c>
      <c r="J2498">
        <v>1321.8310547000001</v>
      </c>
      <c r="K2498">
        <v>2750</v>
      </c>
      <c r="L2498">
        <v>0</v>
      </c>
      <c r="M2498">
        <v>0</v>
      </c>
      <c r="N2498">
        <v>2750</v>
      </c>
    </row>
    <row r="2499" spans="1:14" x14ac:dyDescent="0.25">
      <c r="A2499">
        <v>1558.7764749999999</v>
      </c>
      <c r="B2499" s="1">
        <f>DATE(2014,8,6) + TIME(18,38,7)</f>
        <v>41857.776469907411</v>
      </c>
      <c r="C2499">
        <v>80</v>
      </c>
      <c r="D2499">
        <v>79.978385924999998</v>
      </c>
      <c r="E2499">
        <v>40</v>
      </c>
      <c r="F2499">
        <v>42.825519561999997</v>
      </c>
      <c r="G2499">
        <v>1339.9702147999999</v>
      </c>
      <c r="H2499">
        <v>1337.6629639</v>
      </c>
      <c r="I2499">
        <v>1324.6384277</v>
      </c>
      <c r="J2499">
        <v>1321.8288574000001</v>
      </c>
      <c r="K2499">
        <v>2750</v>
      </c>
      <c r="L2499">
        <v>0</v>
      </c>
      <c r="M2499">
        <v>0</v>
      </c>
      <c r="N2499">
        <v>2750</v>
      </c>
    </row>
    <row r="2500" spans="1:14" x14ac:dyDescent="0.25">
      <c r="A2500">
        <v>1560.497619</v>
      </c>
      <c r="B2500" s="1">
        <f>DATE(2014,8,8) + TIME(11,56,34)</f>
        <v>41859.497615740744</v>
      </c>
      <c r="C2500">
        <v>80</v>
      </c>
      <c r="D2500">
        <v>79.978378296000002</v>
      </c>
      <c r="E2500">
        <v>40</v>
      </c>
      <c r="F2500">
        <v>43.219943999999998</v>
      </c>
      <c r="G2500">
        <v>1339.9637451000001</v>
      </c>
      <c r="H2500">
        <v>1337.6594238</v>
      </c>
      <c r="I2500">
        <v>1324.6400146000001</v>
      </c>
      <c r="J2500">
        <v>1321.8273925999999</v>
      </c>
      <c r="K2500">
        <v>2750</v>
      </c>
      <c r="L2500">
        <v>0</v>
      </c>
      <c r="M2500">
        <v>0</v>
      </c>
      <c r="N2500">
        <v>2750</v>
      </c>
    </row>
    <row r="2501" spans="1:14" x14ac:dyDescent="0.25">
      <c r="A2501">
        <v>1561.3656229999999</v>
      </c>
      <c r="B2501" s="1">
        <f>DATE(2014,8,9) + TIME(8,46,29)</f>
        <v>41860.365613425929</v>
      </c>
      <c r="C2501">
        <v>80</v>
      </c>
      <c r="D2501">
        <v>79.978370666999993</v>
      </c>
      <c r="E2501">
        <v>40</v>
      </c>
      <c r="F2501">
        <v>43.565032959</v>
      </c>
      <c r="G2501">
        <v>1339.9571533000001</v>
      </c>
      <c r="H2501">
        <v>1337.6560059000001</v>
      </c>
      <c r="I2501">
        <v>1324.6446533000001</v>
      </c>
      <c r="J2501">
        <v>1321.8277588000001</v>
      </c>
      <c r="K2501">
        <v>2750</v>
      </c>
      <c r="L2501">
        <v>0</v>
      </c>
      <c r="M2501">
        <v>0</v>
      </c>
      <c r="N2501">
        <v>2750</v>
      </c>
    </row>
    <row r="2502" spans="1:14" x14ac:dyDescent="0.25">
      <c r="A2502">
        <v>1562.8502020000001</v>
      </c>
      <c r="B2502" s="1">
        <f>DATE(2014,8,10) + TIME(20,24,17)</f>
        <v>41861.85019675926</v>
      </c>
      <c r="C2502">
        <v>80</v>
      </c>
      <c r="D2502">
        <v>79.978363036999994</v>
      </c>
      <c r="E2502">
        <v>40</v>
      </c>
      <c r="F2502">
        <v>43.910022736000002</v>
      </c>
      <c r="G2502">
        <v>1339.9539795000001</v>
      </c>
      <c r="H2502">
        <v>1337.6541748</v>
      </c>
      <c r="I2502">
        <v>1324.6430664</v>
      </c>
      <c r="J2502">
        <v>1321.8288574000001</v>
      </c>
      <c r="K2502">
        <v>2750</v>
      </c>
      <c r="L2502">
        <v>0</v>
      </c>
      <c r="M2502">
        <v>0</v>
      </c>
      <c r="N2502">
        <v>2750</v>
      </c>
    </row>
    <row r="2503" spans="1:14" x14ac:dyDescent="0.25">
      <c r="A2503">
        <v>1564.5289</v>
      </c>
      <c r="B2503" s="1">
        <f>DATE(2014,8,12) + TIME(12,41,36)</f>
        <v>41863.52888888889</v>
      </c>
      <c r="C2503">
        <v>80</v>
      </c>
      <c r="D2503">
        <v>79.978363036999994</v>
      </c>
      <c r="E2503">
        <v>40</v>
      </c>
      <c r="F2503">
        <v>44.321350098000003</v>
      </c>
      <c r="G2503">
        <v>1339.9484863</v>
      </c>
      <c r="H2503">
        <v>1337.6512451000001</v>
      </c>
      <c r="I2503">
        <v>1324.6451416</v>
      </c>
      <c r="J2503">
        <v>1321.8297118999999</v>
      </c>
      <c r="K2503">
        <v>2750</v>
      </c>
      <c r="L2503">
        <v>0</v>
      </c>
      <c r="M2503">
        <v>0</v>
      </c>
      <c r="N2503">
        <v>2750</v>
      </c>
    </row>
    <row r="2504" spans="1:14" x14ac:dyDescent="0.25">
      <c r="A2504">
        <v>1566.2606049999999</v>
      </c>
      <c r="B2504" s="1">
        <f>DATE(2014,8,14) + TIME(6,15,16)</f>
        <v>41865.260601851849</v>
      </c>
      <c r="C2504">
        <v>80</v>
      </c>
      <c r="D2504">
        <v>79.978355407999999</v>
      </c>
      <c r="E2504">
        <v>40</v>
      </c>
      <c r="F2504">
        <v>44.803672790999997</v>
      </c>
      <c r="G2504">
        <v>1339.9423827999999</v>
      </c>
      <c r="H2504">
        <v>1337.6478271000001</v>
      </c>
      <c r="I2504">
        <v>1324.6481934000001</v>
      </c>
      <c r="J2504">
        <v>1321.8317870999999</v>
      </c>
      <c r="K2504">
        <v>2750</v>
      </c>
      <c r="L2504">
        <v>0</v>
      </c>
      <c r="M2504">
        <v>0</v>
      </c>
      <c r="N2504">
        <v>2750</v>
      </c>
    </row>
    <row r="2505" spans="1:14" x14ac:dyDescent="0.25">
      <c r="A2505">
        <v>1568.0163219999999</v>
      </c>
      <c r="B2505" s="1">
        <f>DATE(2014,8,16) + TIME(0,23,30)</f>
        <v>41867.016319444447</v>
      </c>
      <c r="C2505">
        <v>80</v>
      </c>
      <c r="D2505">
        <v>79.978347778</v>
      </c>
      <c r="E2505">
        <v>40</v>
      </c>
      <c r="F2505">
        <v>45.317691803000002</v>
      </c>
      <c r="G2505">
        <v>1339.9361572</v>
      </c>
      <c r="H2505">
        <v>1337.6445312000001</v>
      </c>
      <c r="I2505">
        <v>1324.6517334</v>
      </c>
      <c r="J2505">
        <v>1321.8352050999999</v>
      </c>
      <c r="K2505">
        <v>2750</v>
      </c>
      <c r="L2505">
        <v>0</v>
      </c>
      <c r="M2505">
        <v>0</v>
      </c>
      <c r="N2505">
        <v>2750</v>
      </c>
    </row>
    <row r="2506" spans="1:14" x14ac:dyDescent="0.25">
      <c r="A2506">
        <v>1569.7824700000001</v>
      </c>
      <c r="B2506" s="1">
        <f>DATE(2014,8,17) + TIME(18,46,45)</f>
        <v>41868.782465277778</v>
      </c>
      <c r="C2506">
        <v>80</v>
      </c>
      <c r="D2506">
        <v>79.978347778</v>
      </c>
      <c r="E2506">
        <v>40</v>
      </c>
      <c r="F2506">
        <v>45.859237671000002</v>
      </c>
      <c r="G2506">
        <v>1339.9299315999999</v>
      </c>
      <c r="H2506">
        <v>1337.6411132999999</v>
      </c>
      <c r="I2506">
        <v>1324.6556396000001</v>
      </c>
      <c r="J2506">
        <v>1321.8397216999999</v>
      </c>
      <c r="K2506">
        <v>2750</v>
      </c>
      <c r="L2506">
        <v>0</v>
      </c>
      <c r="M2506">
        <v>0</v>
      </c>
      <c r="N2506">
        <v>2750</v>
      </c>
    </row>
    <row r="2507" spans="1:14" x14ac:dyDescent="0.25">
      <c r="A2507">
        <v>1571.6011599999999</v>
      </c>
      <c r="B2507" s="1">
        <f>DATE(2014,8,19) + TIME(14,25,40)</f>
        <v>41870.601157407407</v>
      </c>
      <c r="C2507">
        <v>80</v>
      </c>
      <c r="D2507">
        <v>79.978340149000005</v>
      </c>
      <c r="E2507">
        <v>40</v>
      </c>
      <c r="F2507">
        <v>46.428207397000001</v>
      </c>
      <c r="G2507">
        <v>1339.9238281</v>
      </c>
      <c r="H2507">
        <v>1337.6376952999999</v>
      </c>
      <c r="I2507">
        <v>1324.6600341999999</v>
      </c>
      <c r="J2507">
        <v>1321.8452147999999</v>
      </c>
      <c r="K2507">
        <v>2750</v>
      </c>
      <c r="L2507">
        <v>0</v>
      </c>
      <c r="M2507">
        <v>0</v>
      </c>
      <c r="N2507">
        <v>2750</v>
      </c>
    </row>
    <row r="2508" spans="1:14" x14ac:dyDescent="0.25">
      <c r="A2508">
        <v>1573.4575259999999</v>
      </c>
      <c r="B2508" s="1">
        <f>DATE(2014,8,21) + TIME(10,58,50)</f>
        <v>41872.45752314815</v>
      </c>
      <c r="C2508">
        <v>80</v>
      </c>
      <c r="D2508">
        <v>79.978340149000005</v>
      </c>
      <c r="E2508">
        <v>40</v>
      </c>
      <c r="F2508">
        <v>47.026622772000003</v>
      </c>
      <c r="G2508">
        <v>1339.9176024999999</v>
      </c>
      <c r="H2508">
        <v>1337.6342772999999</v>
      </c>
      <c r="I2508">
        <v>1324.6649170000001</v>
      </c>
      <c r="J2508">
        <v>1321.8516846</v>
      </c>
      <c r="K2508">
        <v>2750</v>
      </c>
      <c r="L2508">
        <v>0</v>
      </c>
      <c r="M2508">
        <v>0</v>
      </c>
      <c r="N2508">
        <v>2750</v>
      </c>
    </row>
    <row r="2509" spans="1:14" x14ac:dyDescent="0.25">
      <c r="A2509">
        <v>1575.388099</v>
      </c>
      <c r="B2509" s="1">
        <f>DATE(2014,8,23) + TIME(9,18,51)</f>
        <v>41874.388090277775</v>
      </c>
      <c r="C2509">
        <v>80</v>
      </c>
      <c r="D2509">
        <v>79.978332519999995</v>
      </c>
      <c r="E2509">
        <v>40</v>
      </c>
      <c r="F2509">
        <v>47.649341583000002</v>
      </c>
      <c r="G2509">
        <v>1339.9113769999999</v>
      </c>
      <c r="H2509">
        <v>1337.6307373</v>
      </c>
      <c r="I2509">
        <v>1324.6701660000001</v>
      </c>
      <c r="J2509">
        <v>1321.8592529</v>
      </c>
      <c r="K2509">
        <v>2750</v>
      </c>
      <c r="L2509">
        <v>0</v>
      </c>
      <c r="M2509">
        <v>0</v>
      </c>
      <c r="N2509">
        <v>2750</v>
      </c>
    </row>
    <row r="2510" spans="1:14" x14ac:dyDescent="0.25">
      <c r="A2510">
        <v>1577.4282189999999</v>
      </c>
      <c r="B2510" s="1">
        <f>DATE(2014,8,25) + TIME(10,16,38)</f>
        <v>41876.428217592591</v>
      </c>
      <c r="C2510">
        <v>80</v>
      </c>
      <c r="D2510">
        <v>79.978332519999995</v>
      </c>
      <c r="E2510">
        <v>40</v>
      </c>
      <c r="F2510">
        <v>48.298042297000002</v>
      </c>
      <c r="G2510">
        <v>1339.9051514</v>
      </c>
      <c r="H2510">
        <v>1337.6271973</v>
      </c>
      <c r="I2510">
        <v>1324.6760254000001</v>
      </c>
      <c r="J2510">
        <v>1321.8679199000001</v>
      </c>
      <c r="K2510">
        <v>2750</v>
      </c>
      <c r="L2510">
        <v>0</v>
      </c>
      <c r="M2510">
        <v>0</v>
      </c>
      <c r="N2510">
        <v>2750</v>
      </c>
    </row>
    <row r="2511" spans="1:14" x14ac:dyDescent="0.25">
      <c r="A2511">
        <v>1578.4995180000001</v>
      </c>
      <c r="B2511" s="1">
        <f>DATE(2014,8,26) + TIME(11,59,18)</f>
        <v>41877.499513888892</v>
      </c>
      <c r="C2511">
        <v>80</v>
      </c>
      <c r="D2511">
        <v>79.978317261000001</v>
      </c>
      <c r="E2511">
        <v>40</v>
      </c>
      <c r="F2511">
        <v>48.855644226000003</v>
      </c>
      <c r="G2511">
        <v>1339.8985596</v>
      </c>
      <c r="H2511">
        <v>1337.6235352000001</v>
      </c>
      <c r="I2511">
        <v>1324.6856689000001</v>
      </c>
      <c r="J2511">
        <v>1321.8775635</v>
      </c>
      <c r="K2511">
        <v>2750</v>
      </c>
      <c r="L2511">
        <v>0</v>
      </c>
      <c r="M2511">
        <v>0</v>
      </c>
      <c r="N2511">
        <v>2750</v>
      </c>
    </row>
    <row r="2512" spans="1:14" x14ac:dyDescent="0.25">
      <c r="A2512">
        <v>1580.388291</v>
      </c>
      <c r="B2512" s="1">
        <f>DATE(2014,8,28) + TIME(9,19,8)</f>
        <v>41879.388287037036</v>
      </c>
      <c r="C2512">
        <v>80</v>
      </c>
      <c r="D2512">
        <v>79.978324889999996</v>
      </c>
      <c r="E2512">
        <v>40</v>
      </c>
      <c r="F2512">
        <v>49.352485657000003</v>
      </c>
      <c r="G2512">
        <v>1339.8952637</v>
      </c>
      <c r="H2512">
        <v>1337.6217041</v>
      </c>
      <c r="I2512">
        <v>1324.6868896000001</v>
      </c>
      <c r="J2512">
        <v>1321.8858643000001</v>
      </c>
      <c r="K2512">
        <v>2750</v>
      </c>
      <c r="L2512">
        <v>0</v>
      </c>
      <c r="M2512">
        <v>0</v>
      </c>
      <c r="N2512">
        <v>2750</v>
      </c>
    </row>
    <row r="2513" spans="1:14" x14ac:dyDescent="0.25">
      <c r="A2513">
        <v>1582.473747</v>
      </c>
      <c r="B2513" s="1">
        <f>DATE(2014,8,30) + TIME(11,22,11)</f>
        <v>41881.473738425928</v>
      </c>
      <c r="C2513">
        <v>80</v>
      </c>
      <c r="D2513">
        <v>79.978324889999996</v>
      </c>
      <c r="E2513">
        <v>40</v>
      </c>
      <c r="F2513">
        <v>49.942829132</v>
      </c>
      <c r="G2513">
        <v>1339.8892822</v>
      </c>
      <c r="H2513">
        <v>1337.6184082</v>
      </c>
      <c r="I2513">
        <v>1324.6932373</v>
      </c>
      <c r="J2513">
        <v>1321.8941649999999</v>
      </c>
      <c r="K2513">
        <v>2750</v>
      </c>
      <c r="L2513">
        <v>0</v>
      </c>
      <c r="M2513">
        <v>0</v>
      </c>
      <c r="N2513">
        <v>2750</v>
      </c>
    </row>
    <row r="2514" spans="1:14" x14ac:dyDescent="0.25">
      <c r="A2514">
        <v>1584</v>
      </c>
      <c r="B2514" s="1">
        <f>DATE(2014,9,1) + TIME(0,0,0)</f>
        <v>41883</v>
      </c>
      <c r="C2514">
        <v>80</v>
      </c>
      <c r="D2514">
        <v>79.978317261000001</v>
      </c>
      <c r="E2514">
        <v>40</v>
      </c>
      <c r="F2514">
        <v>50.528957366999997</v>
      </c>
      <c r="G2514">
        <v>1339.8829346</v>
      </c>
      <c r="H2514">
        <v>1337.6147461</v>
      </c>
      <c r="I2514">
        <v>1324.7021483999999</v>
      </c>
      <c r="J2514">
        <v>1321.9047852000001</v>
      </c>
      <c r="K2514">
        <v>2750</v>
      </c>
      <c r="L2514">
        <v>0</v>
      </c>
      <c r="M2514">
        <v>0</v>
      </c>
      <c r="N2514">
        <v>2750</v>
      </c>
    </row>
    <row r="2515" spans="1:14" x14ac:dyDescent="0.25">
      <c r="A2515">
        <v>1586.198848</v>
      </c>
      <c r="B2515" s="1">
        <f>DATE(2014,9,3) + TIME(4,46,20)</f>
        <v>41885.198842592596</v>
      </c>
      <c r="C2515">
        <v>80</v>
      </c>
      <c r="D2515">
        <v>79.978317261000001</v>
      </c>
      <c r="E2515">
        <v>40</v>
      </c>
      <c r="F2515">
        <v>51.062473296999997</v>
      </c>
      <c r="G2515">
        <v>1339.878418</v>
      </c>
      <c r="H2515">
        <v>1337.6121826000001</v>
      </c>
      <c r="I2515">
        <v>1324.7071533000001</v>
      </c>
      <c r="J2515">
        <v>1321.9152832</v>
      </c>
      <c r="K2515">
        <v>2750</v>
      </c>
      <c r="L2515">
        <v>0</v>
      </c>
      <c r="M2515">
        <v>0</v>
      </c>
      <c r="N2515">
        <v>2750</v>
      </c>
    </row>
    <row r="2516" spans="1:14" x14ac:dyDescent="0.25">
      <c r="A2516">
        <v>1588.513825</v>
      </c>
      <c r="B2516" s="1">
        <f>DATE(2014,9,5) + TIME(12,19,54)</f>
        <v>41887.513819444444</v>
      </c>
      <c r="C2516">
        <v>80</v>
      </c>
      <c r="D2516">
        <v>79.978317261000001</v>
      </c>
      <c r="E2516">
        <v>40</v>
      </c>
      <c r="F2516">
        <v>51.682518004999999</v>
      </c>
      <c r="G2516">
        <v>1339.8719481999999</v>
      </c>
      <c r="H2516">
        <v>1337.6085204999999</v>
      </c>
      <c r="I2516">
        <v>1324.7155762</v>
      </c>
      <c r="J2516">
        <v>1321.9262695</v>
      </c>
      <c r="K2516">
        <v>2750</v>
      </c>
      <c r="L2516">
        <v>0</v>
      </c>
      <c r="M2516">
        <v>0</v>
      </c>
      <c r="N2516">
        <v>2750</v>
      </c>
    </row>
    <row r="2517" spans="1:14" x14ac:dyDescent="0.25">
      <c r="A2517">
        <v>1590.903603</v>
      </c>
      <c r="B2517" s="1">
        <f>DATE(2014,9,7) + TIME(21,41,11)</f>
        <v>41889.903599537036</v>
      </c>
      <c r="C2517">
        <v>80</v>
      </c>
      <c r="D2517">
        <v>79.978317261000001</v>
      </c>
      <c r="E2517">
        <v>40</v>
      </c>
      <c r="F2517">
        <v>52.324764252000001</v>
      </c>
      <c r="G2517">
        <v>1339.8652344</v>
      </c>
      <c r="H2517">
        <v>1337.6047363</v>
      </c>
      <c r="I2517">
        <v>1324.7250977000001</v>
      </c>
      <c r="J2517">
        <v>1321.9393310999999</v>
      </c>
      <c r="K2517">
        <v>2750</v>
      </c>
      <c r="L2517">
        <v>0</v>
      </c>
      <c r="M2517">
        <v>0</v>
      </c>
      <c r="N2517">
        <v>2750</v>
      </c>
    </row>
    <row r="2518" spans="1:14" x14ac:dyDescent="0.25">
      <c r="A2518">
        <v>1593.3659540000001</v>
      </c>
      <c r="B2518" s="1">
        <f>DATE(2014,9,10) + TIME(8,46,58)</f>
        <v>41892.365949074076</v>
      </c>
      <c r="C2518">
        <v>80</v>
      </c>
      <c r="D2518">
        <v>79.978317261000001</v>
      </c>
      <c r="E2518">
        <v>40</v>
      </c>
      <c r="F2518">
        <v>52.966110229000002</v>
      </c>
      <c r="G2518">
        <v>1339.8585204999999</v>
      </c>
      <c r="H2518">
        <v>1337.6009521000001</v>
      </c>
      <c r="I2518">
        <v>1324.7353516000001</v>
      </c>
      <c r="J2518">
        <v>1321.9537353999999</v>
      </c>
      <c r="K2518">
        <v>2750</v>
      </c>
      <c r="L2518">
        <v>0</v>
      </c>
      <c r="M2518">
        <v>0</v>
      </c>
      <c r="N2518">
        <v>2750</v>
      </c>
    </row>
    <row r="2519" spans="1:14" x14ac:dyDescent="0.25">
      <c r="A2519">
        <v>1595.964217</v>
      </c>
      <c r="B2519" s="1">
        <f>DATE(2014,9,12) + TIME(23,8,28)</f>
        <v>41894.964212962965</v>
      </c>
      <c r="C2519">
        <v>80</v>
      </c>
      <c r="D2519">
        <v>79.978324889999996</v>
      </c>
      <c r="E2519">
        <v>40</v>
      </c>
      <c r="F2519">
        <v>53.603141784999998</v>
      </c>
      <c r="G2519">
        <v>1339.8518065999999</v>
      </c>
      <c r="H2519">
        <v>1337.5970459</v>
      </c>
      <c r="I2519">
        <v>1324.7460937999999</v>
      </c>
      <c r="J2519">
        <v>1321.9688721</v>
      </c>
      <c r="K2519">
        <v>2750</v>
      </c>
      <c r="L2519">
        <v>0</v>
      </c>
      <c r="M2519">
        <v>0</v>
      </c>
      <c r="N2519">
        <v>2750</v>
      </c>
    </row>
    <row r="2520" spans="1:14" x14ac:dyDescent="0.25">
      <c r="A2520">
        <v>1598.6874379999999</v>
      </c>
      <c r="B2520" s="1">
        <f>DATE(2014,9,15) + TIME(16,29,54)</f>
        <v>41897.687430555554</v>
      </c>
      <c r="C2520">
        <v>80</v>
      </c>
      <c r="D2520">
        <v>79.978324889999996</v>
      </c>
      <c r="E2520">
        <v>40</v>
      </c>
      <c r="F2520">
        <v>54.241630553999997</v>
      </c>
      <c r="G2520">
        <v>1339.8448486</v>
      </c>
      <c r="H2520">
        <v>1337.5931396000001</v>
      </c>
      <c r="I2520">
        <v>1324.7574463000001</v>
      </c>
      <c r="J2520">
        <v>1321.9847411999999</v>
      </c>
      <c r="K2520">
        <v>2750</v>
      </c>
      <c r="L2520">
        <v>0</v>
      </c>
      <c r="M2520">
        <v>0</v>
      </c>
      <c r="N2520">
        <v>2750</v>
      </c>
    </row>
    <row r="2521" spans="1:14" x14ac:dyDescent="0.25">
      <c r="A2521">
        <v>1601.5923909999999</v>
      </c>
      <c r="B2521" s="1">
        <f>DATE(2014,9,18) + TIME(14,13,2)</f>
        <v>41900.59238425926</v>
      </c>
      <c r="C2521">
        <v>80</v>
      </c>
      <c r="D2521">
        <v>79.978324889999996</v>
      </c>
      <c r="E2521">
        <v>40</v>
      </c>
      <c r="F2521">
        <v>54.876251220999997</v>
      </c>
      <c r="G2521">
        <v>1339.8377685999999</v>
      </c>
      <c r="H2521">
        <v>1337.5889893000001</v>
      </c>
      <c r="I2521">
        <v>1324.7696533000001</v>
      </c>
      <c r="J2521">
        <v>1322.0013428</v>
      </c>
      <c r="K2521">
        <v>2750</v>
      </c>
      <c r="L2521">
        <v>0</v>
      </c>
      <c r="M2521">
        <v>0</v>
      </c>
      <c r="N2521">
        <v>2750</v>
      </c>
    </row>
    <row r="2522" spans="1:14" x14ac:dyDescent="0.25">
      <c r="A2522">
        <v>1604.6515810000001</v>
      </c>
      <c r="B2522" s="1">
        <f>DATE(2014,9,21) + TIME(15,38,16)</f>
        <v>41903.651574074072</v>
      </c>
      <c r="C2522">
        <v>80</v>
      </c>
      <c r="D2522">
        <v>79.978332519999995</v>
      </c>
      <c r="E2522">
        <v>40</v>
      </c>
      <c r="F2522">
        <v>55.518371582</v>
      </c>
      <c r="G2522">
        <v>1339.8303223</v>
      </c>
      <c r="H2522">
        <v>1337.5848389</v>
      </c>
      <c r="I2522">
        <v>1324.7824707</v>
      </c>
      <c r="J2522">
        <v>1322.0187988</v>
      </c>
      <c r="K2522">
        <v>2750</v>
      </c>
      <c r="L2522">
        <v>0</v>
      </c>
      <c r="M2522">
        <v>0</v>
      </c>
      <c r="N2522">
        <v>2750</v>
      </c>
    </row>
    <row r="2523" spans="1:14" x14ac:dyDescent="0.25">
      <c r="A2523">
        <v>1607.8033820000001</v>
      </c>
      <c r="B2523" s="1">
        <f>DATE(2014,9,24) + TIME(19,16,52)</f>
        <v>41906.803379629629</v>
      </c>
      <c r="C2523">
        <v>80</v>
      </c>
      <c r="D2523">
        <v>79.978332519999995</v>
      </c>
      <c r="E2523">
        <v>40</v>
      </c>
      <c r="F2523">
        <v>56.152622223000002</v>
      </c>
      <c r="G2523">
        <v>1339.8227539</v>
      </c>
      <c r="H2523">
        <v>1337.5805664</v>
      </c>
      <c r="I2523">
        <v>1324.7961425999999</v>
      </c>
      <c r="J2523">
        <v>1322.0371094</v>
      </c>
      <c r="K2523">
        <v>2750</v>
      </c>
      <c r="L2523">
        <v>0</v>
      </c>
      <c r="M2523">
        <v>0</v>
      </c>
      <c r="N2523">
        <v>2750</v>
      </c>
    </row>
    <row r="2524" spans="1:14" x14ac:dyDescent="0.25">
      <c r="A2524">
        <v>1611.1580389999999</v>
      </c>
      <c r="B2524" s="1">
        <f>DATE(2014,9,28) + TIME(3,47,34)</f>
        <v>41910.158032407409</v>
      </c>
      <c r="C2524">
        <v>80</v>
      </c>
      <c r="D2524">
        <v>79.978340149000005</v>
      </c>
      <c r="E2524">
        <v>40</v>
      </c>
      <c r="F2524">
        <v>56.784210205000001</v>
      </c>
      <c r="G2524">
        <v>1339.8153076000001</v>
      </c>
      <c r="H2524">
        <v>1337.5761719</v>
      </c>
      <c r="I2524">
        <v>1324.8101807</v>
      </c>
      <c r="J2524">
        <v>1322.0557861</v>
      </c>
      <c r="K2524">
        <v>2750</v>
      </c>
      <c r="L2524">
        <v>0</v>
      </c>
      <c r="M2524">
        <v>0</v>
      </c>
      <c r="N2524">
        <v>2750</v>
      </c>
    </row>
    <row r="2525" spans="1:14" x14ac:dyDescent="0.25">
      <c r="A2525">
        <v>1614</v>
      </c>
      <c r="B2525" s="1">
        <f>DATE(2014,10,1) + TIME(0,0,0)</f>
        <v>41913</v>
      </c>
      <c r="C2525">
        <v>80</v>
      </c>
      <c r="D2525">
        <v>79.978340149000005</v>
      </c>
      <c r="E2525">
        <v>40</v>
      </c>
      <c r="F2525">
        <v>57.377548218000001</v>
      </c>
      <c r="G2525">
        <v>1339.8074951000001</v>
      </c>
      <c r="H2525">
        <v>1337.5717772999999</v>
      </c>
      <c r="I2525">
        <v>1324.8251952999999</v>
      </c>
      <c r="J2525">
        <v>1322.0745850000001</v>
      </c>
      <c r="K2525">
        <v>2750</v>
      </c>
      <c r="L2525">
        <v>0</v>
      </c>
      <c r="M2525">
        <v>0</v>
      </c>
      <c r="N2525">
        <v>2750</v>
      </c>
    </row>
    <row r="2526" spans="1:14" x14ac:dyDescent="0.25">
      <c r="A2526">
        <v>1617.4580530000001</v>
      </c>
      <c r="B2526" s="1">
        <f>DATE(2014,10,4) + TIME(10,59,35)</f>
        <v>41916.458043981482</v>
      </c>
      <c r="C2526">
        <v>80</v>
      </c>
      <c r="D2526">
        <v>79.978347778</v>
      </c>
      <c r="E2526">
        <v>40</v>
      </c>
      <c r="F2526">
        <v>57.914360045999999</v>
      </c>
      <c r="G2526">
        <v>1339.8011475000001</v>
      </c>
      <c r="H2526">
        <v>1337.5681152</v>
      </c>
      <c r="I2526">
        <v>1324.8377685999999</v>
      </c>
      <c r="J2526">
        <v>1322.0926514</v>
      </c>
      <c r="K2526">
        <v>2750</v>
      </c>
      <c r="L2526">
        <v>0</v>
      </c>
      <c r="M2526">
        <v>0</v>
      </c>
      <c r="N2526">
        <v>2750</v>
      </c>
    </row>
    <row r="2527" spans="1:14" x14ac:dyDescent="0.25">
      <c r="A2527">
        <v>1621.1198179999999</v>
      </c>
      <c r="B2527" s="1">
        <f>DATE(2014,10,8) + TIME(2,52,32)</f>
        <v>41920.119814814818</v>
      </c>
      <c r="C2527">
        <v>80</v>
      </c>
      <c r="D2527">
        <v>79.978355407999999</v>
      </c>
      <c r="E2527">
        <v>40</v>
      </c>
      <c r="F2527">
        <v>58.449657440000003</v>
      </c>
      <c r="G2527">
        <v>1339.7935791</v>
      </c>
      <c r="H2527">
        <v>1337.5637207</v>
      </c>
      <c r="I2527">
        <v>1324.8518065999999</v>
      </c>
      <c r="J2527">
        <v>1322.1096190999999</v>
      </c>
      <c r="K2527">
        <v>2750</v>
      </c>
      <c r="L2527">
        <v>0</v>
      </c>
      <c r="M2527">
        <v>0</v>
      </c>
      <c r="N2527">
        <v>2750</v>
      </c>
    </row>
    <row r="2528" spans="1:14" x14ac:dyDescent="0.25">
      <c r="A2528">
        <v>1624.925555</v>
      </c>
      <c r="B2528" s="1">
        <f>DATE(2014,10,11) + TIME(22,12,47)</f>
        <v>41923.925543981481</v>
      </c>
      <c r="C2528">
        <v>80</v>
      </c>
      <c r="D2528">
        <v>79.978370666999993</v>
      </c>
      <c r="E2528">
        <v>40</v>
      </c>
      <c r="F2528">
        <v>59.048225403000004</v>
      </c>
      <c r="G2528">
        <v>1339.7857666</v>
      </c>
      <c r="H2528">
        <v>1337.5593262</v>
      </c>
      <c r="I2528">
        <v>1324.8665771000001</v>
      </c>
      <c r="J2528">
        <v>1322.128418</v>
      </c>
      <c r="K2528">
        <v>2750</v>
      </c>
      <c r="L2528">
        <v>0</v>
      </c>
      <c r="M2528">
        <v>0</v>
      </c>
      <c r="N2528">
        <v>2750</v>
      </c>
    </row>
    <row r="2529" spans="1:14" x14ac:dyDescent="0.25">
      <c r="A2529">
        <v>1628.817601</v>
      </c>
      <c r="B2529" s="1">
        <f>DATE(2014,10,15) + TIME(19,37,20)</f>
        <v>41927.81759259259</v>
      </c>
      <c r="C2529">
        <v>80</v>
      </c>
      <c r="D2529">
        <v>79.978378296000002</v>
      </c>
      <c r="E2529">
        <v>40</v>
      </c>
      <c r="F2529">
        <v>59.508663177000003</v>
      </c>
      <c r="G2529">
        <v>1339.7779541</v>
      </c>
      <c r="H2529">
        <v>1337.5548096</v>
      </c>
      <c r="I2529">
        <v>1324.8825684000001</v>
      </c>
      <c r="J2529">
        <v>1322.1473389</v>
      </c>
      <c r="K2529">
        <v>2750</v>
      </c>
      <c r="L2529">
        <v>0</v>
      </c>
      <c r="M2529">
        <v>0</v>
      </c>
      <c r="N2529">
        <v>2750</v>
      </c>
    </row>
    <row r="2530" spans="1:14" x14ac:dyDescent="0.25">
      <c r="A2530">
        <v>1632.7715020000001</v>
      </c>
      <c r="B2530" s="1">
        <f>DATE(2014,10,19) + TIME(18,30,57)</f>
        <v>41931.771493055552</v>
      </c>
      <c r="C2530">
        <v>80</v>
      </c>
      <c r="D2530">
        <v>79.978385924999998</v>
      </c>
      <c r="E2530">
        <v>40</v>
      </c>
      <c r="F2530">
        <v>60.185417174999998</v>
      </c>
      <c r="G2530">
        <v>1339.7701416</v>
      </c>
      <c r="H2530">
        <v>1337.5504149999999</v>
      </c>
      <c r="I2530">
        <v>1324.8973389</v>
      </c>
      <c r="J2530">
        <v>1322.1673584</v>
      </c>
      <c r="K2530">
        <v>2750</v>
      </c>
      <c r="L2530">
        <v>0</v>
      </c>
      <c r="M2530">
        <v>0</v>
      </c>
      <c r="N2530">
        <v>2750</v>
      </c>
    </row>
    <row r="2531" spans="1:14" x14ac:dyDescent="0.25">
      <c r="A2531">
        <v>1634.7606780000001</v>
      </c>
      <c r="B2531" s="1">
        <f>DATE(2014,10,21) + TIME(18,15,22)</f>
        <v>41933.760671296295</v>
      </c>
      <c r="C2531">
        <v>80</v>
      </c>
      <c r="D2531">
        <v>79.978378296000002</v>
      </c>
      <c r="E2531">
        <v>40</v>
      </c>
      <c r="F2531">
        <v>60.452503204000003</v>
      </c>
      <c r="G2531">
        <v>1339.7626952999999</v>
      </c>
      <c r="H2531">
        <v>1337.5461425999999</v>
      </c>
      <c r="I2531">
        <v>1324.9150391000001</v>
      </c>
      <c r="J2531">
        <v>1322.1865233999999</v>
      </c>
      <c r="K2531">
        <v>2750</v>
      </c>
      <c r="L2531">
        <v>0</v>
      </c>
      <c r="M2531">
        <v>0</v>
      </c>
      <c r="N2531">
        <v>2750</v>
      </c>
    </row>
    <row r="2532" spans="1:14" x14ac:dyDescent="0.25">
      <c r="A2532">
        <v>1636.715747</v>
      </c>
      <c r="B2532" s="1">
        <f>DATE(2014,10,23) + TIME(17,10,40)</f>
        <v>41935.715740740743</v>
      </c>
      <c r="C2532">
        <v>80</v>
      </c>
      <c r="D2532">
        <v>79.978378296000002</v>
      </c>
      <c r="E2532">
        <v>40</v>
      </c>
      <c r="F2532">
        <v>60.760551452999998</v>
      </c>
      <c r="G2532">
        <v>1339.7590332</v>
      </c>
      <c r="H2532">
        <v>1337.5440673999999</v>
      </c>
      <c r="I2532">
        <v>1324.9246826000001</v>
      </c>
      <c r="J2532">
        <v>1322.2009277</v>
      </c>
      <c r="K2532">
        <v>2750</v>
      </c>
      <c r="L2532">
        <v>0</v>
      </c>
      <c r="M2532">
        <v>0</v>
      </c>
      <c r="N2532">
        <v>2750</v>
      </c>
    </row>
    <row r="2533" spans="1:14" x14ac:dyDescent="0.25">
      <c r="A2533">
        <v>1640.6258849999999</v>
      </c>
      <c r="B2533" s="1">
        <f>DATE(2014,10,27) + TIME(15,1,16)</f>
        <v>41939.625879629632</v>
      </c>
      <c r="C2533">
        <v>80</v>
      </c>
      <c r="D2533">
        <v>79.978408813000001</v>
      </c>
      <c r="E2533">
        <v>40</v>
      </c>
      <c r="F2533">
        <v>60.950935364000003</v>
      </c>
      <c r="G2533">
        <v>1339.7554932</v>
      </c>
      <c r="H2533">
        <v>1337.5419922000001</v>
      </c>
      <c r="I2533">
        <v>1324.9320068</v>
      </c>
      <c r="J2533">
        <v>1322.2105713000001</v>
      </c>
      <c r="K2533">
        <v>2750</v>
      </c>
      <c r="L2533">
        <v>0</v>
      </c>
      <c r="M2533">
        <v>0</v>
      </c>
      <c r="N2533">
        <v>2750</v>
      </c>
    </row>
    <row r="2534" spans="1:14" x14ac:dyDescent="0.25">
      <c r="A2534">
        <v>1642.645579</v>
      </c>
      <c r="B2534" s="1">
        <f>DATE(2014,10,29) + TIME(15,29,38)</f>
        <v>41941.645578703705</v>
      </c>
      <c r="C2534">
        <v>80</v>
      </c>
      <c r="D2534">
        <v>79.978401184000006</v>
      </c>
      <c r="E2534">
        <v>40</v>
      </c>
      <c r="F2534">
        <v>61.471660614000001</v>
      </c>
      <c r="G2534">
        <v>1339.7484131000001</v>
      </c>
      <c r="H2534">
        <v>1337.5379639</v>
      </c>
      <c r="I2534">
        <v>1324.9443358999999</v>
      </c>
      <c r="J2534">
        <v>1322.2230225000001</v>
      </c>
      <c r="K2534">
        <v>2750</v>
      </c>
      <c r="L2534">
        <v>0</v>
      </c>
      <c r="M2534">
        <v>0</v>
      </c>
      <c r="N2534">
        <v>2750</v>
      </c>
    </row>
    <row r="2535" spans="1:14" x14ac:dyDescent="0.25">
      <c r="A2535">
        <v>1645</v>
      </c>
      <c r="B2535" s="1">
        <f>DATE(2014,11,1) + TIME(0,0,0)</f>
        <v>41944</v>
      </c>
      <c r="C2535">
        <v>80</v>
      </c>
      <c r="D2535">
        <v>79.978408813000001</v>
      </c>
      <c r="E2535">
        <v>40</v>
      </c>
      <c r="F2535">
        <v>61.680053710999999</v>
      </c>
      <c r="G2535">
        <v>1339.7448730000001</v>
      </c>
      <c r="H2535">
        <v>1337.5360106999999</v>
      </c>
      <c r="I2535">
        <v>1324.9536132999999</v>
      </c>
      <c r="J2535">
        <v>1322.237793</v>
      </c>
      <c r="K2535">
        <v>2750</v>
      </c>
      <c r="L2535">
        <v>0</v>
      </c>
      <c r="M2535">
        <v>0</v>
      </c>
      <c r="N2535">
        <v>2750</v>
      </c>
    </row>
    <row r="2536" spans="1:14" x14ac:dyDescent="0.25">
      <c r="A2536">
        <v>1645.0000010000001</v>
      </c>
      <c r="B2536" s="1">
        <f>DATE(2014,11,1) + TIME(0,0,0)</f>
        <v>41944</v>
      </c>
      <c r="C2536">
        <v>80</v>
      </c>
      <c r="D2536">
        <v>79.978309631000002</v>
      </c>
      <c r="E2536">
        <v>40</v>
      </c>
      <c r="F2536">
        <v>61.680152892999999</v>
      </c>
      <c r="G2536">
        <v>1336.8395995999999</v>
      </c>
      <c r="H2536">
        <v>1336.0455322</v>
      </c>
      <c r="I2536">
        <v>1328.6064452999999</v>
      </c>
      <c r="J2536">
        <v>1326.0021973</v>
      </c>
      <c r="K2536">
        <v>0</v>
      </c>
      <c r="L2536">
        <v>2750</v>
      </c>
      <c r="M2536">
        <v>2750</v>
      </c>
      <c r="N2536">
        <v>0</v>
      </c>
    </row>
    <row r="2537" spans="1:14" x14ac:dyDescent="0.25">
      <c r="A2537">
        <v>1645.000004</v>
      </c>
      <c r="B2537" s="1">
        <f>DATE(2014,11,1) + TIME(0,0,0)</f>
        <v>41944</v>
      </c>
      <c r="C2537">
        <v>80</v>
      </c>
      <c r="D2537">
        <v>79.978179932000003</v>
      </c>
      <c r="E2537">
        <v>40</v>
      </c>
      <c r="F2537">
        <v>61.680225372000002</v>
      </c>
      <c r="G2537">
        <v>1335.9079589999999</v>
      </c>
      <c r="H2537">
        <v>1335.0992432</v>
      </c>
      <c r="I2537">
        <v>1329.9598389</v>
      </c>
      <c r="J2537">
        <v>1327.4759521000001</v>
      </c>
      <c r="K2537">
        <v>0</v>
      </c>
      <c r="L2537">
        <v>2750</v>
      </c>
      <c r="M2537">
        <v>2750</v>
      </c>
      <c r="N2537">
        <v>0</v>
      </c>
    </row>
    <row r="2538" spans="1:14" x14ac:dyDescent="0.25">
      <c r="A2538">
        <v>1645.0000130000001</v>
      </c>
      <c r="B2538" s="1">
        <f>DATE(2014,11,1) + TIME(0,0,1)</f>
        <v>41944.000011574077</v>
      </c>
      <c r="C2538">
        <v>80</v>
      </c>
      <c r="D2538">
        <v>79.978034973000007</v>
      </c>
      <c r="E2538">
        <v>40</v>
      </c>
      <c r="F2538">
        <v>61.680072783999996</v>
      </c>
      <c r="G2538">
        <v>1334.9415283000001</v>
      </c>
      <c r="H2538">
        <v>1334.0983887</v>
      </c>
      <c r="I2538">
        <v>1331.5947266000001</v>
      </c>
      <c r="J2538">
        <v>1329.0913086</v>
      </c>
      <c r="K2538">
        <v>0</v>
      </c>
      <c r="L2538">
        <v>2750</v>
      </c>
      <c r="M2538">
        <v>2750</v>
      </c>
      <c r="N2538">
        <v>0</v>
      </c>
    </row>
    <row r="2539" spans="1:14" x14ac:dyDescent="0.25">
      <c r="A2539">
        <v>1645.0000399999999</v>
      </c>
      <c r="B2539" s="1">
        <f>DATE(2014,11,1) + TIME(0,0,3)</f>
        <v>41944.000034722223</v>
      </c>
      <c r="C2539">
        <v>80</v>
      </c>
      <c r="D2539">
        <v>79.977897643999995</v>
      </c>
      <c r="E2539">
        <v>40</v>
      </c>
      <c r="F2539">
        <v>61.679161071999999</v>
      </c>
      <c r="G2539">
        <v>1333.9871826000001</v>
      </c>
      <c r="H2539">
        <v>1333.0968018000001</v>
      </c>
      <c r="I2539">
        <v>1333.2513428</v>
      </c>
      <c r="J2539">
        <v>1330.7016602000001</v>
      </c>
      <c r="K2539">
        <v>0</v>
      </c>
      <c r="L2539">
        <v>2750</v>
      </c>
      <c r="M2539">
        <v>2750</v>
      </c>
      <c r="N2539">
        <v>0</v>
      </c>
    </row>
    <row r="2540" spans="1:14" x14ac:dyDescent="0.25">
      <c r="A2540">
        <v>1645.000121</v>
      </c>
      <c r="B2540" s="1">
        <f>DATE(2014,11,1) + TIME(0,0,10)</f>
        <v>41944.000115740739</v>
      </c>
      <c r="C2540">
        <v>80</v>
      </c>
      <c r="D2540">
        <v>79.977752686000002</v>
      </c>
      <c r="E2540">
        <v>40</v>
      </c>
      <c r="F2540">
        <v>61.675933837999999</v>
      </c>
      <c r="G2540">
        <v>1332.9986572</v>
      </c>
      <c r="H2540">
        <v>1332.0457764</v>
      </c>
      <c r="I2540">
        <v>1334.8856201000001</v>
      </c>
      <c r="J2540">
        <v>1332.2913818</v>
      </c>
      <c r="K2540">
        <v>0</v>
      </c>
      <c r="L2540">
        <v>2750</v>
      </c>
      <c r="M2540">
        <v>2750</v>
      </c>
      <c r="N2540">
        <v>0</v>
      </c>
    </row>
    <row r="2541" spans="1:14" x14ac:dyDescent="0.25">
      <c r="A2541">
        <v>1645.000364</v>
      </c>
      <c r="B2541" s="1">
        <f>DATE(2014,11,1) + TIME(0,0,31)</f>
        <v>41944.000358796293</v>
      </c>
      <c r="C2541">
        <v>80</v>
      </c>
      <c r="D2541">
        <v>79.977577209000003</v>
      </c>
      <c r="E2541">
        <v>40</v>
      </c>
      <c r="F2541">
        <v>61.665615082000002</v>
      </c>
      <c r="G2541">
        <v>1331.9503173999999</v>
      </c>
      <c r="H2541">
        <v>1330.9257812000001</v>
      </c>
      <c r="I2541">
        <v>1336.4970702999999</v>
      </c>
      <c r="J2541">
        <v>1333.8470459</v>
      </c>
      <c r="K2541">
        <v>0</v>
      </c>
      <c r="L2541">
        <v>2750</v>
      </c>
      <c r="M2541">
        <v>2750</v>
      </c>
      <c r="N2541">
        <v>0</v>
      </c>
    </row>
    <row r="2542" spans="1:14" x14ac:dyDescent="0.25">
      <c r="A2542">
        <v>1645.0010930000001</v>
      </c>
      <c r="B2542" s="1">
        <f>DATE(2014,11,1) + TIME(0,1,34)</f>
        <v>41944.001087962963</v>
      </c>
      <c r="C2542">
        <v>80</v>
      </c>
      <c r="D2542">
        <v>79.977348328000005</v>
      </c>
      <c r="E2542">
        <v>40</v>
      </c>
      <c r="F2542">
        <v>61.633522034000002</v>
      </c>
      <c r="G2542">
        <v>1330.9447021000001</v>
      </c>
      <c r="H2542">
        <v>1329.8579102000001</v>
      </c>
      <c r="I2542">
        <v>1337.9598389</v>
      </c>
      <c r="J2542">
        <v>1335.2451172000001</v>
      </c>
      <c r="K2542">
        <v>0</v>
      </c>
      <c r="L2542">
        <v>2750</v>
      </c>
      <c r="M2542">
        <v>2750</v>
      </c>
      <c r="N2542">
        <v>0</v>
      </c>
    </row>
    <row r="2543" spans="1:14" x14ac:dyDescent="0.25">
      <c r="A2543">
        <v>1645.0032799999999</v>
      </c>
      <c r="B2543" s="1">
        <f>DATE(2014,11,1) + TIME(0,4,43)</f>
        <v>41944.003275462965</v>
      </c>
      <c r="C2543">
        <v>80</v>
      </c>
      <c r="D2543">
        <v>79.976997374999996</v>
      </c>
      <c r="E2543">
        <v>40</v>
      </c>
      <c r="F2543">
        <v>61.535675048999998</v>
      </c>
      <c r="G2543">
        <v>1330.2001952999999</v>
      </c>
      <c r="H2543">
        <v>1329.0795897999999</v>
      </c>
      <c r="I2543">
        <v>1339.0255127</v>
      </c>
      <c r="J2543">
        <v>1336.262207</v>
      </c>
      <c r="K2543">
        <v>0</v>
      </c>
      <c r="L2543">
        <v>2750</v>
      </c>
      <c r="M2543">
        <v>2750</v>
      </c>
      <c r="N2543">
        <v>0</v>
      </c>
    </row>
    <row r="2544" spans="1:14" x14ac:dyDescent="0.25">
      <c r="A2544">
        <v>1645.0098410000001</v>
      </c>
      <c r="B2544" s="1">
        <f>DATE(2014,11,1) + TIME(0,14,10)</f>
        <v>41944.009837962964</v>
      </c>
      <c r="C2544">
        <v>80</v>
      </c>
      <c r="D2544">
        <v>79.976196289000001</v>
      </c>
      <c r="E2544">
        <v>40</v>
      </c>
      <c r="F2544">
        <v>61.244560241999999</v>
      </c>
      <c r="G2544">
        <v>1329.8367920000001</v>
      </c>
      <c r="H2544">
        <v>1328.7058105000001</v>
      </c>
      <c r="I2544">
        <v>1339.5565185999999</v>
      </c>
      <c r="J2544">
        <v>1336.7695312000001</v>
      </c>
      <c r="K2544">
        <v>0</v>
      </c>
      <c r="L2544">
        <v>2750</v>
      </c>
      <c r="M2544">
        <v>2750</v>
      </c>
      <c r="N2544">
        <v>0</v>
      </c>
    </row>
    <row r="2545" spans="1:14" x14ac:dyDescent="0.25">
      <c r="A2545">
        <v>1645.029524</v>
      </c>
      <c r="B2545" s="1">
        <f>DATE(2014,11,1) + TIME(0,42,30)</f>
        <v>41944.029513888891</v>
      </c>
      <c r="C2545">
        <v>80</v>
      </c>
      <c r="D2545">
        <v>79.973968506000006</v>
      </c>
      <c r="E2545">
        <v>40</v>
      </c>
      <c r="F2545">
        <v>60.411300658999998</v>
      </c>
      <c r="G2545">
        <v>1329.7474365</v>
      </c>
      <c r="H2545">
        <v>1328.6140137</v>
      </c>
      <c r="I2545">
        <v>1339.6945800999999</v>
      </c>
      <c r="J2545">
        <v>1336.8925781</v>
      </c>
      <c r="K2545">
        <v>0</v>
      </c>
      <c r="L2545">
        <v>2750</v>
      </c>
      <c r="M2545">
        <v>2750</v>
      </c>
      <c r="N2545">
        <v>0</v>
      </c>
    </row>
    <row r="2546" spans="1:14" x14ac:dyDescent="0.25">
      <c r="A2546">
        <v>1645.053146</v>
      </c>
      <c r="B2546" s="1">
        <f>DATE(2014,11,1) + TIME(1,16,31)</f>
        <v>41944.053136574075</v>
      </c>
      <c r="C2546">
        <v>80</v>
      </c>
      <c r="D2546">
        <v>79.971328735</v>
      </c>
      <c r="E2546">
        <v>40</v>
      </c>
      <c r="F2546">
        <v>59.468540191999999</v>
      </c>
      <c r="G2546">
        <v>1329.7370605000001</v>
      </c>
      <c r="H2546">
        <v>1328.6018065999999</v>
      </c>
      <c r="I2546">
        <v>1339.6953125</v>
      </c>
      <c r="J2546">
        <v>1336.8864745999999</v>
      </c>
      <c r="K2546">
        <v>0</v>
      </c>
      <c r="L2546">
        <v>2750</v>
      </c>
      <c r="M2546">
        <v>2750</v>
      </c>
      <c r="N2546">
        <v>0</v>
      </c>
    </row>
    <row r="2547" spans="1:14" x14ac:dyDescent="0.25">
      <c r="A2547">
        <v>1645.078201</v>
      </c>
      <c r="B2547" s="1">
        <f>DATE(2014,11,1) + TIME(1,52,36)</f>
        <v>41944.078194444446</v>
      </c>
      <c r="C2547">
        <v>80</v>
      </c>
      <c r="D2547">
        <v>79.968551636000001</v>
      </c>
      <c r="E2547">
        <v>40</v>
      </c>
      <c r="F2547">
        <v>58.528617859000001</v>
      </c>
      <c r="G2547">
        <v>1329.7332764</v>
      </c>
      <c r="H2547">
        <v>1328.5963135</v>
      </c>
      <c r="I2547">
        <v>1339.6801757999999</v>
      </c>
      <c r="J2547">
        <v>1336.8659668</v>
      </c>
      <c r="K2547">
        <v>0</v>
      </c>
      <c r="L2547">
        <v>2750</v>
      </c>
      <c r="M2547">
        <v>2750</v>
      </c>
      <c r="N2547">
        <v>0</v>
      </c>
    </row>
    <row r="2548" spans="1:14" x14ac:dyDescent="0.25">
      <c r="A2548">
        <v>1645.104859</v>
      </c>
      <c r="B2548" s="1">
        <f>DATE(2014,11,1) + TIME(2,30,59)</f>
        <v>41944.104849537034</v>
      </c>
      <c r="C2548">
        <v>80</v>
      </c>
      <c r="D2548">
        <v>79.965621948000006</v>
      </c>
      <c r="E2548">
        <v>40</v>
      </c>
      <c r="F2548">
        <v>57.591396332000002</v>
      </c>
      <c r="G2548">
        <v>1329.7297363</v>
      </c>
      <c r="H2548">
        <v>1328.5909423999999</v>
      </c>
      <c r="I2548">
        <v>1339.6636963000001</v>
      </c>
      <c r="J2548">
        <v>1336.8439940999999</v>
      </c>
      <c r="K2548">
        <v>0</v>
      </c>
      <c r="L2548">
        <v>2750</v>
      </c>
      <c r="M2548">
        <v>2750</v>
      </c>
      <c r="N2548">
        <v>0</v>
      </c>
    </row>
    <row r="2549" spans="1:14" x14ac:dyDescent="0.25">
      <c r="A2549">
        <v>1645.133302</v>
      </c>
      <c r="B2549" s="1">
        <f>DATE(2014,11,1) + TIME(3,11,57)</f>
        <v>41944.133298611108</v>
      </c>
      <c r="C2549">
        <v>80</v>
      </c>
      <c r="D2549">
        <v>79.962524414000001</v>
      </c>
      <c r="E2549">
        <v>40</v>
      </c>
      <c r="F2549">
        <v>56.656822204999997</v>
      </c>
      <c r="G2549">
        <v>1329.7260742000001</v>
      </c>
      <c r="H2549">
        <v>1328.5854492000001</v>
      </c>
      <c r="I2549">
        <v>1339.6468506000001</v>
      </c>
      <c r="J2549">
        <v>1336.8218993999999</v>
      </c>
      <c r="K2549">
        <v>0</v>
      </c>
      <c r="L2549">
        <v>2750</v>
      </c>
      <c r="M2549">
        <v>2750</v>
      </c>
      <c r="N2549">
        <v>0</v>
      </c>
    </row>
    <row r="2550" spans="1:14" x14ac:dyDescent="0.25">
      <c r="A2550">
        <v>1645.163736</v>
      </c>
      <c r="B2550" s="1">
        <f>DATE(2014,11,1) + TIME(3,55,46)</f>
        <v>41944.163726851853</v>
      </c>
      <c r="C2550">
        <v>80</v>
      </c>
      <c r="D2550">
        <v>79.959236145000006</v>
      </c>
      <c r="E2550">
        <v>40</v>
      </c>
      <c r="F2550">
        <v>55.725154877000001</v>
      </c>
      <c r="G2550">
        <v>1329.722168</v>
      </c>
      <c r="H2550">
        <v>1328.5794678</v>
      </c>
      <c r="I2550">
        <v>1339.6300048999999</v>
      </c>
      <c r="J2550">
        <v>1336.7998047000001</v>
      </c>
      <c r="K2550">
        <v>0</v>
      </c>
      <c r="L2550">
        <v>2750</v>
      </c>
      <c r="M2550">
        <v>2750</v>
      </c>
      <c r="N2550">
        <v>0</v>
      </c>
    </row>
    <row r="2551" spans="1:14" x14ac:dyDescent="0.25">
      <c r="A2551">
        <v>1645.196402</v>
      </c>
      <c r="B2551" s="1">
        <f>DATE(2014,11,1) + TIME(4,42,49)</f>
        <v>41944.196400462963</v>
      </c>
      <c r="C2551">
        <v>80</v>
      </c>
      <c r="D2551">
        <v>79.955734253000003</v>
      </c>
      <c r="E2551">
        <v>40</v>
      </c>
      <c r="F2551">
        <v>54.796695708999998</v>
      </c>
      <c r="G2551">
        <v>1329.7180175999999</v>
      </c>
      <c r="H2551">
        <v>1328.5733643000001</v>
      </c>
      <c r="I2551">
        <v>1339.6129149999999</v>
      </c>
      <c r="J2551">
        <v>1336.7774658000001</v>
      </c>
      <c r="K2551">
        <v>0</v>
      </c>
      <c r="L2551">
        <v>2750</v>
      </c>
      <c r="M2551">
        <v>2750</v>
      </c>
      <c r="N2551">
        <v>0</v>
      </c>
    </row>
    <row r="2552" spans="1:14" x14ac:dyDescent="0.25">
      <c r="A2552">
        <v>1645.2315860000001</v>
      </c>
      <c r="B2552" s="1">
        <f>DATE(2014,11,1) + TIME(5,33,28)</f>
        <v>41944.231574074074</v>
      </c>
      <c r="C2552">
        <v>80</v>
      </c>
      <c r="D2552">
        <v>79.952011107999994</v>
      </c>
      <c r="E2552">
        <v>40</v>
      </c>
      <c r="F2552">
        <v>53.871788025000001</v>
      </c>
      <c r="G2552">
        <v>1329.7137451000001</v>
      </c>
      <c r="H2552">
        <v>1328.5667725000001</v>
      </c>
      <c r="I2552">
        <v>1339.5957031</v>
      </c>
      <c r="J2552">
        <v>1336.755249</v>
      </c>
      <c r="K2552">
        <v>0</v>
      </c>
      <c r="L2552">
        <v>2750</v>
      </c>
      <c r="M2552">
        <v>2750</v>
      </c>
      <c r="N2552">
        <v>0</v>
      </c>
    </row>
    <row r="2553" spans="1:14" x14ac:dyDescent="0.25">
      <c r="A2553">
        <v>1645.2696249999999</v>
      </c>
      <c r="B2553" s="1">
        <f>DATE(2014,11,1) + TIME(6,28,15)</f>
        <v>41944.269618055558</v>
      </c>
      <c r="C2553">
        <v>80</v>
      </c>
      <c r="D2553">
        <v>79.948020935000002</v>
      </c>
      <c r="E2553">
        <v>40</v>
      </c>
      <c r="F2553">
        <v>52.950843810999999</v>
      </c>
      <c r="G2553">
        <v>1329.7091064000001</v>
      </c>
      <c r="H2553">
        <v>1328.5598144999999</v>
      </c>
      <c r="I2553">
        <v>1339.5784911999999</v>
      </c>
      <c r="J2553">
        <v>1336.7329102000001</v>
      </c>
      <c r="K2553">
        <v>0</v>
      </c>
      <c r="L2553">
        <v>2750</v>
      </c>
      <c r="M2553">
        <v>2750</v>
      </c>
      <c r="N2553">
        <v>0</v>
      </c>
    </row>
    <row r="2554" spans="1:14" x14ac:dyDescent="0.25">
      <c r="A2554">
        <v>1645.310931</v>
      </c>
      <c r="B2554" s="1">
        <f>DATE(2014,11,1) + TIME(7,27,44)</f>
        <v>41944.310925925929</v>
      </c>
      <c r="C2554">
        <v>80</v>
      </c>
      <c r="D2554">
        <v>79.943740844999994</v>
      </c>
      <c r="E2554">
        <v>40</v>
      </c>
      <c r="F2554">
        <v>52.034355163999997</v>
      </c>
      <c r="G2554">
        <v>1329.7042236</v>
      </c>
      <c r="H2554">
        <v>1328.5524902</v>
      </c>
      <c r="I2554">
        <v>1339.5610352000001</v>
      </c>
      <c r="J2554">
        <v>1336.7105713000001</v>
      </c>
      <c r="K2554">
        <v>0</v>
      </c>
      <c r="L2554">
        <v>2750</v>
      </c>
      <c r="M2554">
        <v>2750</v>
      </c>
      <c r="N2554">
        <v>0</v>
      </c>
    </row>
    <row r="2555" spans="1:14" x14ac:dyDescent="0.25">
      <c r="A2555">
        <v>1645.356</v>
      </c>
      <c r="B2555" s="1">
        <f>DATE(2014,11,1) + TIME(8,32,38)</f>
        <v>41944.355995370373</v>
      </c>
      <c r="C2555">
        <v>80</v>
      </c>
      <c r="D2555">
        <v>79.939132689999994</v>
      </c>
      <c r="E2555">
        <v>40</v>
      </c>
      <c r="F2555">
        <v>51.122901917</v>
      </c>
      <c r="G2555">
        <v>1329.6989745999999</v>
      </c>
      <c r="H2555">
        <v>1328.5446777</v>
      </c>
      <c r="I2555">
        <v>1339.543457</v>
      </c>
      <c r="J2555">
        <v>1336.6881103999999</v>
      </c>
      <c r="K2555">
        <v>0</v>
      </c>
      <c r="L2555">
        <v>2750</v>
      </c>
      <c r="M2555">
        <v>2750</v>
      </c>
      <c r="N2555">
        <v>0</v>
      </c>
    </row>
    <row r="2556" spans="1:14" x14ac:dyDescent="0.25">
      <c r="A2556">
        <v>1645.4054470000001</v>
      </c>
      <c r="B2556" s="1">
        <f>DATE(2014,11,1) + TIME(9,43,50)</f>
        <v>41944.405439814815</v>
      </c>
      <c r="C2556">
        <v>80</v>
      </c>
      <c r="D2556">
        <v>79.934143066000004</v>
      </c>
      <c r="E2556">
        <v>40</v>
      </c>
      <c r="F2556">
        <v>50.217189789000003</v>
      </c>
      <c r="G2556">
        <v>1329.6934814000001</v>
      </c>
      <c r="H2556">
        <v>1328.5362548999999</v>
      </c>
      <c r="I2556">
        <v>1339.5257568</v>
      </c>
      <c r="J2556">
        <v>1336.6656493999999</v>
      </c>
      <c r="K2556">
        <v>0</v>
      </c>
      <c r="L2556">
        <v>2750</v>
      </c>
      <c r="M2556">
        <v>2750</v>
      </c>
      <c r="N2556">
        <v>0</v>
      </c>
    </row>
    <row r="2557" spans="1:14" x14ac:dyDescent="0.25">
      <c r="A2557">
        <v>1645.4600419999999</v>
      </c>
      <c r="B2557" s="1">
        <f>DATE(2014,11,1) + TIME(11,2,27)</f>
        <v>41944.460034722222</v>
      </c>
      <c r="C2557">
        <v>80</v>
      </c>
      <c r="D2557">
        <v>79.928710937999995</v>
      </c>
      <c r="E2557">
        <v>40</v>
      </c>
      <c r="F2557">
        <v>49.317749022999998</v>
      </c>
      <c r="G2557">
        <v>1329.6875</v>
      </c>
      <c r="H2557">
        <v>1328.5272216999999</v>
      </c>
      <c r="I2557">
        <v>1339.5078125</v>
      </c>
      <c r="J2557">
        <v>1336.6433105000001</v>
      </c>
      <c r="K2557">
        <v>0</v>
      </c>
      <c r="L2557">
        <v>2750</v>
      </c>
      <c r="M2557">
        <v>2750</v>
      </c>
      <c r="N2557">
        <v>0</v>
      </c>
    </row>
    <row r="2558" spans="1:14" x14ac:dyDescent="0.25">
      <c r="A2558">
        <v>1645.5193690000001</v>
      </c>
      <c r="B2558" s="1">
        <f>DATE(2014,11,1) + TIME(12,27,53)</f>
        <v>41944.519363425927</v>
      </c>
      <c r="C2558">
        <v>80</v>
      </c>
      <c r="D2558">
        <v>79.922889709000003</v>
      </c>
      <c r="E2558">
        <v>40</v>
      </c>
      <c r="F2558">
        <v>48.444240569999998</v>
      </c>
      <c r="G2558">
        <v>1329.6810303</v>
      </c>
      <c r="H2558">
        <v>1328.5175781</v>
      </c>
      <c r="I2558">
        <v>1339.4899902</v>
      </c>
      <c r="J2558">
        <v>1336.6212158000001</v>
      </c>
      <c r="K2558">
        <v>0</v>
      </c>
      <c r="L2558">
        <v>2750</v>
      </c>
      <c r="M2558">
        <v>2750</v>
      </c>
      <c r="N2558">
        <v>0</v>
      </c>
    </row>
    <row r="2559" spans="1:14" x14ac:dyDescent="0.25">
      <c r="A2559">
        <v>1645.5828389999999</v>
      </c>
      <c r="B2559" s="1">
        <f>DATE(2014,11,1) + TIME(13,59,17)</f>
        <v>41944.582835648151</v>
      </c>
      <c r="C2559">
        <v>80</v>
      </c>
      <c r="D2559">
        <v>79.916755675999994</v>
      </c>
      <c r="E2559">
        <v>40</v>
      </c>
      <c r="F2559">
        <v>47.613143921000002</v>
      </c>
      <c r="G2559">
        <v>1329.6743164</v>
      </c>
      <c r="H2559">
        <v>1328.5074463000001</v>
      </c>
      <c r="I2559">
        <v>1339.4724120999999</v>
      </c>
      <c r="J2559">
        <v>1336.5999756000001</v>
      </c>
      <c r="K2559">
        <v>0</v>
      </c>
      <c r="L2559">
        <v>2750</v>
      </c>
      <c r="M2559">
        <v>2750</v>
      </c>
      <c r="N2559">
        <v>0</v>
      </c>
    </row>
    <row r="2560" spans="1:14" x14ac:dyDescent="0.25">
      <c r="A2560">
        <v>1645.6509410000001</v>
      </c>
      <c r="B2560" s="1">
        <f>DATE(2014,11,1) + TIME(15,37,21)</f>
        <v>41944.650937500002</v>
      </c>
      <c r="C2560">
        <v>80</v>
      </c>
      <c r="D2560">
        <v>79.910270690999994</v>
      </c>
      <c r="E2560">
        <v>40</v>
      </c>
      <c r="F2560">
        <v>46.824268341</v>
      </c>
      <c r="G2560">
        <v>1329.6672363</v>
      </c>
      <c r="H2560">
        <v>1328.4968262</v>
      </c>
      <c r="I2560">
        <v>1339.4555664</v>
      </c>
      <c r="J2560">
        <v>1336.5797118999999</v>
      </c>
      <c r="K2560">
        <v>0</v>
      </c>
      <c r="L2560">
        <v>2750</v>
      </c>
      <c r="M2560">
        <v>2750</v>
      </c>
      <c r="N2560">
        <v>0</v>
      </c>
    </row>
    <row r="2561" spans="1:14" x14ac:dyDescent="0.25">
      <c r="A2561">
        <v>1645.724228</v>
      </c>
      <c r="B2561" s="1">
        <f>DATE(2014,11,1) + TIME(17,22,53)</f>
        <v>41944.724224537036</v>
      </c>
      <c r="C2561">
        <v>80</v>
      </c>
      <c r="D2561">
        <v>79.903388977000006</v>
      </c>
      <c r="E2561">
        <v>40</v>
      </c>
      <c r="F2561">
        <v>46.077739716000004</v>
      </c>
      <c r="G2561">
        <v>1329.6597899999999</v>
      </c>
      <c r="H2561">
        <v>1328.4857178</v>
      </c>
      <c r="I2561">
        <v>1339.4393310999999</v>
      </c>
      <c r="J2561">
        <v>1336.5604248</v>
      </c>
      <c r="K2561">
        <v>0</v>
      </c>
      <c r="L2561">
        <v>2750</v>
      </c>
      <c r="M2561">
        <v>2750</v>
      </c>
      <c r="N2561">
        <v>0</v>
      </c>
    </row>
    <row r="2562" spans="1:14" x14ac:dyDescent="0.25">
      <c r="A2562">
        <v>1645.8027529999999</v>
      </c>
      <c r="B2562" s="1">
        <f>DATE(2014,11,1) + TIME(19,15,57)</f>
        <v>41944.802743055552</v>
      </c>
      <c r="C2562">
        <v>80</v>
      </c>
      <c r="D2562">
        <v>79.896133422999995</v>
      </c>
      <c r="E2562">
        <v>40</v>
      </c>
      <c r="F2562">
        <v>45.378429412999999</v>
      </c>
      <c r="G2562">
        <v>1329.6520995999999</v>
      </c>
      <c r="H2562">
        <v>1328.4741211</v>
      </c>
      <c r="I2562">
        <v>1339.4237060999999</v>
      </c>
      <c r="J2562">
        <v>1336.5423584</v>
      </c>
      <c r="K2562">
        <v>0</v>
      </c>
      <c r="L2562">
        <v>2750</v>
      </c>
      <c r="M2562">
        <v>2750</v>
      </c>
      <c r="N2562">
        <v>0</v>
      </c>
    </row>
    <row r="2563" spans="1:14" x14ac:dyDescent="0.25">
      <c r="A2563">
        <v>1645.884159</v>
      </c>
      <c r="B2563" s="1">
        <f>DATE(2014,11,1) + TIME(21,13,11)</f>
        <v>41944.884155092594</v>
      </c>
      <c r="C2563">
        <v>80</v>
      </c>
      <c r="D2563">
        <v>79.888702393000003</v>
      </c>
      <c r="E2563">
        <v>40</v>
      </c>
      <c r="F2563">
        <v>44.745887756000002</v>
      </c>
      <c r="G2563">
        <v>1329.644043</v>
      </c>
      <c r="H2563">
        <v>1328.4621582</v>
      </c>
      <c r="I2563">
        <v>1339.4091797000001</v>
      </c>
      <c r="J2563">
        <v>1336.5257568</v>
      </c>
      <c r="K2563">
        <v>0</v>
      </c>
      <c r="L2563">
        <v>2750</v>
      </c>
      <c r="M2563">
        <v>2750</v>
      </c>
      <c r="N2563">
        <v>0</v>
      </c>
    </row>
    <row r="2564" spans="1:14" x14ac:dyDescent="0.25">
      <c r="A2564">
        <v>1645.9687280000001</v>
      </c>
      <c r="B2564" s="1">
        <f>DATE(2014,11,1) + TIME(23,14,58)</f>
        <v>41944.968726851854</v>
      </c>
      <c r="C2564">
        <v>80</v>
      </c>
      <c r="D2564">
        <v>79.881080627000003</v>
      </c>
      <c r="E2564">
        <v>40</v>
      </c>
      <c r="F2564">
        <v>44.173931121999999</v>
      </c>
      <c r="G2564">
        <v>1329.6358643000001</v>
      </c>
      <c r="H2564">
        <v>1328.4499512</v>
      </c>
      <c r="I2564">
        <v>1339.3957519999999</v>
      </c>
      <c r="J2564">
        <v>1336.5106201000001</v>
      </c>
      <c r="K2564">
        <v>0</v>
      </c>
      <c r="L2564">
        <v>2750</v>
      </c>
      <c r="M2564">
        <v>2750</v>
      </c>
      <c r="N2564">
        <v>0</v>
      </c>
    </row>
    <row r="2565" spans="1:14" x14ac:dyDescent="0.25">
      <c r="A2565">
        <v>1646.056664</v>
      </c>
      <c r="B2565" s="1">
        <f>DATE(2014,11,2) + TIME(1,21,35)</f>
        <v>41945.056655092594</v>
      </c>
      <c r="C2565">
        <v>80</v>
      </c>
      <c r="D2565">
        <v>79.873245238999999</v>
      </c>
      <c r="E2565">
        <v>40</v>
      </c>
      <c r="F2565">
        <v>43.657703400000003</v>
      </c>
      <c r="G2565">
        <v>1329.6275635</v>
      </c>
      <c r="H2565">
        <v>1328.4376221</v>
      </c>
      <c r="I2565">
        <v>1339.3835449000001</v>
      </c>
      <c r="J2565">
        <v>1336.4970702999999</v>
      </c>
      <c r="K2565">
        <v>0</v>
      </c>
      <c r="L2565">
        <v>2750</v>
      </c>
      <c r="M2565">
        <v>2750</v>
      </c>
      <c r="N2565">
        <v>0</v>
      </c>
    </row>
    <row r="2566" spans="1:14" x14ac:dyDescent="0.25">
      <c r="A2566">
        <v>1646.1481980000001</v>
      </c>
      <c r="B2566" s="1">
        <f>DATE(2014,11,2) + TIME(3,33,24)</f>
        <v>41945.148194444446</v>
      </c>
      <c r="C2566">
        <v>80</v>
      </c>
      <c r="D2566">
        <v>79.865196228000002</v>
      </c>
      <c r="E2566">
        <v>40</v>
      </c>
      <c r="F2566">
        <v>43.192756653000004</v>
      </c>
      <c r="G2566">
        <v>1329.6191406</v>
      </c>
      <c r="H2566">
        <v>1328.4250488</v>
      </c>
      <c r="I2566">
        <v>1339.3721923999999</v>
      </c>
      <c r="J2566">
        <v>1336.4847411999999</v>
      </c>
      <c r="K2566">
        <v>0</v>
      </c>
      <c r="L2566">
        <v>2750</v>
      </c>
      <c r="M2566">
        <v>2750</v>
      </c>
      <c r="N2566">
        <v>0</v>
      </c>
    </row>
    <row r="2567" spans="1:14" x14ac:dyDescent="0.25">
      <c r="A2567">
        <v>1646.2435780000001</v>
      </c>
      <c r="B2567" s="1">
        <f>DATE(2014,11,2) + TIME(5,50,45)</f>
        <v>41945.243576388886</v>
      </c>
      <c r="C2567">
        <v>80</v>
      </c>
      <c r="D2567">
        <v>79.856910705999994</v>
      </c>
      <c r="E2567">
        <v>40</v>
      </c>
      <c r="F2567">
        <v>42.775039673000002</v>
      </c>
      <c r="G2567">
        <v>1329.6105957</v>
      </c>
      <c r="H2567">
        <v>1328.4123535000001</v>
      </c>
      <c r="I2567">
        <v>1339.3618164</v>
      </c>
      <c r="J2567">
        <v>1336.4737548999999</v>
      </c>
      <c r="K2567">
        <v>0</v>
      </c>
      <c r="L2567">
        <v>2750</v>
      </c>
      <c r="M2567">
        <v>2750</v>
      </c>
      <c r="N2567">
        <v>0</v>
      </c>
    </row>
    <row r="2568" spans="1:14" x14ac:dyDescent="0.25">
      <c r="A2568">
        <v>1646.343063</v>
      </c>
      <c r="B2568" s="1">
        <f>DATE(2014,11,2) + TIME(8,14,0)</f>
        <v>41945.343055555553</v>
      </c>
      <c r="C2568">
        <v>80</v>
      </c>
      <c r="D2568">
        <v>79.848365783999995</v>
      </c>
      <c r="E2568">
        <v>40</v>
      </c>
      <c r="F2568">
        <v>42.400878906000003</v>
      </c>
      <c r="G2568">
        <v>1329.6018065999999</v>
      </c>
      <c r="H2568">
        <v>1328.3992920000001</v>
      </c>
      <c r="I2568">
        <v>1339.3522949000001</v>
      </c>
      <c r="J2568">
        <v>1336.4637451000001</v>
      </c>
      <c r="K2568">
        <v>0</v>
      </c>
      <c r="L2568">
        <v>2750</v>
      </c>
      <c r="M2568">
        <v>2750</v>
      </c>
      <c r="N2568">
        <v>0</v>
      </c>
    </row>
    <row r="2569" spans="1:14" x14ac:dyDescent="0.25">
      <c r="A2569">
        <v>1646.4469409999999</v>
      </c>
      <c r="B2569" s="1">
        <f>DATE(2014,11,2) + TIME(10,43,35)</f>
        <v>41945.446932870371</v>
      </c>
      <c r="C2569">
        <v>80</v>
      </c>
      <c r="D2569">
        <v>79.839546204000001</v>
      </c>
      <c r="E2569">
        <v>40</v>
      </c>
      <c r="F2569">
        <v>42.066829681000002</v>
      </c>
      <c r="G2569">
        <v>1329.5928954999999</v>
      </c>
      <c r="H2569">
        <v>1328.3859863</v>
      </c>
      <c r="I2569">
        <v>1339.3435059000001</v>
      </c>
      <c r="J2569">
        <v>1336.4548339999999</v>
      </c>
      <c r="K2569">
        <v>0</v>
      </c>
      <c r="L2569">
        <v>2750</v>
      </c>
      <c r="M2569">
        <v>2750</v>
      </c>
      <c r="N2569">
        <v>0</v>
      </c>
    </row>
    <row r="2570" spans="1:14" x14ac:dyDescent="0.25">
      <c r="A2570">
        <v>1646.5555710000001</v>
      </c>
      <c r="B2570" s="1">
        <f>DATE(2014,11,2) + TIME(13,20,1)</f>
        <v>41945.555567129632</v>
      </c>
      <c r="C2570">
        <v>80</v>
      </c>
      <c r="D2570">
        <v>79.830429077000005</v>
      </c>
      <c r="E2570">
        <v>40</v>
      </c>
      <c r="F2570">
        <v>41.769596100000001</v>
      </c>
      <c r="G2570">
        <v>1329.5836182</v>
      </c>
      <c r="H2570">
        <v>1328.3724365</v>
      </c>
      <c r="I2570">
        <v>1339.3353271000001</v>
      </c>
      <c r="J2570">
        <v>1336.4468993999999</v>
      </c>
      <c r="K2570">
        <v>0</v>
      </c>
      <c r="L2570">
        <v>2750</v>
      </c>
      <c r="M2570">
        <v>2750</v>
      </c>
      <c r="N2570">
        <v>0</v>
      </c>
    </row>
    <row r="2571" spans="1:14" x14ac:dyDescent="0.25">
      <c r="A2571">
        <v>1646.6693190000001</v>
      </c>
      <c r="B2571" s="1">
        <f>DATE(2014,11,2) + TIME(16,3,49)</f>
        <v>41945.669317129628</v>
      </c>
      <c r="C2571">
        <v>80</v>
      </c>
      <c r="D2571">
        <v>79.820991516000007</v>
      </c>
      <c r="E2571">
        <v>40</v>
      </c>
      <c r="F2571">
        <v>41.506191254000001</v>
      </c>
      <c r="G2571">
        <v>1329.5742187999999</v>
      </c>
      <c r="H2571">
        <v>1328.3585204999999</v>
      </c>
      <c r="I2571">
        <v>1339.3278809000001</v>
      </c>
      <c r="J2571">
        <v>1336.4398193</v>
      </c>
      <c r="K2571">
        <v>0</v>
      </c>
      <c r="L2571">
        <v>2750</v>
      </c>
      <c r="M2571">
        <v>2750</v>
      </c>
      <c r="N2571">
        <v>0</v>
      </c>
    </row>
    <row r="2572" spans="1:14" x14ac:dyDescent="0.25">
      <c r="A2572">
        <v>1646.7885940000001</v>
      </c>
      <c r="B2572" s="1">
        <f>DATE(2014,11,2) + TIME(18,55,34)</f>
        <v>41945.788587962961</v>
      </c>
      <c r="C2572">
        <v>80</v>
      </c>
      <c r="D2572">
        <v>79.811210631999998</v>
      </c>
      <c r="E2572">
        <v>40</v>
      </c>
      <c r="F2572">
        <v>41.273822783999996</v>
      </c>
      <c r="G2572">
        <v>1329.5645752</v>
      </c>
      <c r="H2572">
        <v>1328.3442382999999</v>
      </c>
      <c r="I2572">
        <v>1339.3210449000001</v>
      </c>
      <c r="J2572">
        <v>1336.4335937999999</v>
      </c>
      <c r="K2572">
        <v>0</v>
      </c>
      <c r="L2572">
        <v>2750</v>
      </c>
      <c r="M2572">
        <v>2750</v>
      </c>
      <c r="N2572">
        <v>0</v>
      </c>
    </row>
    <row r="2573" spans="1:14" x14ac:dyDescent="0.25">
      <c r="A2573">
        <v>1646.9138479999999</v>
      </c>
      <c r="B2573" s="1">
        <f>DATE(2014,11,2) + TIME(21,55,56)</f>
        <v>41945.913842592592</v>
      </c>
      <c r="C2573">
        <v>80</v>
      </c>
      <c r="D2573">
        <v>79.801048279</v>
      </c>
      <c r="E2573">
        <v>40</v>
      </c>
      <c r="F2573">
        <v>41.069850922000001</v>
      </c>
      <c r="G2573">
        <v>1329.5546875</v>
      </c>
      <c r="H2573">
        <v>1328.3295897999999</v>
      </c>
      <c r="I2573">
        <v>1339.3146973</v>
      </c>
      <c r="J2573">
        <v>1336.4281006000001</v>
      </c>
      <c r="K2573">
        <v>0</v>
      </c>
      <c r="L2573">
        <v>2750</v>
      </c>
      <c r="M2573">
        <v>2750</v>
      </c>
      <c r="N2573">
        <v>0</v>
      </c>
    </row>
    <row r="2574" spans="1:14" x14ac:dyDescent="0.25">
      <c r="A2574">
        <v>1647.0455890000001</v>
      </c>
      <c r="B2574" s="1">
        <f>DATE(2014,11,3) + TIME(1,5,38)</f>
        <v>41946.045578703706</v>
      </c>
      <c r="C2574">
        <v>80</v>
      </c>
      <c r="D2574">
        <v>79.790481567</v>
      </c>
      <c r="E2574">
        <v>40</v>
      </c>
      <c r="F2574">
        <v>40.891799927000001</v>
      </c>
      <c r="G2574">
        <v>1329.5444336</v>
      </c>
      <c r="H2574">
        <v>1328.3144531</v>
      </c>
      <c r="I2574">
        <v>1339.3088379000001</v>
      </c>
      <c r="J2574">
        <v>1336.4232178</v>
      </c>
      <c r="K2574">
        <v>0</v>
      </c>
      <c r="L2574">
        <v>2750</v>
      </c>
      <c r="M2574">
        <v>2750</v>
      </c>
      <c r="N2574">
        <v>0</v>
      </c>
    </row>
    <row r="2575" spans="1:14" x14ac:dyDescent="0.25">
      <c r="A2575">
        <v>1647.1833389999999</v>
      </c>
      <c r="B2575" s="1">
        <f>DATE(2014,11,3) + TIME(4,24,0)</f>
        <v>41946.183333333334</v>
      </c>
      <c r="C2575">
        <v>80</v>
      </c>
      <c r="D2575">
        <v>79.779541015999996</v>
      </c>
      <c r="E2575">
        <v>40</v>
      </c>
      <c r="F2575">
        <v>40.738273620999998</v>
      </c>
      <c r="G2575">
        <v>1329.5339355000001</v>
      </c>
      <c r="H2575">
        <v>1328.2989502</v>
      </c>
      <c r="I2575">
        <v>1339.3033447</v>
      </c>
      <c r="J2575">
        <v>1336.4190673999999</v>
      </c>
      <c r="K2575">
        <v>0</v>
      </c>
      <c r="L2575">
        <v>2750</v>
      </c>
      <c r="M2575">
        <v>2750</v>
      </c>
      <c r="N2575">
        <v>0</v>
      </c>
    </row>
    <row r="2576" spans="1:14" x14ac:dyDescent="0.25">
      <c r="A2576">
        <v>1647.3269499999999</v>
      </c>
      <c r="B2576" s="1">
        <f>DATE(2014,11,3) + TIME(7,50,48)</f>
        <v>41946.326944444445</v>
      </c>
      <c r="C2576">
        <v>80</v>
      </c>
      <c r="D2576">
        <v>79.768241881999998</v>
      </c>
      <c r="E2576">
        <v>40</v>
      </c>
      <c r="F2576">
        <v>40.60710907</v>
      </c>
      <c r="G2576">
        <v>1329.5230713000001</v>
      </c>
      <c r="H2576">
        <v>1328.2830810999999</v>
      </c>
      <c r="I2576">
        <v>1339.2984618999999</v>
      </c>
      <c r="J2576">
        <v>1336.4155272999999</v>
      </c>
      <c r="K2576">
        <v>0</v>
      </c>
      <c r="L2576">
        <v>2750</v>
      </c>
      <c r="M2576">
        <v>2750</v>
      </c>
      <c r="N2576">
        <v>0</v>
      </c>
    </row>
    <row r="2577" spans="1:14" x14ac:dyDescent="0.25">
      <c r="A2577">
        <v>1647.4767449999999</v>
      </c>
      <c r="B2577" s="1">
        <f>DATE(2014,11,3) + TIME(11,26,30)</f>
        <v>41946.476736111108</v>
      </c>
      <c r="C2577">
        <v>80</v>
      </c>
      <c r="D2577">
        <v>79.756561278999996</v>
      </c>
      <c r="E2577">
        <v>40</v>
      </c>
      <c r="F2577">
        <v>40.495731354</v>
      </c>
      <c r="G2577">
        <v>1329.5119629000001</v>
      </c>
      <c r="H2577">
        <v>1328.2667236</v>
      </c>
      <c r="I2577">
        <v>1339.2938231999999</v>
      </c>
      <c r="J2577">
        <v>1336.4124756000001</v>
      </c>
      <c r="K2577">
        <v>0</v>
      </c>
      <c r="L2577">
        <v>2750</v>
      </c>
      <c r="M2577">
        <v>2750</v>
      </c>
      <c r="N2577">
        <v>0</v>
      </c>
    </row>
    <row r="2578" spans="1:14" x14ac:dyDescent="0.25">
      <c r="A2578">
        <v>1647.633165</v>
      </c>
      <c r="B2578" s="1">
        <f>DATE(2014,11,3) + TIME(15,11,45)</f>
        <v>41946.633159722223</v>
      </c>
      <c r="C2578">
        <v>80</v>
      </c>
      <c r="D2578">
        <v>79.744476317999997</v>
      </c>
      <c r="E2578">
        <v>40</v>
      </c>
      <c r="F2578">
        <v>40.401714325</v>
      </c>
      <c r="G2578">
        <v>1329.5006103999999</v>
      </c>
      <c r="H2578">
        <v>1328.25</v>
      </c>
      <c r="I2578">
        <v>1339.2896728999999</v>
      </c>
      <c r="J2578">
        <v>1336.4099120999999</v>
      </c>
      <c r="K2578">
        <v>0</v>
      </c>
      <c r="L2578">
        <v>2750</v>
      </c>
      <c r="M2578">
        <v>2750</v>
      </c>
      <c r="N2578">
        <v>0</v>
      </c>
    </row>
    <row r="2579" spans="1:14" x14ac:dyDescent="0.25">
      <c r="A2579">
        <v>1647.7966980000001</v>
      </c>
      <c r="B2579" s="1">
        <f>DATE(2014,11,3) + TIME(19,7,14)</f>
        <v>41946.796689814815</v>
      </c>
      <c r="C2579">
        <v>80</v>
      </c>
      <c r="D2579">
        <v>79.731948853000006</v>
      </c>
      <c r="E2579">
        <v>40</v>
      </c>
      <c r="F2579">
        <v>40.322864531999997</v>
      </c>
      <c r="G2579">
        <v>1329.4888916</v>
      </c>
      <c r="H2579">
        <v>1328.2329102000001</v>
      </c>
      <c r="I2579">
        <v>1339.2856445</v>
      </c>
      <c r="J2579">
        <v>1336.4078368999999</v>
      </c>
      <c r="K2579">
        <v>0</v>
      </c>
      <c r="L2579">
        <v>2750</v>
      </c>
      <c r="M2579">
        <v>2750</v>
      </c>
      <c r="N2579">
        <v>0</v>
      </c>
    </row>
    <row r="2580" spans="1:14" x14ac:dyDescent="0.25">
      <c r="A2580">
        <v>1647.967877</v>
      </c>
      <c r="B2580" s="1">
        <f>DATE(2014,11,3) + TIME(23,13,44)</f>
        <v>41946.967870370368</v>
      </c>
      <c r="C2580">
        <v>80</v>
      </c>
      <c r="D2580">
        <v>79.718955993999998</v>
      </c>
      <c r="E2580">
        <v>40</v>
      </c>
      <c r="F2580">
        <v>40.25718689</v>
      </c>
      <c r="G2580">
        <v>1329.4768065999999</v>
      </c>
      <c r="H2580">
        <v>1328.215332</v>
      </c>
      <c r="I2580">
        <v>1339.2821045000001</v>
      </c>
      <c r="J2580">
        <v>1336.4060059000001</v>
      </c>
      <c r="K2580">
        <v>0</v>
      </c>
      <c r="L2580">
        <v>2750</v>
      </c>
      <c r="M2580">
        <v>2750</v>
      </c>
      <c r="N2580">
        <v>0</v>
      </c>
    </row>
    <row r="2581" spans="1:14" x14ac:dyDescent="0.25">
      <c r="A2581">
        <v>1648.1472839999999</v>
      </c>
      <c r="B2581" s="1">
        <f>DATE(2014,11,4) + TIME(3,32,5)</f>
        <v>41947.147280092591</v>
      </c>
      <c r="C2581">
        <v>80</v>
      </c>
      <c r="D2581">
        <v>79.705451964999995</v>
      </c>
      <c r="E2581">
        <v>40</v>
      </c>
      <c r="F2581">
        <v>40.202892302999999</v>
      </c>
      <c r="G2581">
        <v>1329.4644774999999</v>
      </c>
      <c r="H2581">
        <v>1328.1972656</v>
      </c>
      <c r="I2581">
        <v>1339.2786865</v>
      </c>
      <c r="J2581">
        <v>1336.4045410000001</v>
      </c>
      <c r="K2581">
        <v>0</v>
      </c>
      <c r="L2581">
        <v>2750</v>
      </c>
      <c r="M2581">
        <v>2750</v>
      </c>
      <c r="N2581">
        <v>0</v>
      </c>
    </row>
    <row r="2582" spans="1:14" x14ac:dyDescent="0.25">
      <c r="A2582">
        <v>1648.3354549999999</v>
      </c>
      <c r="B2582" s="1">
        <f>DATE(2014,11,4) + TIME(8,3,3)</f>
        <v>41947.335451388892</v>
      </c>
      <c r="C2582">
        <v>80</v>
      </c>
      <c r="D2582">
        <v>79.691421508999994</v>
      </c>
      <c r="E2582">
        <v>40</v>
      </c>
      <c r="F2582">
        <v>40.158378601000003</v>
      </c>
      <c r="G2582">
        <v>1329.4516602000001</v>
      </c>
      <c r="H2582">
        <v>1328.1785889</v>
      </c>
      <c r="I2582">
        <v>1339.2753906</v>
      </c>
      <c r="J2582">
        <v>1336.4033202999999</v>
      </c>
      <c r="K2582">
        <v>0</v>
      </c>
      <c r="L2582">
        <v>2750</v>
      </c>
      <c r="M2582">
        <v>2750</v>
      </c>
      <c r="N2582">
        <v>0</v>
      </c>
    </row>
    <row r="2583" spans="1:14" x14ac:dyDescent="0.25">
      <c r="A2583">
        <v>1648.533146</v>
      </c>
      <c r="B2583" s="1">
        <f>DATE(2014,11,4) + TIME(12,47,43)</f>
        <v>41947.533136574071</v>
      </c>
      <c r="C2583">
        <v>80</v>
      </c>
      <c r="D2583">
        <v>79.676811217999997</v>
      </c>
      <c r="E2583">
        <v>40</v>
      </c>
      <c r="F2583">
        <v>40.122177123999997</v>
      </c>
      <c r="G2583">
        <v>1329.4384766000001</v>
      </c>
      <c r="H2583">
        <v>1328.1593018000001</v>
      </c>
      <c r="I2583">
        <v>1339.2723389</v>
      </c>
      <c r="J2583">
        <v>1336.4023437999999</v>
      </c>
      <c r="K2583">
        <v>0</v>
      </c>
      <c r="L2583">
        <v>2750</v>
      </c>
      <c r="M2583">
        <v>2750</v>
      </c>
      <c r="N2583">
        <v>0</v>
      </c>
    </row>
    <row r="2584" spans="1:14" x14ac:dyDescent="0.25">
      <c r="A2584">
        <v>1648.741141</v>
      </c>
      <c r="B2584" s="1">
        <f>DATE(2014,11,4) + TIME(17,47,14)</f>
        <v>41947.74113425926</v>
      </c>
      <c r="C2584">
        <v>80</v>
      </c>
      <c r="D2584">
        <v>79.661575317</v>
      </c>
      <c r="E2584">
        <v>40</v>
      </c>
      <c r="F2584">
        <v>40.093002319</v>
      </c>
      <c r="G2584">
        <v>1329.4248047000001</v>
      </c>
      <c r="H2584">
        <v>1328.1394043</v>
      </c>
      <c r="I2584">
        <v>1339.2695312000001</v>
      </c>
      <c r="J2584">
        <v>1336.4016113</v>
      </c>
      <c r="K2584">
        <v>0</v>
      </c>
      <c r="L2584">
        <v>2750</v>
      </c>
      <c r="M2584">
        <v>2750</v>
      </c>
      <c r="N2584">
        <v>0</v>
      </c>
    </row>
    <row r="2585" spans="1:14" x14ac:dyDescent="0.25">
      <c r="A2585">
        <v>1648.960296</v>
      </c>
      <c r="B2585" s="1">
        <f>DATE(2014,11,4) + TIME(23,2,49)</f>
        <v>41947.960289351853</v>
      </c>
      <c r="C2585">
        <v>80</v>
      </c>
      <c r="D2585">
        <v>79.645675659000005</v>
      </c>
      <c r="E2585">
        <v>40</v>
      </c>
      <c r="F2585">
        <v>40.069705962999997</v>
      </c>
      <c r="G2585">
        <v>1329.4106445</v>
      </c>
      <c r="H2585">
        <v>1328.1188964999999</v>
      </c>
      <c r="I2585">
        <v>1339.2667236</v>
      </c>
      <c r="J2585">
        <v>1336.401001</v>
      </c>
      <c r="K2585">
        <v>0</v>
      </c>
      <c r="L2585">
        <v>2750</v>
      </c>
      <c r="M2585">
        <v>2750</v>
      </c>
      <c r="N2585">
        <v>0</v>
      </c>
    </row>
    <row r="2586" spans="1:14" x14ac:dyDescent="0.25">
      <c r="A2586">
        <v>1649.1915530000001</v>
      </c>
      <c r="B2586" s="1">
        <f>DATE(2014,11,5) + TIME(4,35,50)</f>
        <v>41948.191550925927</v>
      </c>
      <c r="C2586">
        <v>80</v>
      </c>
      <c r="D2586">
        <v>79.629051208000007</v>
      </c>
      <c r="E2586">
        <v>40</v>
      </c>
      <c r="F2586">
        <v>40.051288605000003</v>
      </c>
      <c r="G2586">
        <v>1329.395874</v>
      </c>
      <c r="H2586">
        <v>1328.0975341999999</v>
      </c>
      <c r="I2586">
        <v>1339.2641602000001</v>
      </c>
      <c r="J2586">
        <v>1336.4005127</v>
      </c>
      <c r="K2586">
        <v>0</v>
      </c>
      <c r="L2586">
        <v>2750</v>
      </c>
      <c r="M2586">
        <v>2750</v>
      </c>
      <c r="N2586">
        <v>0</v>
      </c>
    </row>
    <row r="2587" spans="1:14" x14ac:dyDescent="0.25">
      <c r="A2587">
        <v>1649.4359669999999</v>
      </c>
      <c r="B2587" s="1">
        <f>DATE(2014,11,5) + TIME(10,27,47)</f>
        <v>41948.435960648145</v>
      </c>
      <c r="C2587">
        <v>80</v>
      </c>
      <c r="D2587">
        <v>79.611648560000006</v>
      </c>
      <c r="E2587">
        <v>40</v>
      </c>
      <c r="F2587">
        <v>40.036880492999998</v>
      </c>
      <c r="G2587">
        <v>1329.3806152</v>
      </c>
      <c r="H2587">
        <v>1328.0754394999999</v>
      </c>
      <c r="I2587">
        <v>1339.2615966999999</v>
      </c>
      <c r="J2587">
        <v>1336.4000243999999</v>
      </c>
      <c r="K2587">
        <v>0</v>
      </c>
      <c r="L2587">
        <v>2750</v>
      </c>
      <c r="M2587">
        <v>2750</v>
      </c>
      <c r="N2587">
        <v>0</v>
      </c>
    </row>
    <row r="2588" spans="1:14" x14ac:dyDescent="0.25">
      <c r="A2588">
        <v>1649.687666</v>
      </c>
      <c r="B2588" s="1">
        <f>DATE(2014,11,5) + TIME(16,30,14)</f>
        <v>41948.687662037039</v>
      </c>
      <c r="C2588">
        <v>80</v>
      </c>
      <c r="D2588">
        <v>79.593780518000003</v>
      </c>
      <c r="E2588">
        <v>40</v>
      </c>
      <c r="F2588">
        <v>40.025955199999999</v>
      </c>
      <c r="G2588">
        <v>1329.3648682</v>
      </c>
      <c r="H2588">
        <v>1328.0526123</v>
      </c>
      <c r="I2588">
        <v>1339.2591553</v>
      </c>
      <c r="J2588">
        <v>1336.3996582</v>
      </c>
      <c r="K2588">
        <v>0</v>
      </c>
      <c r="L2588">
        <v>2750</v>
      </c>
      <c r="M2588">
        <v>2750</v>
      </c>
      <c r="N2588">
        <v>0</v>
      </c>
    </row>
    <row r="2589" spans="1:14" x14ac:dyDescent="0.25">
      <c r="A2589">
        <v>1649.944536</v>
      </c>
      <c r="B2589" s="1">
        <f>DATE(2014,11,5) + TIME(22,40,7)</f>
        <v>41948.944525462961</v>
      </c>
      <c r="C2589">
        <v>80</v>
      </c>
      <c r="D2589">
        <v>79.575584411999998</v>
      </c>
      <c r="E2589">
        <v>40</v>
      </c>
      <c r="F2589">
        <v>40.017765044999997</v>
      </c>
      <c r="G2589">
        <v>1329.3487548999999</v>
      </c>
      <c r="H2589">
        <v>1328.0294189000001</v>
      </c>
      <c r="I2589">
        <v>1339.2567139</v>
      </c>
      <c r="J2589">
        <v>1336.3994141000001</v>
      </c>
      <c r="K2589">
        <v>0</v>
      </c>
      <c r="L2589">
        <v>2750</v>
      </c>
      <c r="M2589">
        <v>2750</v>
      </c>
      <c r="N2589">
        <v>0</v>
      </c>
    </row>
    <row r="2590" spans="1:14" x14ac:dyDescent="0.25">
      <c r="A2590">
        <v>1650.207206</v>
      </c>
      <c r="B2590" s="1">
        <f>DATE(2014,11,6) + TIME(4,58,22)</f>
        <v>41949.207199074073</v>
      </c>
      <c r="C2590">
        <v>80</v>
      </c>
      <c r="D2590">
        <v>79.557044982999997</v>
      </c>
      <c r="E2590">
        <v>40</v>
      </c>
      <c r="F2590">
        <v>40.011627197000003</v>
      </c>
      <c r="G2590">
        <v>1329.3325195</v>
      </c>
      <c r="H2590">
        <v>1328.0059814000001</v>
      </c>
      <c r="I2590">
        <v>1339.2545166</v>
      </c>
      <c r="J2590">
        <v>1336.3990478999999</v>
      </c>
      <c r="K2590">
        <v>0</v>
      </c>
      <c r="L2590">
        <v>2750</v>
      </c>
      <c r="M2590">
        <v>2750</v>
      </c>
      <c r="N2590">
        <v>0</v>
      </c>
    </row>
    <row r="2591" spans="1:14" x14ac:dyDescent="0.25">
      <c r="A2591">
        <v>1650.476267</v>
      </c>
      <c r="B2591" s="1">
        <f>DATE(2014,11,6) + TIME(11,25,49)</f>
        <v>41949.476261574076</v>
      </c>
      <c r="C2591">
        <v>80</v>
      </c>
      <c r="D2591">
        <v>79.538146972999996</v>
      </c>
      <c r="E2591">
        <v>40</v>
      </c>
      <c r="F2591">
        <v>40.007026672000002</v>
      </c>
      <c r="G2591">
        <v>1329.3160399999999</v>
      </c>
      <c r="H2591">
        <v>1327.9822998</v>
      </c>
      <c r="I2591">
        <v>1339.2523193</v>
      </c>
      <c r="J2591">
        <v>1336.3988036999999</v>
      </c>
      <c r="K2591">
        <v>0</v>
      </c>
      <c r="L2591">
        <v>2750</v>
      </c>
      <c r="M2591">
        <v>2750</v>
      </c>
      <c r="N2591">
        <v>0</v>
      </c>
    </row>
    <row r="2592" spans="1:14" x14ac:dyDescent="0.25">
      <c r="A2592">
        <v>1650.7523349999999</v>
      </c>
      <c r="B2592" s="1">
        <f>DATE(2014,11,6) + TIME(18,3,21)</f>
        <v>41949.752326388887</v>
      </c>
      <c r="C2592">
        <v>80</v>
      </c>
      <c r="D2592">
        <v>79.518882751000007</v>
      </c>
      <c r="E2592">
        <v>40</v>
      </c>
      <c r="F2592">
        <v>40.003585815000001</v>
      </c>
      <c r="G2592">
        <v>1329.2994385</v>
      </c>
      <c r="H2592">
        <v>1327.958374</v>
      </c>
      <c r="I2592">
        <v>1339.2502440999999</v>
      </c>
      <c r="J2592">
        <v>1336.3985596</v>
      </c>
      <c r="K2592">
        <v>0</v>
      </c>
      <c r="L2592">
        <v>2750</v>
      </c>
      <c r="M2592">
        <v>2750</v>
      </c>
      <c r="N2592">
        <v>0</v>
      </c>
    </row>
    <row r="2593" spans="1:14" x14ac:dyDescent="0.25">
      <c r="A2593">
        <v>1651.0360639999999</v>
      </c>
      <c r="B2593" s="1">
        <f>DATE(2014,11,7) + TIME(0,51,55)</f>
        <v>41950.036053240743</v>
      </c>
      <c r="C2593">
        <v>80</v>
      </c>
      <c r="D2593">
        <v>79.499221801999994</v>
      </c>
      <c r="E2593">
        <v>40</v>
      </c>
      <c r="F2593">
        <v>40.001007080000001</v>
      </c>
      <c r="G2593">
        <v>1329.2825928</v>
      </c>
      <c r="H2593">
        <v>1327.934082</v>
      </c>
      <c r="I2593">
        <v>1339.2482910000001</v>
      </c>
      <c r="J2593">
        <v>1336.3983154</v>
      </c>
      <c r="K2593">
        <v>0</v>
      </c>
      <c r="L2593">
        <v>2750</v>
      </c>
      <c r="M2593">
        <v>2750</v>
      </c>
      <c r="N2593">
        <v>0</v>
      </c>
    </row>
    <row r="2594" spans="1:14" x14ac:dyDescent="0.25">
      <c r="A2594">
        <v>1651.3281480000001</v>
      </c>
      <c r="B2594" s="1">
        <f>DATE(2014,11,7) + TIME(7,52,31)</f>
        <v>41950.328136574077</v>
      </c>
      <c r="C2594">
        <v>80</v>
      </c>
      <c r="D2594">
        <v>79.479133606000005</v>
      </c>
      <c r="E2594">
        <v>40</v>
      </c>
      <c r="F2594">
        <v>39.999076842999997</v>
      </c>
      <c r="G2594">
        <v>1329.2655029</v>
      </c>
      <c r="H2594">
        <v>1327.9095459</v>
      </c>
      <c r="I2594">
        <v>1339.2463379000001</v>
      </c>
      <c r="J2594">
        <v>1336.3979492000001</v>
      </c>
      <c r="K2594">
        <v>0</v>
      </c>
      <c r="L2594">
        <v>2750</v>
      </c>
      <c r="M2594">
        <v>2750</v>
      </c>
      <c r="N2594">
        <v>0</v>
      </c>
    </row>
    <row r="2595" spans="1:14" x14ac:dyDescent="0.25">
      <c r="A2595">
        <v>1651.629322</v>
      </c>
      <c r="B2595" s="1">
        <f>DATE(2014,11,7) + TIME(15,6,13)</f>
        <v>41950.629317129627</v>
      </c>
      <c r="C2595">
        <v>80</v>
      </c>
      <c r="D2595">
        <v>79.458602905000006</v>
      </c>
      <c r="E2595">
        <v>40</v>
      </c>
      <c r="F2595">
        <v>39.997627258000001</v>
      </c>
      <c r="G2595">
        <v>1329.2481689000001</v>
      </c>
      <c r="H2595">
        <v>1327.8846435999999</v>
      </c>
      <c r="I2595">
        <v>1339.2443848</v>
      </c>
      <c r="J2595">
        <v>1336.3977050999999</v>
      </c>
      <c r="K2595">
        <v>0</v>
      </c>
      <c r="L2595">
        <v>2750</v>
      </c>
      <c r="M2595">
        <v>2750</v>
      </c>
      <c r="N2595">
        <v>0</v>
      </c>
    </row>
    <row r="2596" spans="1:14" x14ac:dyDescent="0.25">
      <c r="A2596">
        <v>1651.940376</v>
      </c>
      <c r="B2596" s="1">
        <f>DATE(2014,11,7) + TIME(22,34,8)</f>
        <v>41950.940370370372</v>
      </c>
      <c r="C2596">
        <v>80</v>
      </c>
      <c r="D2596">
        <v>79.437576293999996</v>
      </c>
      <c r="E2596">
        <v>40</v>
      </c>
      <c r="F2596">
        <v>39.996536255000002</v>
      </c>
      <c r="G2596">
        <v>1329.2304687999999</v>
      </c>
      <c r="H2596">
        <v>1327.8592529</v>
      </c>
      <c r="I2596">
        <v>1339.2425536999999</v>
      </c>
      <c r="J2596">
        <v>1336.3974608999999</v>
      </c>
      <c r="K2596">
        <v>0</v>
      </c>
      <c r="L2596">
        <v>2750</v>
      </c>
      <c r="M2596">
        <v>2750</v>
      </c>
      <c r="N2596">
        <v>0</v>
      </c>
    </row>
    <row r="2597" spans="1:14" x14ac:dyDescent="0.25">
      <c r="A2597">
        <v>1652.262142</v>
      </c>
      <c r="B2597" s="1">
        <f>DATE(2014,11,8) + TIME(6,17,29)</f>
        <v>41951.262141203704</v>
      </c>
      <c r="C2597">
        <v>80</v>
      </c>
      <c r="D2597">
        <v>79.416023253999995</v>
      </c>
      <c r="E2597">
        <v>40</v>
      </c>
      <c r="F2597">
        <v>39.995712279999999</v>
      </c>
      <c r="G2597">
        <v>1329.2124022999999</v>
      </c>
      <c r="H2597">
        <v>1327.8334961</v>
      </c>
      <c r="I2597">
        <v>1339.2407227000001</v>
      </c>
      <c r="J2597">
        <v>1336.3970947</v>
      </c>
      <c r="K2597">
        <v>0</v>
      </c>
      <c r="L2597">
        <v>2750</v>
      </c>
      <c r="M2597">
        <v>2750</v>
      </c>
      <c r="N2597">
        <v>0</v>
      </c>
    </row>
    <row r="2598" spans="1:14" x14ac:dyDescent="0.25">
      <c r="A2598">
        <v>1652.5954400000001</v>
      </c>
      <c r="B2598" s="1">
        <f>DATE(2014,11,8) + TIME(14,17,26)</f>
        <v>41951.595439814817</v>
      </c>
      <c r="C2598">
        <v>80</v>
      </c>
      <c r="D2598">
        <v>79.393913268999995</v>
      </c>
      <c r="E2598">
        <v>40</v>
      </c>
      <c r="F2598">
        <v>39.995086669999999</v>
      </c>
      <c r="G2598">
        <v>1329.1940918</v>
      </c>
      <c r="H2598">
        <v>1327.8071289</v>
      </c>
      <c r="I2598">
        <v>1339.2388916</v>
      </c>
      <c r="J2598">
        <v>1336.3967285000001</v>
      </c>
      <c r="K2598">
        <v>0</v>
      </c>
      <c r="L2598">
        <v>2750</v>
      </c>
      <c r="M2598">
        <v>2750</v>
      </c>
      <c r="N2598">
        <v>0</v>
      </c>
    </row>
    <row r="2599" spans="1:14" x14ac:dyDescent="0.25">
      <c r="A2599">
        <v>1652.94139</v>
      </c>
      <c r="B2599" s="1">
        <f>DATE(2014,11,8) + TIME(22,35,36)</f>
        <v>41951.941388888888</v>
      </c>
      <c r="C2599">
        <v>80</v>
      </c>
      <c r="D2599">
        <v>79.371185303000004</v>
      </c>
      <c r="E2599">
        <v>40</v>
      </c>
      <c r="F2599">
        <v>39.994609832999998</v>
      </c>
      <c r="G2599">
        <v>1329.1751709</v>
      </c>
      <c r="H2599">
        <v>1327.7802733999999</v>
      </c>
      <c r="I2599">
        <v>1339.2370605000001</v>
      </c>
      <c r="J2599">
        <v>1336.3963623</v>
      </c>
      <c r="K2599">
        <v>0</v>
      </c>
      <c r="L2599">
        <v>2750</v>
      </c>
      <c r="M2599">
        <v>2750</v>
      </c>
      <c r="N2599">
        <v>0</v>
      </c>
    </row>
    <row r="2600" spans="1:14" x14ac:dyDescent="0.25">
      <c r="A2600">
        <v>1653.3011039999999</v>
      </c>
      <c r="B2600" s="1">
        <f>DATE(2014,11,9) + TIME(7,13,35)</f>
        <v>41952.301099537035</v>
      </c>
      <c r="C2600">
        <v>80</v>
      </c>
      <c r="D2600">
        <v>79.347793578999998</v>
      </c>
      <c r="E2600">
        <v>40</v>
      </c>
      <c r="F2600">
        <v>39.994243621999999</v>
      </c>
      <c r="G2600">
        <v>1329.1560059000001</v>
      </c>
      <c r="H2600">
        <v>1327.7528076000001</v>
      </c>
      <c r="I2600">
        <v>1339.2353516000001</v>
      </c>
      <c r="J2600">
        <v>1336.3959961</v>
      </c>
      <c r="K2600">
        <v>0</v>
      </c>
      <c r="L2600">
        <v>2750</v>
      </c>
      <c r="M2600">
        <v>2750</v>
      </c>
      <c r="N2600">
        <v>0</v>
      </c>
    </row>
    <row r="2601" spans="1:14" x14ac:dyDescent="0.25">
      <c r="A2601">
        <v>1653.675812</v>
      </c>
      <c r="B2601" s="1">
        <f>DATE(2014,11,9) + TIME(16,13,10)</f>
        <v>41952.675810185188</v>
      </c>
      <c r="C2601">
        <v>80</v>
      </c>
      <c r="D2601">
        <v>79.323684692</v>
      </c>
      <c r="E2601">
        <v>40</v>
      </c>
      <c r="F2601">
        <v>39.993957520000002</v>
      </c>
      <c r="G2601">
        <v>1329.1362305</v>
      </c>
      <c r="H2601">
        <v>1327.7247314000001</v>
      </c>
      <c r="I2601">
        <v>1339.2336425999999</v>
      </c>
      <c r="J2601">
        <v>1336.3956298999999</v>
      </c>
      <c r="K2601">
        <v>0</v>
      </c>
      <c r="L2601">
        <v>2750</v>
      </c>
      <c r="M2601">
        <v>2750</v>
      </c>
      <c r="N2601">
        <v>0</v>
      </c>
    </row>
    <row r="2602" spans="1:14" x14ac:dyDescent="0.25">
      <c r="A2602">
        <v>1654.0668740000001</v>
      </c>
      <c r="B2602" s="1">
        <f>DATE(2014,11,10) + TIME(1,36,17)</f>
        <v>41953.066863425927</v>
      </c>
      <c r="C2602">
        <v>80</v>
      </c>
      <c r="D2602">
        <v>79.298782349000007</v>
      </c>
      <c r="E2602">
        <v>40</v>
      </c>
      <c r="F2602">
        <v>39.993736267000003</v>
      </c>
      <c r="G2602">
        <v>1329.1158447</v>
      </c>
      <c r="H2602">
        <v>1327.6958007999999</v>
      </c>
      <c r="I2602">
        <v>1339.2319336</v>
      </c>
      <c r="J2602">
        <v>1336.3951416</v>
      </c>
      <c r="K2602">
        <v>0</v>
      </c>
      <c r="L2602">
        <v>2750</v>
      </c>
      <c r="M2602">
        <v>2750</v>
      </c>
      <c r="N2602">
        <v>0</v>
      </c>
    </row>
    <row r="2603" spans="1:14" x14ac:dyDescent="0.25">
      <c r="A2603">
        <v>1654.475811</v>
      </c>
      <c r="B2603" s="1">
        <f>DATE(2014,11,10) + TIME(11,25,10)</f>
        <v>41953.475810185184</v>
      </c>
      <c r="C2603">
        <v>80</v>
      </c>
      <c r="D2603">
        <v>79.273033142000003</v>
      </c>
      <c r="E2603">
        <v>40</v>
      </c>
      <c r="F2603">
        <v>39.993556976000001</v>
      </c>
      <c r="G2603">
        <v>1329.0949707</v>
      </c>
      <c r="H2603">
        <v>1327.6660156</v>
      </c>
      <c r="I2603">
        <v>1339.2302245999999</v>
      </c>
      <c r="J2603">
        <v>1336.3947754000001</v>
      </c>
      <c r="K2603">
        <v>0</v>
      </c>
      <c r="L2603">
        <v>2750</v>
      </c>
      <c r="M2603">
        <v>2750</v>
      </c>
      <c r="N2603">
        <v>0</v>
      </c>
    </row>
    <row r="2604" spans="1:14" x14ac:dyDescent="0.25">
      <c r="A2604">
        <v>1654.904331</v>
      </c>
      <c r="B2604" s="1">
        <f>DATE(2014,11,10) + TIME(21,42,14)</f>
        <v>41953.904328703706</v>
      </c>
      <c r="C2604">
        <v>80</v>
      </c>
      <c r="D2604">
        <v>79.246353149000001</v>
      </c>
      <c r="E2604">
        <v>40</v>
      </c>
      <c r="F2604">
        <v>39.993419647000003</v>
      </c>
      <c r="G2604">
        <v>1329.0733643000001</v>
      </c>
      <c r="H2604">
        <v>1327.635376</v>
      </c>
      <c r="I2604">
        <v>1339.2285156</v>
      </c>
      <c r="J2604">
        <v>1336.3942870999999</v>
      </c>
      <c r="K2604">
        <v>0</v>
      </c>
      <c r="L2604">
        <v>2750</v>
      </c>
      <c r="M2604">
        <v>2750</v>
      </c>
      <c r="N2604">
        <v>0</v>
      </c>
    </row>
    <row r="2605" spans="1:14" x14ac:dyDescent="0.25">
      <c r="A2605">
        <v>1655.354351</v>
      </c>
      <c r="B2605" s="1">
        <f>DATE(2014,11,11) + TIME(8,30,15)</f>
        <v>41954.35434027778</v>
      </c>
      <c r="C2605">
        <v>80</v>
      </c>
      <c r="D2605">
        <v>79.218666076999995</v>
      </c>
      <c r="E2605">
        <v>40</v>
      </c>
      <c r="F2605">
        <v>39.993305206000002</v>
      </c>
      <c r="G2605">
        <v>1329.0510254000001</v>
      </c>
      <c r="H2605">
        <v>1327.6038818</v>
      </c>
      <c r="I2605">
        <v>1339.2268065999999</v>
      </c>
      <c r="J2605">
        <v>1336.3937988</v>
      </c>
      <c r="K2605">
        <v>0</v>
      </c>
      <c r="L2605">
        <v>2750</v>
      </c>
      <c r="M2605">
        <v>2750</v>
      </c>
      <c r="N2605">
        <v>0</v>
      </c>
    </row>
    <row r="2606" spans="1:14" x14ac:dyDescent="0.25">
      <c r="A2606">
        <v>1655.828045</v>
      </c>
      <c r="B2606" s="1">
        <f>DATE(2014,11,11) + TIME(19,52,23)</f>
        <v>41954.828043981484</v>
      </c>
      <c r="C2606">
        <v>80</v>
      </c>
      <c r="D2606">
        <v>79.189865112000007</v>
      </c>
      <c r="E2606">
        <v>40</v>
      </c>
      <c r="F2606">
        <v>39.993213654000002</v>
      </c>
      <c r="G2606">
        <v>1329.0279541</v>
      </c>
      <c r="H2606">
        <v>1327.5711670000001</v>
      </c>
      <c r="I2606">
        <v>1339.2250977000001</v>
      </c>
      <c r="J2606">
        <v>1336.3933105000001</v>
      </c>
      <c r="K2606">
        <v>0</v>
      </c>
      <c r="L2606">
        <v>2750</v>
      </c>
      <c r="M2606">
        <v>2750</v>
      </c>
      <c r="N2606">
        <v>0</v>
      </c>
    </row>
    <row r="2607" spans="1:14" x14ac:dyDescent="0.25">
      <c r="A2607">
        <v>1656.3278929999999</v>
      </c>
      <c r="B2607" s="1">
        <f>DATE(2014,11,12) + TIME(7,52,9)</f>
        <v>41955.327881944446</v>
      </c>
      <c r="C2607">
        <v>80</v>
      </c>
      <c r="D2607">
        <v>79.159843445000007</v>
      </c>
      <c r="E2607">
        <v>40</v>
      </c>
      <c r="F2607">
        <v>39.993141174000002</v>
      </c>
      <c r="G2607">
        <v>1329.0039062000001</v>
      </c>
      <c r="H2607">
        <v>1327.5372314000001</v>
      </c>
      <c r="I2607">
        <v>1339.2233887</v>
      </c>
      <c r="J2607">
        <v>1336.3928223</v>
      </c>
      <c r="K2607">
        <v>0</v>
      </c>
      <c r="L2607">
        <v>2750</v>
      </c>
      <c r="M2607">
        <v>2750</v>
      </c>
      <c r="N2607">
        <v>0</v>
      </c>
    </row>
    <row r="2608" spans="1:14" x14ac:dyDescent="0.25">
      <c r="A2608">
        <v>1656.856816</v>
      </c>
      <c r="B2608" s="1">
        <f>DATE(2014,11,12) + TIME(20,33,48)</f>
        <v>41955.856805555559</v>
      </c>
      <c r="C2608">
        <v>80</v>
      </c>
      <c r="D2608">
        <v>79.128494262999993</v>
      </c>
      <c r="E2608">
        <v>40</v>
      </c>
      <c r="F2608">
        <v>39.993080139</v>
      </c>
      <c r="G2608">
        <v>1328.9790039</v>
      </c>
      <c r="H2608">
        <v>1327.5020752</v>
      </c>
      <c r="I2608">
        <v>1339.2218018000001</v>
      </c>
      <c r="J2608">
        <v>1336.3923339999999</v>
      </c>
      <c r="K2608">
        <v>0</v>
      </c>
      <c r="L2608">
        <v>2750</v>
      </c>
      <c r="M2608">
        <v>2750</v>
      </c>
      <c r="N2608">
        <v>0</v>
      </c>
    </row>
    <row r="2609" spans="1:14" x14ac:dyDescent="0.25">
      <c r="A2609">
        <v>1657.418058</v>
      </c>
      <c r="B2609" s="1">
        <f>DATE(2014,11,13) + TIME(10,2,0)</f>
        <v>41956.418055555558</v>
      </c>
      <c r="C2609">
        <v>80</v>
      </c>
      <c r="D2609">
        <v>79.095664978000002</v>
      </c>
      <c r="E2609">
        <v>40</v>
      </c>
      <c r="F2609">
        <v>39.993030548</v>
      </c>
      <c r="G2609">
        <v>1328.9530029</v>
      </c>
      <c r="H2609">
        <v>1327.4654541</v>
      </c>
      <c r="I2609">
        <v>1339.2200928</v>
      </c>
      <c r="J2609">
        <v>1336.3918457</v>
      </c>
      <c r="K2609">
        <v>0</v>
      </c>
      <c r="L2609">
        <v>2750</v>
      </c>
      <c r="M2609">
        <v>2750</v>
      </c>
      <c r="N2609">
        <v>0</v>
      </c>
    </row>
    <row r="2610" spans="1:14" x14ac:dyDescent="0.25">
      <c r="A2610">
        <v>1657.9994260000001</v>
      </c>
      <c r="B2610" s="1">
        <f>DATE(2014,11,13) + TIME(23,59,10)</f>
        <v>41956.999421296299</v>
      </c>
      <c r="C2610">
        <v>80</v>
      </c>
      <c r="D2610">
        <v>79.061714171999995</v>
      </c>
      <c r="E2610">
        <v>40</v>
      </c>
      <c r="F2610">
        <v>39.992988586000003</v>
      </c>
      <c r="G2610">
        <v>1328.9259033000001</v>
      </c>
      <c r="H2610">
        <v>1327.4274902</v>
      </c>
      <c r="I2610">
        <v>1339.2183838000001</v>
      </c>
      <c r="J2610">
        <v>1336.3912353999999</v>
      </c>
      <c r="K2610">
        <v>0</v>
      </c>
      <c r="L2610">
        <v>2750</v>
      </c>
      <c r="M2610">
        <v>2750</v>
      </c>
      <c r="N2610">
        <v>0</v>
      </c>
    </row>
    <row r="2611" spans="1:14" x14ac:dyDescent="0.25">
      <c r="A2611">
        <v>1658.5924110000001</v>
      </c>
      <c r="B2611" s="1">
        <f>DATE(2014,11,14) + TIME(14,13,4)</f>
        <v>41957.592407407406</v>
      </c>
      <c r="C2611">
        <v>80</v>
      </c>
      <c r="D2611">
        <v>79.027023314999994</v>
      </c>
      <c r="E2611">
        <v>40</v>
      </c>
      <c r="F2611">
        <v>39.992958068999997</v>
      </c>
      <c r="G2611">
        <v>1328.8981934000001</v>
      </c>
      <c r="H2611">
        <v>1327.3885498</v>
      </c>
      <c r="I2611">
        <v>1339.2167969</v>
      </c>
      <c r="J2611">
        <v>1336.3907471</v>
      </c>
      <c r="K2611">
        <v>0</v>
      </c>
      <c r="L2611">
        <v>2750</v>
      </c>
      <c r="M2611">
        <v>2750</v>
      </c>
      <c r="N2611">
        <v>0</v>
      </c>
    </row>
    <row r="2612" spans="1:14" x14ac:dyDescent="0.25">
      <c r="A2612">
        <v>1659.198531</v>
      </c>
      <c r="B2612" s="1">
        <f>DATE(2014,11,15) + TIME(4,45,53)</f>
        <v>41958.198530092595</v>
      </c>
      <c r="C2612">
        <v>80</v>
      </c>
      <c r="D2612">
        <v>78.991744995000005</v>
      </c>
      <c r="E2612">
        <v>40</v>
      </c>
      <c r="F2612">
        <v>39.992931366000001</v>
      </c>
      <c r="G2612">
        <v>1328.8701172000001</v>
      </c>
      <c r="H2612">
        <v>1327.3491211</v>
      </c>
      <c r="I2612">
        <v>1339.2152100000001</v>
      </c>
      <c r="J2612">
        <v>1336.3902588000001</v>
      </c>
      <c r="K2612">
        <v>0</v>
      </c>
      <c r="L2612">
        <v>2750</v>
      </c>
      <c r="M2612">
        <v>2750</v>
      </c>
      <c r="N2612">
        <v>0</v>
      </c>
    </row>
    <row r="2613" spans="1:14" x14ac:dyDescent="0.25">
      <c r="A2613">
        <v>1659.8192019999999</v>
      </c>
      <c r="B2613" s="1">
        <f>DATE(2014,11,15) + TIME(19,39,39)</f>
        <v>41958.819201388891</v>
      </c>
      <c r="C2613">
        <v>80</v>
      </c>
      <c r="D2613">
        <v>78.955924988000007</v>
      </c>
      <c r="E2613">
        <v>40</v>
      </c>
      <c r="F2613">
        <v>39.992908477999997</v>
      </c>
      <c r="G2613">
        <v>1328.8416748</v>
      </c>
      <c r="H2613">
        <v>1327.3093262</v>
      </c>
      <c r="I2613">
        <v>1339.2136230000001</v>
      </c>
      <c r="J2613">
        <v>1336.3896483999999</v>
      </c>
      <c r="K2613">
        <v>0</v>
      </c>
      <c r="L2613">
        <v>2750</v>
      </c>
      <c r="M2613">
        <v>2750</v>
      </c>
      <c r="N2613">
        <v>0</v>
      </c>
    </row>
    <row r="2614" spans="1:14" x14ac:dyDescent="0.25">
      <c r="A2614">
        <v>1660.4559670000001</v>
      </c>
      <c r="B2614" s="1">
        <f>DATE(2014,11,16) + TIME(10,56,35)</f>
        <v>41959.455960648149</v>
      </c>
      <c r="C2614">
        <v>80</v>
      </c>
      <c r="D2614">
        <v>78.919548035000005</v>
      </c>
      <c r="E2614">
        <v>40</v>
      </c>
      <c r="F2614">
        <v>39.992889404000003</v>
      </c>
      <c r="G2614">
        <v>1328.8129882999999</v>
      </c>
      <c r="H2614">
        <v>1327.2691649999999</v>
      </c>
      <c r="I2614">
        <v>1339.2121582</v>
      </c>
      <c r="J2614">
        <v>1336.3891602000001</v>
      </c>
      <c r="K2614">
        <v>0</v>
      </c>
      <c r="L2614">
        <v>2750</v>
      </c>
      <c r="M2614">
        <v>2750</v>
      </c>
      <c r="N2614">
        <v>0</v>
      </c>
    </row>
    <row r="2615" spans="1:14" x14ac:dyDescent="0.25">
      <c r="A2615">
        <v>1661.1104909999999</v>
      </c>
      <c r="B2615" s="1">
        <f>DATE(2014,11,17) + TIME(2,39,6)</f>
        <v>41960.110486111109</v>
      </c>
      <c r="C2615">
        <v>80</v>
      </c>
      <c r="D2615">
        <v>78.882568359000004</v>
      </c>
      <c r="E2615">
        <v>40</v>
      </c>
      <c r="F2615">
        <v>39.992874145999998</v>
      </c>
      <c r="G2615">
        <v>1328.7839355000001</v>
      </c>
      <c r="H2615">
        <v>1327.2286377</v>
      </c>
      <c r="I2615">
        <v>1339.2108154</v>
      </c>
      <c r="J2615">
        <v>1336.3886719</v>
      </c>
      <c r="K2615">
        <v>0</v>
      </c>
      <c r="L2615">
        <v>2750</v>
      </c>
      <c r="M2615">
        <v>2750</v>
      </c>
      <c r="N2615">
        <v>0</v>
      </c>
    </row>
    <row r="2616" spans="1:14" x14ac:dyDescent="0.25">
      <c r="A2616">
        <v>1661.7846059999999</v>
      </c>
      <c r="B2616" s="1">
        <f>DATE(2014,11,17) + TIME(18,49,49)</f>
        <v>41960.784594907411</v>
      </c>
      <c r="C2616">
        <v>80</v>
      </c>
      <c r="D2616">
        <v>78.844924926999994</v>
      </c>
      <c r="E2616">
        <v>40</v>
      </c>
      <c r="F2616">
        <v>39.992858886999997</v>
      </c>
      <c r="G2616">
        <v>1328.7546387</v>
      </c>
      <c r="H2616">
        <v>1327.1876221</v>
      </c>
      <c r="I2616">
        <v>1339.2093506000001</v>
      </c>
      <c r="J2616">
        <v>1336.3883057</v>
      </c>
      <c r="K2616">
        <v>0</v>
      </c>
      <c r="L2616">
        <v>2750</v>
      </c>
      <c r="M2616">
        <v>2750</v>
      </c>
      <c r="N2616">
        <v>0</v>
      </c>
    </row>
    <row r="2617" spans="1:14" x14ac:dyDescent="0.25">
      <c r="A2617">
        <v>1662.480272</v>
      </c>
      <c r="B2617" s="1">
        <f>DATE(2014,11,18) + TIME(11,31,35)</f>
        <v>41961.480266203704</v>
      </c>
      <c r="C2617">
        <v>80</v>
      </c>
      <c r="D2617">
        <v>78.806533813000001</v>
      </c>
      <c r="E2617">
        <v>40</v>
      </c>
      <c r="F2617">
        <v>39.992843628000003</v>
      </c>
      <c r="G2617">
        <v>1328.7247314000001</v>
      </c>
      <c r="H2617">
        <v>1327.1459961</v>
      </c>
      <c r="I2617">
        <v>1339.2080077999999</v>
      </c>
      <c r="J2617">
        <v>1336.3878173999999</v>
      </c>
      <c r="K2617">
        <v>0</v>
      </c>
      <c r="L2617">
        <v>2750</v>
      </c>
      <c r="M2617">
        <v>2750</v>
      </c>
      <c r="N2617">
        <v>0</v>
      </c>
    </row>
    <row r="2618" spans="1:14" x14ac:dyDescent="0.25">
      <c r="A2618">
        <v>1663.1996360000001</v>
      </c>
      <c r="B2618" s="1">
        <f>DATE(2014,11,19) + TIME(4,47,28)</f>
        <v>41962.199629629627</v>
      </c>
      <c r="C2618">
        <v>80</v>
      </c>
      <c r="D2618">
        <v>78.767288207999997</v>
      </c>
      <c r="E2618">
        <v>40</v>
      </c>
      <c r="F2618">
        <v>39.992832184000001</v>
      </c>
      <c r="G2618">
        <v>1328.6944579999999</v>
      </c>
      <c r="H2618">
        <v>1327.1037598</v>
      </c>
      <c r="I2618">
        <v>1339.2067870999999</v>
      </c>
      <c r="J2618">
        <v>1336.3873291</v>
      </c>
      <c r="K2618">
        <v>0</v>
      </c>
      <c r="L2618">
        <v>2750</v>
      </c>
      <c r="M2618">
        <v>2750</v>
      </c>
      <c r="N2618">
        <v>0</v>
      </c>
    </row>
    <row r="2619" spans="1:14" x14ac:dyDescent="0.25">
      <c r="A2619">
        <v>1663.9446820000001</v>
      </c>
      <c r="B2619" s="1">
        <f>DATE(2014,11,19) + TIME(22,40,20)</f>
        <v>41962.944675925923</v>
      </c>
      <c r="C2619">
        <v>80</v>
      </c>
      <c r="D2619">
        <v>78.727104186999995</v>
      </c>
      <c r="E2619">
        <v>40</v>
      </c>
      <c r="F2619">
        <v>39.992816925</v>
      </c>
      <c r="G2619">
        <v>1328.6635742000001</v>
      </c>
      <c r="H2619">
        <v>1327.0609131000001</v>
      </c>
      <c r="I2619">
        <v>1339.2054443</v>
      </c>
      <c r="J2619">
        <v>1336.3869629000001</v>
      </c>
      <c r="K2619">
        <v>0</v>
      </c>
      <c r="L2619">
        <v>2750</v>
      </c>
      <c r="M2619">
        <v>2750</v>
      </c>
      <c r="N2619">
        <v>0</v>
      </c>
    </row>
    <row r="2620" spans="1:14" x14ac:dyDescent="0.25">
      <c r="A2620">
        <v>1664.718169</v>
      </c>
      <c r="B2620" s="1">
        <f>DATE(2014,11,20) + TIME(17,14,9)</f>
        <v>41963.718159722222</v>
      </c>
      <c r="C2620">
        <v>80</v>
      </c>
      <c r="D2620">
        <v>78.685852050999998</v>
      </c>
      <c r="E2620">
        <v>40</v>
      </c>
      <c r="F2620">
        <v>39.992805480999998</v>
      </c>
      <c r="G2620">
        <v>1328.6320800999999</v>
      </c>
      <c r="H2620">
        <v>1327.0172118999999</v>
      </c>
      <c r="I2620">
        <v>1339.2042236</v>
      </c>
      <c r="J2620">
        <v>1336.3865966999999</v>
      </c>
      <c r="K2620">
        <v>0</v>
      </c>
      <c r="L2620">
        <v>2750</v>
      </c>
      <c r="M2620">
        <v>2750</v>
      </c>
      <c r="N2620">
        <v>0</v>
      </c>
    </row>
    <row r="2621" spans="1:14" x14ac:dyDescent="0.25">
      <c r="A2621">
        <v>1665.5229509999999</v>
      </c>
      <c r="B2621" s="1">
        <f>DATE(2014,11,21) + TIME(12,33,2)</f>
        <v>41964.522939814815</v>
      </c>
      <c r="C2621">
        <v>80</v>
      </c>
      <c r="D2621">
        <v>78.643409728999998</v>
      </c>
      <c r="E2621">
        <v>40</v>
      </c>
      <c r="F2621">
        <v>39.992794037000003</v>
      </c>
      <c r="G2621">
        <v>1328.5998535000001</v>
      </c>
      <c r="H2621">
        <v>1326.9726562000001</v>
      </c>
      <c r="I2621">
        <v>1339.2030029</v>
      </c>
      <c r="J2621">
        <v>1336.3861084</v>
      </c>
      <c r="K2621">
        <v>0</v>
      </c>
      <c r="L2621">
        <v>2750</v>
      </c>
      <c r="M2621">
        <v>2750</v>
      </c>
      <c r="N2621">
        <v>0</v>
      </c>
    </row>
    <row r="2622" spans="1:14" x14ac:dyDescent="0.25">
      <c r="A2622">
        <v>1666.3622150000001</v>
      </c>
      <c r="B2622" s="1">
        <f>DATE(2014,11,22) + TIME(8,41,35)</f>
        <v>41965.362210648149</v>
      </c>
      <c r="C2622">
        <v>80</v>
      </c>
      <c r="D2622">
        <v>78.599624633999994</v>
      </c>
      <c r="E2622">
        <v>40</v>
      </c>
      <c r="F2622">
        <v>39.992782593000001</v>
      </c>
      <c r="G2622">
        <v>1328.5668945</v>
      </c>
      <c r="H2622">
        <v>1326.9270019999999</v>
      </c>
      <c r="I2622">
        <v>1339.2017822</v>
      </c>
      <c r="J2622">
        <v>1336.3857422000001</v>
      </c>
      <c r="K2622">
        <v>0</v>
      </c>
      <c r="L2622">
        <v>2750</v>
      </c>
      <c r="M2622">
        <v>2750</v>
      </c>
      <c r="N2622">
        <v>0</v>
      </c>
    </row>
    <row r="2623" spans="1:14" x14ac:dyDescent="0.25">
      <c r="A2623">
        <v>1667.2313320000001</v>
      </c>
      <c r="B2623" s="1">
        <f>DATE(2014,11,23) + TIME(5,33,7)</f>
        <v>41966.23133101852</v>
      </c>
      <c r="C2623">
        <v>80</v>
      </c>
      <c r="D2623">
        <v>78.554512024000005</v>
      </c>
      <c r="E2623">
        <v>40</v>
      </c>
      <c r="F2623">
        <v>39.992771148999999</v>
      </c>
      <c r="G2623">
        <v>1328.5330810999999</v>
      </c>
      <c r="H2623">
        <v>1326.8803711</v>
      </c>
      <c r="I2623">
        <v>1339.2006836</v>
      </c>
      <c r="J2623">
        <v>1336.3854980000001</v>
      </c>
      <c r="K2623">
        <v>0</v>
      </c>
      <c r="L2623">
        <v>2750</v>
      </c>
      <c r="M2623">
        <v>2750</v>
      </c>
      <c r="N2623">
        <v>0</v>
      </c>
    </row>
    <row r="2624" spans="1:14" x14ac:dyDescent="0.25">
      <c r="A2624">
        <v>1668.126366</v>
      </c>
      <c r="B2624" s="1">
        <f>DATE(2014,11,24) + TIME(3,1,58)</f>
        <v>41967.12636574074</v>
      </c>
      <c r="C2624">
        <v>80</v>
      </c>
      <c r="D2624">
        <v>78.508193969999994</v>
      </c>
      <c r="E2624">
        <v>40</v>
      </c>
      <c r="F2624">
        <v>39.992755889999998</v>
      </c>
      <c r="G2624">
        <v>1328.4986572</v>
      </c>
      <c r="H2624">
        <v>1326.8328856999999</v>
      </c>
      <c r="I2624">
        <v>1339.1995850000001</v>
      </c>
      <c r="J2624">
        <v>1336.3851318</v>
      </c>
      <c r="K2624">
        <v>0</v>
      </c>
      <c r="L2624">
        <v>2750</v>
      </c>
      <c r="M2624">
        <v>2750</v>
      </c>
      <c r="N2624">
        <v>0</v>
      </c>
    </row>
    <row r="2625" spans="1:14" x14ac:dyDescent="0.25">
      <c r="A2625">
        <v>1669.0445540000001</v>
      </c>
      <c r="B2625" s="1">
        <f>DATE(2014,11,25) + TIME(1,4,9)</f>
        <v>41968.044548611113</v>
      </c>
      <c r="C2625">
        <v>80</v>
      </c>
      <c r="D2625">
        <v>78.460807799999998</v>
      </c>
      <c r="E2625">
        <v>40</v>
      </c>
      <c r="F2625">
        <v>39.992744446000003</v>
      </c>
      <c r="G2625">
        <v>1328.4636230000001</v>
      </c>
      <c r="H2625">
        <v>1326.784668</v>
      </c>
      <c r="I2625">
        <v>1339.1983643000001</v>
      </c>
      <c r="J2625">
        <v>1336.3848877</v>
      </c>
      <c r="K2625">
        <v>0</v>
      </c>
      <c r="L2625">
        <v>2750</v>
      </c>
      <c r="M2625">
        <v>2750</v>
      </c>
      <c r="N2625">
        <v>0</v>
      </c>
    </row>
    <row r="2626" spans="1:14" x14ac:dyDescent="0.25">
      <c r="A2626">
        <v>1669.992612</v>
      </c>
      <c r="B2626" s="1">
        <f>DATE(2014,11,25) + TIME(23,49,21)</f>
        <v>41968.992604166669</v>
      </c>
      <c r="C2626">
        <v>80</v>
      </c>
      <c r="D2626">
        <v>78.412292480000005</v>
      </c>
      <c r="E2626">
        <v>40</v>
      </c>
      <c r="F2626">
        <v>39.992733002000001</v>
      </c>
      <c r="G2626">
        <v>1328.4281006000001</v>
      </c>
      <c r="H2626">
        <v>1326.7358397999999</v>
      </c>
      <c r="I2626">
        <v>1339.1973877</v>
      </c>
      <c r="J2626">
        <v>1336.3845214999999</v>
      </c>
      <c r="K2626">
        <v>0</v>
      </c>
      <c r="L2626">
        <v>2750</v>
      </c>
      <c r="M2626">
        <v>2750</v>
      </c>
      <c r="N2626">
        <v>0</v>
      </c>
    </row>
    <row r="2627" spans="1:14" x14ac:dyDescent="0.25">
      <c r="A2627">
        <v>1670.9779149999999</v>
      </c>
      <c r="B2627" s="1">
        <f>DATE(2014,11,26) + TIME(23,28,11)</f>
        <v>41969.977905092594</v>
      </c>
      <c r="C2627">
        <v>80</v>
      </c>
      <c r="D2627">
        <v>78.362396239999995</v>
      </c>
      <c r="E2627">
        <v>40</v>
      </c>
      <c r="F2627">
        <v>39.992717743</v>
      </c>
      <c r="G2627">
        <v>1328.3920897999999</v>
      </c>
      <c r="H2627">
        <v>1326.6864014</v>
      </c>
      <c r="I2627">
        <v>1339.1962891000001</v>
      </c>
      <c r="J2627">
        <v>1336.3842772999999</v>
      </c>
      <c r="K2627">
        <v>0</v>
      </c>
      <c r="L2627">
        <v>2750</v>
      </c>
      <c r="M2627">
        <v>2750</v>
      </c>
      <c r="N2627">
        <v>0</v>
      </c>
    </row>
    <row r="2628" spans="1:14" x14ac:dyDescent="0.25">
      <c r="A2628">
        <v>1672.0090299999999</v>
      </c>
      <c r="B2628" s="1">
        <f>DATE(2014,11,28) + TIME(0,13,0)</f>
        <v>41971.009027777778</v>
      </c>
      <c r="C2628">
        <v>80</v>
      </c>
      <c r="D2628">
        <v>78.310760497999993</v>
      </c>
      <c r="E2628">
        <v>40</v>
      </c>
      <c r="F2628">
        <v>39.992706298999998</v>
      </c>
      <c r="G2628">
        <v>1328.3553466999999</v>
      </c>
      <c r="H2628">
        <v>1326.6359863</v>
      </c>
      <c r="I2628">
        <v>1339.1953125</v>
      </c>
      <c r="J2628">
        <v>1336.3841553</v>
      </c>
      <c r="K2628">
        <v>0</v>
      </c>
      <c r="L2628">
        <v>2750</v>
      </c>
      <c r="M2628">
        <v>2750</v>
      </c>
      <c r="N2628">
        <v>0</v>
      </c>
    </row>
    <row r="2629" spans="1:14" x14ac:dyDescent="0.25">
      <c r="A2629">
        <v>1673.049659</v>
      </c>
      <c r="B2629" s="1">
        <f>DATE(2014,11,29) + TIME(1,11,30)</f>
        <v>41972.04965277778</v>
      </c>
      <c r="C2629">
        <v>80</v>
      </c>
      <c r="D2629">
        <v>78.257774353000002</v>
      </c>
      <c r="E2629">
        <v>40</v>
      </c>
      <c r="F2629">
        <v>39.992691039999997</v>
      </c>
      <c r="G2629">
        <v>1328.3176269999999</v>
      </c>
      <c r="H2629">
        <v>1326.5844727000001</v>
      </c>
      <c r="I2629">
        <v>1339.1943358999999</v>
      </c>
      <c r="J2629">
        <v>1336.3839111</v>
      </c>
      <c r="K2629">
        <v>0</v>
      </c>
      <c r="L2629">
        <v>2750</v>
      </c>
      <c r="M2629">
        <v>2750</v>
      </c>
      <c r="N2629">
        <v>0</v>
      </c>
    </row>
    <row r="2630" spans="1:14" x14ac:dyDescent="0.25">
      <c r="A2630">
        <v>1674.105499</v>
      </c>
      <c r="B2630" s="1">
        <f>DATE(2014,11,30) + TIME(2,31,55)</f>
        <v>41973.105497685188</v>
      </c>
      <c r="C2630">
        <v>80</v>
      </c>
      <c r="D2630">
        <v>78.203964232999994</v>
      </c>
      <c r="E2630">
        <v>40</v>
      </c>
      <c r="F2630">
        <v>39.992679596000002</v>
      </c>
      <c r="G2630">
        <v>1328.2799072</v>
      </c>
      <c r="H2630">
        <v>1326.5328368999999</v>
      </c>
      <c r="I2630">
        <v>1339.1933594</v>
      </c>
      <c r="J2630">
        <v>1336.3837891000001</v>
      </c>
      <c r="K2630">
        <v>0</v>
      </c>
      <c r="L2630">
        <v>2750</v>
      </c>
      <c r="M2630">
        <v>2750</v>
      </c>
      <c r="N2630">
        <v>0</v>
      </c>
    </row>
    <row r="2631" spans="1:14" x14ac:dyDescent="0.25">
      <c r="A2631">
        <v>1675</v>
      </c>
      <c r="B2631" s="1">
        <f>DATE(2014,12,1) + TIME(0,0,0)</f>
        <v>41974</v>
      </c>
      <c r="C2631">
        <v>80</v>
      </c>
      <c r="D2631">
        <v>78.153015136999997</v>
      </c>
      <c r="E2631">
        <v>40</v>
      </c>
      <c r="F2631">
        <v>39.992668152</v>
      </c>
      <c r="G2631">
        <v>1328.2425536999999</v>
      </c>
      <c r="H2631">
        <v>1326.4820557</v>
      </c>
      <c r="I2631">
        <v>1339.1925048999999</v>
      </c>
      <c r="J2631">
        <v>1336.3836670000001</v>
      </c>
      <c r="K2631">
        <v>0</v>
      </c>
      <c r="L2631">
        <v>2750</v>
      </c>
      <c r="M2631">
        <v>2750</v>
      </c>
      <c r="N2631">
        <v>0</v>
      </c>
    </row>
    <row r="2632" spans="1:14" x14ac:dyDescent="0.25">
      <c r="A2632">
        <v>1676.078943</v>
      </c>
      <c r="B2632" s="1">
        <f>DATE(2014,12,2) + TIME(1,53,40)</f>
        <v>41975.078935185185</v>
      </c>
      <c r="C2632">
        <v>80</v>
      </c>
      <c r="D2632">
        <v>78.101379394999995</v>
      </c>
      <c r="E2632">
        <v>40</v>
      </c>
      <c r="F2632">
        <v>39.992652892999999</v>
      </c>
      <c r="G2632">
        <v>1328.2089844</v>
      </c>
      <c r="H2632">
        <v>1326.4354248</v>
      </c>
      <c r="I2632">
        <v>1339.1917725000001</v>
      </c>
      <c r="J2632">
        <v>1336.3835449000001</v>
      </c>
      <c r="K2632">
        <v>0</v>
      </c>
      <c r="L2632">
        <v>2750</v>
      </c>
      <c r="M2632">
        <v>2750</v>
      </c>
      <c r="N2632">
        <v>0</v>
      </c>
    </row>
    <row r="2633" spans="1:14" x14ac:dyDescent="0.25">
      <c r="A2633">
        <v>1677.2226840000001</v>
      </c>
      <c r="B2633" s="1">
        <f>DATE(2014,12,3) + TIME(5,20,39)</f>
        <v>41976.222673611112</v>
      </c>
      <c r="C2633">
        <v>80</v>
      </c>
      <c r="D2633">
        <v>78.046012877999999</v>
      </c>
      <c r="E2633">
        <v>40</v>
      </c>
      <c r="F2633">
        <v>39.992641448999997</v>
      </c>
      <c r="G2633">
        <v>1328.1723632999999</v>
      </c>
      <c r="H2633">
        <v>1326.3859863</v>
      </c>
      <c r="I2633">
        <v>1339.190918</v>
      </c>
      <c r="J2633">
        <v>1336.3835449000001</v>
      </c>
      <c r="K2633">
        <v>0</v>
      </c>
      <c r="L2633">
        <v>2750</v>
      </c>
      <c r="M2633">
        <v>2750</v>
      </c>
      <c r="N2633">
        <v>0</v>
      </c>
    </row>
    <row r="2634" spans="1:14" x14ac:dyDescent="0.25">
      <c r="A2634">
        <v>1678.403321</v>
      </c>
      <c r="B2634" s="1">
        <f>DATE(2014,12,4) + TIME(9,40,46)</f>
        <v>41977.403310185182</v>
      </c>
      <c r="C2634">
        <v>80</v>
      </c>
      <c r="D2634">
        <v>77.987579346000004</v>
      </c>
      <c r="E2634">
        <v>40</v>
      </c>
      <c r="F2634">
        <v>39.992626190000003</v>
      </c>
      <c r="G2634">
        <v>1328.1341553</v>
      </c>
      <c r="H2634">
        <v>1326.3341064000001</v>
      </c>
      <c r="I2634">
        <v>1339.1900635</v>
      </c>
      <c r="J2634">
        <v>1336.3834228999999</v>
      </c>
      <c r="K2634">
        <v>0</v>
      </c>
      <c r="L2634">
        <v>2750</v>
      </c>
      <c r="M2634">
        <v>2750</v>
      </c>
      <c r="N2634">
        <v>0</v>
      </c>
    </row>
    <row r="2635" spans="1:14" x14ac:dyDescent="0.25">
      <c r="A2635">
        <v>1679.6080280000001</v>
      </c>
      <c r="B2635" s="1">
        <f>DATE(2014,12,5) + TIME(14,35,33)</f>
        <v>41978.608020833337</v>
      </c>
      <c r="C2635">
        <v>80</v>
      </c>
      <c r="D2635">
        <v>77.926979064999998</v>
      </c>
      <c r="E2635">
        <v>40</v>
      </c>
      <c r="F2635">
        <v>39.992610931000002</v>
      </c>
      <c r="G2635">
        <v>1328.0949707</v>
      </c>
      <c r="H2635">
        <v>1326.2811279</v>
      </c>
      <c r="I2635">
        <v>1339.1893310999999</v>
      </c>
      <c r="J2635">
        <v>1336.3834228999999</v>
      </c>
      <c r="K2635">
        <v>0</v>
      </c>
      <c r="L2635">
        <v>2750</v>
      </c>
      <c r="M2635">
        <v>2750</v>
      </c>
      <c r="N2635">
        <v>0</v>
      </c>
    </row>
    <row r="2636" spans="1:14" x14ac:dyDescent="0.25">
      <c r="A2636">
        <v>1680.845501</v>
      </c>
      <c r="B2636" s="1">
        <f>DATE(2014,12,6) + TIME(20,17,31)</f>
        <v>41979.845497685186</v>
      </c>
      <c r="C2636">
        <v>80</v>
      </c>
      <c r="D2636">
        <v>77.864570618000002</v>
      </c>
      <c r="E2636">
        <v>40</v>
      </c>
      <c r="F2636">
        <v>39.992595672999997</v>
      </c>
      <c r="G2636">
        <v>1328.0554199000001</v>
      </c>
      <c r="H2636">
        <v>1326.2275391000001</v>
      </c>
      <c r="I2636">
        <v>1339.1884766000001</v>
      </c>
      <c r="J2636">
        <v>1336.3834228999999</v>
      </c>
      <c r="K2636">
        <v>0</v>
      </c>
      <c r="L2636">
        <v>2750</v>
      </c>
      <c r="M2636">
        <v>2750</v>
      </c>
      <c r="N2636">
        <v>0</v>
      </c>
    </row>
    <row r="2637" spans="1:14" x14ac:dyDescent="0.25">
      <c r="A2637">
        <v>1682.1251380000001</v>
      </c>
      <c r="B2637" s="1">
        <f>DATE(2014,12,8) + TIME(3,0,11)</f>
        <v>41981.125127314815</v>
      </c>
      <c r="C2637">
        <v>80</v>
      </c>
      <c r="D2637">
        <v>77.800140381000006</v>
      </c>
      <c r="E2637">
        <v>40</v>
      </c>
      <c r="F2637">
        <v>39.992584229000002</v>
      </c>
      <c r="G2637">
        <v>1328.0155029</v>
      </c>
      <c r="H2637">
        <v>1326.1734618999999</v>
      </c>
      <c r="I2637">
        <v>1339.1877440999999</v>
      </c>
      <c r="J2637">
        <v>1336.3835449000001</v>
      </c>
      <c r="K2637">
        <v>0</v>
      </c>
      <c r="L2637">
        <v>2750</v>
      </c>
      <c r="M2637">
        <v>2750</v>
      </c>
      <c r="N2637">
        <v>0</v>
      </c>
    </row>
    <row r="2638" spans="1:14" x14ac:dyDescent="0.25">
      <c r="A2638">
        <v>1683.437559</v>
      </c>
      <c r="B2638" s="1">
        <f>DATE(2014,12,9) + TIME(10,30,5)</f>
        <v>41982.437557870369</v>
      </c>
      <c r="C2638">
        <v>80</v>
      </c>
      <c r="D2638">
        <v>77.733535767000006</v>
      </c>
      <c r="E2638">
        <v>40</v>
      </c>
      <c r="F2638">
        <v>39.992568970000001</v>
      </c>
      <c r="G2638">
        <v>1327.9749756000001</v>
      </c>
      <c r="H2638">
        <v>1326.1188964999999</v>
      </c>
      <c r="I2638">
        <v>1339.1870117000001</v>
      </c>
      <c r="J2638">
        <v>1336.3836670000001</v>
      </c>
      <c r="K2638">
        <v>0</v>
      </c>
      <c r="L2638">
        <v>2750</v>
      </c>
      <c r="M2638">
        <v>2750</v>
      </c>
      <c r="N2638">
        <v>0</v>
      </c>
    </row>
    <row r="2639" spans="1:14" x14ac:dyDescent="0.25">
      <c r="A2639">
        <v>1684.766237</v>
      </c>
      <c r="B2639" s="1">
        <f>DATE(2014,12,10) + TIME(18,23,22)</f>
        <v>41983.766226851854</v>
      </c>
      <c r="C2639">
        <v>80</v>
      </c>
      <c r="D2639">
        <v>77.665084839000002</v>
      </c>
      <c r="E2639">
        <v>40</v>
      </c>
      <c r="F2639">
        <v>39.992553710999999</v>
      </c>
      <c r="G2639">
        <v>1327.934082</v>
      </c>
      <c r="H2639">
        <v>1326.0638428</v>
      </c>
      <c r="I2639">
        <v>1339.1862793</v>
      </c>
      <c r="J2639">
        <v>1336.3836670000001</v>
      </c>
      <c r="K2639">
        <v>0</v>
      </c>
      <c r="L2639">
        <v>2750</v>
      </c>
      <c r="M2639">
        <v>2750</v>
      </c>
      <c r="N2639">
        <v>0</v>
      </c>
    </row>
    <row r="2640" spans="1:14" x14ac:dyDescent="0.25">
      <c r="A2640">
        <v>1686.119541</v>
      </c>
      <c r="B2640" s="1">
        <f>DATE(2014,12,12) + TIME(2,52,8)</f>
        <v>41985.119537037041</v>
      </c>
      <c r="C2640">
        <v>80</v>
      </c>
      <c r="D2640">
        <v>77.595085143999995</v>
      </c>
      <c r="E2640">
        <v>40</v>
      </c>
      <c r="F2640">
        <v>39.992534636999999</v>
      </c>
      <c r="G2640">
        <v>1327.8933105000001</v>
      </c>
      <c r="H2640">
        <v>1326.0087891000001</v>
      </c>
      <c r="I2640">
        <v>1339.1856689000001</v>
      </c>
      <c r="J2640">
        <v>1336.3839111</v>
      </c>
      <c r="K2640">
        <v>0</v>
      </c>
      <c r="L2640">
        <v>2750</v>
      </c>
      <c r="M2640">
        <v>2750</v>
      </c>
      <c r="N2640">
        <v>0</v>
      </c>
    </row>
    <row r="2641" spans="1:14" x14ac:dyDescent="0.25">
      <c r="A2641">
        <v>1687.507844</v>
      </c>
      <c r="B2641" s="1">
        <f>DATE(2014,12,13) + TIME(12,11,17)</f>
        <v>41986.507835648146</v>
      </c>
      <c r="C2641">
        <v>80</v>
      </c>
      <c r="D2641">
        <v>77.523239136000001</v>
      </c>
      <c r="E2641">
        <v>40</v>
      </c>
      <c r="F2641">
        <v>39.992519379000001</v>
      </c>
      <c r="G2641">
        <v>1327.8524170000001</v>
      </c>
      <c r="H2641">
        <v>1325.9538574000001</v>
      </c>
      <c r="I2641">
        <v>1339.1849365</v>
      </c>
      <c r="J2641">
        <v>1336.3840332</v>
      </c>
      <c r="K2641">
        <v>0</v>
      </c>
      <c r="L2641">
        <v>2750</v>
      </c>
      <c r="M2641">
        <v>2750</v>
      </c>
      <c r="N2641">
        <v>0</v>
      </c>
    </row>
    <row r="2642" spans="1:14" x14ac:dyDescent="0.25">
      <c r="A2642">
        <v>1688.9425040000001</v>
      </c>
      <c r="B2642" s="1">
        <f>DATE(2014,12,14) + TIME(22,37,12)</f>
        <v>41987.942499999997</v>
      </c>
      <c r="C2642">
        <v>80</v>
      </c>
      <c r="D2642">
        <v>77.449028014999996</v>
      </c>
      <c r="E2642">
        <v>40</v>
      </c>
      <c r="F2642">
        <v>39.99250412</v>
      </c>
      <c r="G2642">
        <v>1327.8114014</v>
      </c>
      <c r="H2642">
        <v>1325.8986815999999</v>
      </c>
      <c r="I2642">
        <v>1339.1843262</v>
      </c>
      <c r="J2642">
        <v>1336.3842772999999</v>
      </c>
      <c r="K2642">
        <v>0</v>
      </c>
      <c r="L2642">
        <v>2750</v>
      </c>
      <c r="M2642">
        <v>2750</v>
      </c>
      <c r="N2642">
        <v>0</v>
      </c>
    </row>
    <row r="2643" spans="1:14" x14ac:dyDescent="0.25">
      <c r="A2643">
        <v>1690.4242320000001</v>
      </c>
      <c r="B2643" s="1">
        <f>DATE(2014,12,16) + TIME(10,10,53)</f>
        <v>41989.424224537041</v>
      </c>
      <c r="C2643">
        <v>80</v>
      </c>
      <c r="D2643">
        <v>77.371963500999996</v>
      </c>
      <c r="E2643">
        <v>40</v>
      </c>
      <c r="F2643">
        <v>39.992488860999998</v>
      </c>
      <c r="G2643">
        <v>1327.7698975000001</v>
      </c>
      <c r="H2643">
        <v>1325.8428954999999</v>
      </c>
      <c r="I2643">
        <v>1339.1837158000001</v>
      </c>
      <c r="J2643">
        <v>1336.3843993999999</v>
      </c>
      <c r="K2643">
        <v>0</v>
      </c>
      <c r="L2643">
        <v>2750</v>
      </c>
      <c r="M2643">
        <v>2750</v>
      </c>
      <c r="N2643">
        <v>0</v>
      </c>
    </row>
    <row r="2644" spans="1:14" x14ac:dyDescent="0.25">
      <c r="A2644">
        <v>1691.928001</v>
      </c>
      <c r="B2644" s="1">
        <f>DATE(2014,12,17) + TIME(22,16,19)</f>
        <v>41990.927997685183</v>
      </c>
      <c r="C2644">
        <v>80</v>
      </c>
      <c r="D2644">
        <v>77.292175293</v>
      </c>
      <c r="E2644">
        <v>40</v>
      </c>
      <c r="F2644">
        <v>39.992469788000001</v>
      </c>
      <c r="G2644">
        <v>1327.7277832</v>
      </c>
      <c r="H2644">
        <v>1325.7867432</v>
      </c>
      <c r="I2644">
        <v>1339.1831055</v>
      </c>
      <c r="J2644">
        <v>1336.3846435999999</v>
      </c>
      <c r="K2644">
        <v>0</v>
      </c>
      <c r="L2644">
        <v>2750</v>
      </c>
      <c r="M2644">
        <v>2750</v>
      </c>
      <c r="N2644">
        <v>0</v>
      </c>
    </row>
    <row r="2645" spans="1:14" x14ac:dyDescent="0.25">
      <c r="A2645">
        <v>1693.464604</v>
      </c>
      <c r="B2645" s="1">
        <f>DATE(2014,12,19) + TIME(11,9,1)</f>
        <v>41992.464594907404</v>
      </c>
      <c r="C2645">
        <v>80</v>
      </c>
      <c r="D2645">
        <v>77.210128784000005</v>
      </c>
      <c r="E2645">
        <v>40</v>
      </c>
      <c r="F2645">
        <v>39.992454529</v>
      </c>
      <c r="G2645">
        <v>1327.6856689000001</v>
      </c>
      <c r="H2645">
        <v>1325.7303466999999</v>
      </c>
      <c r="I2645">
        <v>1339.1824951000001</v>
      </c>
      <c r="J2645">
        <v>1336.3850098</v>
      </c>
      <c r="K2645">
        <v>0</v>
      </c>
      <c r="L2645">
        <v>2750</v>
      </c>
      <c r="M2645">
        <v>2750</v>
      </c>
      <c r="N2645">
        <v>0</v>
      </c>
    </row>
    <row r="2646" spans="1:14" x14ac:dyDescent="0.25">
      <c r="A2646">
        <v>1695.0412249999999</v>
      </c>
      <c r="B2646" s="1">
        <f>DATE(2014,12,21) + TIME(0,59,21)</f>
        <v>41994.041215277779</v>
      </c>
      <c r="C2646">
        <v>80</v>
      </c>
      <c r="D2646">
        <v>77.125534058</v>
      </c>
      <c r="E2646">
        <v>40</v>
      </c>
      <c r="F2646">
        <v>39.992439269999998</v>
      </c>
      <c r="G2646">
        <v>1327.6434326000001</v>
      </c>
      <c r="H2646">
        <v>1325.6739502</v>
      </c>
      <c r="I2646">
        <v>1339.1818848</v>
      </c>
      <c r="J2646">
        <v>1336.3852539</v>
      </c>
      <c r="K2646">
        <v>0</v>
      </c>
      <c r="L2646">
        <v>2750</v>
      </c>
      <c r="M2646">
        <v>2750</v>
      </c>
      <c r="N2646">
        <v>0</v>
      </c>
    </row>
    <row r="2647" spans="1:14" x14ac:dyDescent="0.25">
      <c r="A2647">
        <v>1696.6572169999999</v>
      </c>
      <c r="B2647" s="1">
        <f>DATE(2014,12,22) + TIME(15,46,23)</f>
        <v>41995.657210648147</v>
      </c>
      <c r="C2647">
        <v>80</v>
      </c>
      <c r="D2647">
        <v>77.038070679</v>
      </c>
      <c r="E2647">
        <v>40</v>
      </c>
      <c r="F2647">
        <v>39.992420197000001</v>
      </c>
      <c r="G2647">
        <v>1327.6009521000001</v>
      </c>
      <c r="H2647">
        <v>1325.6173096</v>
      </c>
      <c r="I2647">
        <v>1339.1812743999999</v>
      </c>
      <c r="J2647">
        <v>1336.3856201000001</v>
      </c>
      <c r="K2647">
        <v>0</v>
      </c>
      <c r="L2647">
        <v>2750</v>
      </c>
      <c r="M2647">
        <v>2750</v>
      </c>
      <c r="N2647">
        <v>0</v>
      </c>
    </row>
    <row r="2648" spans="1:14" x14ac:dyDescent="0.25">
      <c r="A2648">
        <v>1698.294157</v>
      </c>
      <c r="B2648" s="1">
        <f>DATE(2014,12,24) + TIME(7,3,35)</f>
        <v>41997.29415509259</v>
      </c>
      <c r="C2648">
        <v>80</v>
      </c>
      <c r="D2648">
        <v>76.947891235</v>
      </c>
      <c r="E2648">
        <v>40</v>
      </c>
      <c r="F2648">
        <v>39.992404938</v>
      </c>
      <c r="G2648">
        <v>1327.5582274999999</v>
      </c>
      <c r="H2648">
        <v>1325.5604248</v>
      </c>
      <c r="I2648">
        <v>1339.1806641000001</v>
      </c>
      <c r="J2648">
        <v>1336.3859863</v>
      </c>
      <c r="K2648">
        <v>0</v>
      </c>
      <c r="L2648">
        <v>2750</v>
      </c>
      <c r="M2648">
        <v>2750</v>
      </c>
      <c r="N2648">
        <v>0</v>
      </c>
    </row>
    <row r="2649" spans="1:14" x14ac:dyDescent="0.25">
      <c r="A2649">
        <v>1699.9645969999999</v>
      </c>
      <c r="B2649" s="1">
        <f>DATE(2014,12,25) + TIME(23,9,1)</f>
        <v>41998.964594907404</v>
      </c>
      <c r="C2649">
        <v>80</v>
      </c>
      <c r="D2649">
        <v>76.855331421000002</v>
      </c>
      <c r="E2649">
        <v>40</v>
      </c>
      <c r="F2649">
        <v>39.992385863999999</v>
      </c>
      <c r="G2649">
        <v>1327.515625</v>
      </c>
      <c r="H2649">
        <v>1325.5037841999999</v>
      </c>
      <c r="I2649">
        <v>1339.1800536999999</v>
      </c>
      <c r="J2649">
        <v>1336.3863524999999</v>
      </c>
      <c r="K2649">
        <v>0</v>
      </c>
      <c r="L2649">
        <v>2750</v>
      </c>
      <c r="M2649">
        <v>2750</v>
      </c>
      <c r="N2649">
        <v>0</v>
      </c>
    </row>
    <row r="2650" spans="1:14" x14ac:dyDescent="0.25">
      <c r="A2650">
        <v>1701.682059</v>
      </c>
      <c r="B2650" s="1">
        <f>DATE(2014,12,27) + TIME(16,22,9)</f>
        <v>42000.68204861111</v>
      </c>
      <c r="C2650">
        <v>80</v>
      </c>
      <c r="D2650">
        <v>76.759902953999998</v>
      </c>
      <c r="E2650">
        <v>40</v>
      </c>
      <c r="F2650">
        <v>39.992370604999998</v>
      </c>
      <c r="G2650">
        <v>1327.4730225000001</v>
      </c>
      <c r="H2650">
        <v>1325.4471435999999</v>
      </c>
      <c r="I2650">
        <v>1339.1795654</v>
      </c>
      <c r="J2650">
        <v>1336.3867187999999</v>
      </c>
      <c r="K2650">
        <v>0</v>
      </c>
      <c r="L2650">
        <v>2750</v>
      </c>
      <c r="M2650">
        <v>2750</v>
      </c>
      <c r="N2650">
        <v>0</v>
      </c>
    </row>
    <row r="2651" spans="1:14" x14ac:dyDescent="0.25">
      <c r="A2651">
        <v>1703.4488389999999</v>
      </c>
      <c r="B2651" s="1">
        <f>DATE(2014,12,29) + TIME(10,46,19)</f>
        <v>42002.448831018519</v>
      </c>
      <c r="C2651">
        <v>80</v>
      </c>
      <c r="D2651">
        <v>76.661010742000002</v>
      </c>
      <c r="E2651">
        <v>40</v>
      </c>
      <c r="F2651">
        <v>39.992351532000001</v>
      </c>
      <c r="G2651">
        <v>1327.4300536999999</v>
      </c>
      <c r="H2651">
        <v>1325.3902588000001</v>
      </c>
      <c r="I2651">
        <v>1339.1789550999999</v>
      </c>
      <c r="J2651">
        <v>1336.3870850000001</v>
      </c>
      <c r="K2651">
        <v>0</v>
      </c>
      <c r="L2651">
        <v>2750</v>
      </c>
      <c r="M2651">
        <v>2750</v>
      </c>
      <c r="N2651">
        <v>0</v>
      </c>
    </row>
    <row r="2652" spans="1:14" x14ac:dyDescent="0.25">
      <c r="A2652">
        <v>1705.251309</v>
      </c>
      <c r="B2652" s="1">
        <f>DATE(2014,12,31) + TIME(6,1,53)</f>
        <v>42004.251307870371</v>
      </c>
      <c r="C2652">
        <v>80</v>
      </c>
      <c r="D2652">
        <v>76.558555603000002</v>
      </c>
      <c r="E2652">
        <v>40</v>
      </c>
      <c r="F2652">
        <v>39.992332458</v>
      </c>
      <c r="G2652">
        <v>1327.3868408000001</v>
      </c>
      <c r="H2652">
        <v>1325.3331298999999</v>
      </c>
      <c r="I2652">
        <v>1339.1784668</v>
      </c>
      <c r="J2652">
        <v>1336.3874512</v>
      </c>
      <c r="K2652">
        <v>0</v>
      </c>
      <c r="L2652">
        <v>2750</v>
      </c>
      <c r="M2652">
        <v>2750</v>
      </c>
      <c r="N2652">
        <v>0</v>
      </c>
    </row>
    <row r="2653" spans="1:14" x14ac:dyDescent="0.25">
      <c r="A2653">
        <v>1706</v>
      </c>
      <c r="B2653" s="1">
        <f>DATE(2015,1,1) + TIME(0,0,0)</f>
        <v>42005</v>
      </c>
      <c r="C2653">
        <v>80</v>
      </c>
      <c r="D2653">
        <v>76.478652953999998</v>
      </c>
      <c r="E2653">
        <v>40</v>
      </c>
      <c r="F2653">
        <v>39.992324828999998</v>
      </c>
      <c r="G2653">
        <v>1327.3448486</v>
      </c>
      <c r="H2653">
        <v>1325.2786865</v>
      </c>
      <c r="I2653">
        <v>1339.1778564000001</v>
      </c>
      <c r="J2653">
        <v>1336.3878173999999</v>
      </c>
      <c r="K2653">
        <v>0</v>
      </c>
      <c r="L2653">
        <v>2750</v>
      </c>
      <c r="M2653">
        <v>2750</v>
      </c>
      <c r="N2653">
        <v>0</v>
      </c>
    </row>
    <row r="2654" spans="1:14" x14ac:dyDescent="0.25">
      <c r="A2654">
        <v>1707.8301779999999</v>
      </c>
      <c r="B2654" s="1">
        <f>DATE(2015,1,2) + TIME(19,55,27)</f>
        <v>42006.83017361111</v>
      </c>
      <c r="C2654">
        <v>80</v>
      </c>
      <c r="D2654">
        <v>76.400665282999995</v>
      </c>
      <c r="E2654">
        <v>40</v>
      </c>
      <c r="F2654">
        <v>39.992305756</v>
      </c>
      <c r="G2654">
        <v>1327.3199463000001</v>
      </c>
      <c r="H2654">
        <v>1325.2420654</v>
      </c>
      <c r="I2654">
        <v>1339.1776123</v>
      </c>
      <c r="J2654">
        <v>1336.3880615</v>
      </c>
      <c r="K2654">
        <v>0</v>
      </c>
      <c r="L2654">
        <v>2750</v>
      </c>
      <c r="M2654">
        <v>2750</v>
      </c>
      <c r="N2654">
        <v>0</v>
      </c>
    </row>
    <row r="2655" spans="1:14" x14ac:dyDescent="0.25">
      <c r="A2655">
        <v>1709.724213</v>
      </c>
      <c r="B2655" s="1">
        <f>DATE(2015,1,4) + TIME(17,22,52)</f>
        <v>42008.724212962959</v>
      </c>
      <c r="C2655">
        <v>80</v>
      </c>
      <c r="D2655">
        <v>76.297698975000003</v>
      </c>
      <c r="E2655">
        <v>40</v>
      </c>
      <c r="F2655">
        <v>39.992286682</v>
      </c>
      <c r="G2655">
        <v>1327.28125</v>
      </c>
      <c r="H2655">
        <v>1325.1928711</v>
      </c>
      <c r="I2655">
        <v>1339.177124</v>
      </c>
      <c r="J2655">
        <v>1336.3885498</v>
      </c>
      <c r="K2655">
        <v>0</v>
      </c>
      <c r="L2655">
        <v>2750</v>
      </c>
      <c r="M2655">
        <v>2750</v>
      </c>
      <c r="N2655">
        <v>0</v>
      </c>
    </row>
    <row r="2656" spans="1:14" x14ac:dyDescent="0.25">
      <c r="A2656">
        <v>1711.6570320000001</v>
      </c>
      <c r="B2656" s="1">
        <f>DATE(2015,1,6) + TIME(15,46,7)</f>
        <v>42010.657025462962</v>
      </c>
      <c r="C2656">
        <v>80</v>
      </c>
      <c r="D2656">
        <v>76.185592650999993</v>
      </c>
      <c r="E2656">
        <v>40</v>
      </c>
      <c r="F2656">
        <v>39.992267609000002</v>
      </c>
      <c r="G2656">
        <v>1327.2388916</v>
      </c>
      <c r="H2656">
        <v>1325.1375731999999</v>
      </c>
      <c r="I2656">
        <v>1339.1765137</v>
      </c>
      <c r="J2656">
        <v>1336.3890381000001</v>
      </c>
      <c r="K2656">
        <v>0</v>
      </c>
      <c r="L2656">
        <v>2750</v>
      </c>
      <c r="M2656">
        <v>2750</v>
      </c>
      <c r="N2656">
        <v>0</v>
      </c>
    </row>
    <row r="2657" spans="1:14" x14ac:dyDescent="0.25">
      <c r="A2657">
        <v>1713.619052</v>
      </c>
      <c r="B2657" s="1">
        <f>DATE(2015,1,8) + TIME(14,51,26)</f>
        <v>42012.619050925925</v>
      </c>
      <c r="C2657">
        <v>80</v>
      </c>
      <c r="D2657">
        <v>76.068962096999996</v>
      </c>
      <c r="E2657">
        <v>40</v>
      </c>
      <c r="F2657">
        <v>39.992248535000002</v>
      </c>
      <c r="G2657">
        <v>1327.1956786999999</v>
      </c>
      <c r="H2657">
        <v>1325.0808105000001</v>
      </c>
      <c r="I2657">
        <v>1339.1760254000001</v>
      </c>
      <c r="J2657">
        <v>1336.3895264</v>
      </c>
      <c r="K2657">
        <v>0</v>
      </c>
      <c r="L2657">
        <v>2750</v>
      </c>
      <c r="M2657">
        <v>2750</v>
      </c>
      <c r="N2657">
        <v>0</v>
      </c>
    </row>
    <row r="2658" spans="1:14" x14ac:dyDescent="0.25">
      <c r="A2658">
        <v>1715.626133</v>
      </c>
      <c r="B2658" s="1">
        <f>DATE(2015,1,10) + TIME(15,1,37)</f>
        <v>42014.626122685186</v>
      </c>
      <c r="C2658">
        <v>80</v>
      </c>
      <c r="D2658">
        <v>75.948905945000007</v>
      </c>
      <c r="E2658">
        <v>40</v>
      </c>
      <c r="F2658">
        <v>39.992229461999997</v>
      </c>
      <c r="G2658">
        <v>1327.1523437999999</v>
      </c>
      <c r="H2658">
        <v>1325.0238036999999</v>
      </c>
      <c r="I2658">
        <v>1339.1754149999999</v>
      </c>
      <c r="J2658">
        <v>1336.3900146000001</v>
      </c>
      <c r="K2658">
        <v>0</v>
      </c>
      <c r="L2658">
        <v>2750</v>
      </c>
      <c r="M2658">
        <v>2750</v>
      </c>
      <c r="N2658">
        <v>0</v>
      </c>
    </row>
    <row r="2659" spans="1:14" x14ac:dyDescent="0.25">
      <c r="A2659">
        <v>1717.6817820000001</v>
      </c>
      <c r="B2659" s="1">
        <f>DATE(2015,1,12) + TIME(16,21,45)</f>
        <v>42016.681770833333</v>
      </c>
      <c r="C2659">
        <v>80</v>
      </c>
      <c r="D2659">
        <v>75.825027465999995</v>
      </c>
      <c r="E2659">
        <v>40</v>
      </c>
      <c r="F2659">
        <v>39.992210387999997</v>
      </c>
      <c r="G2659">
        <v>1327.1088867000001</v>
      </c>
      <c r="H2659">
        <v>1324.9667969</v>
      </c>
      <c r="I2659">
        <v>1339.1748047000001</v>
      </c>
      <c r="J2659">
        <v>1336.3905029</v>
      </c>
      <c r="K2659">
        <v>0</v>
      </c>
      <c r="L2659">
        <v>2750</v>
      </c>
      <c r="M2659">
        <v>2750</v>
      </c>
      <c r="N2659">
        <v>0</v>
      </c>
    </row>
    <row r="2660" spans="1:14" x14ac:dyDescent="0.25">
      <c r="A2660">
        <v>1719.7716909999999</v>
      </c>
      <c r="B2660" s="1">
        <f>DATE(2015,1,14) + TIME(18,31,14)</f>
        <v>42018.771689814814</v>
      </c>
      <c r="C2660">
        <v>80</v>
      </c>
      <c r="D2660">
        <v>75.697227478000002</v>
      </c>
      <c r="E2660">
        <v>40</v>
      </c>
      <c r="F2660">
        <v>39.992191314999999</v>
      </c>
      <c r="G2660">
        <v>1327.0653076000001</v>
      </c>
      <c r="H2660">
        <v>1324.909668</v>
      </c>
      <c r="I2660">
        <v>1339.1741943</v>
      </c>
      <c r="J2660">
        <v>1336.3909911999999</v>
      </c>
      <c r="K2660">
        <v>0</v>
      </c>
      <c r="L2660">
        <v>2750</v>
      </c>
      <c r="M2660">
        <v>2750</v>
      </c>
      <c r="N2660">
        <v>0</v>
      </c>
    </row>
    <row r="2661" spans="1:14" x14ac:dyDescent="0.25">
      <c r="A2661">
        <v>1721.903313</v>
      </c>
      <c r="B2661" s="1">
        <f>DATE(2015,1,16) + TIME(21,40,46)</f>
        <v>42020.903310185182</v>
      </c>
      <c r="C2661">
        <v>80</v>
      </c>
      <c r="D2661">
        <v>75.565925598000007</v>
      </c>
      <c r="E2661">
        <v>40</v>
      </c>
      <c r="F2661">
        <v>39.992172240999999</v>
      </c>
      <c r="G2661">
        <v>1327.0218506000001</v>
      </c>
      <c r="H2661">
        <v>1324.8525391000001</v>
      </c>
      <c r="I2661">
        <v>1339.1737060999999</v>
      </c>
      <c r="J2661">
        <v>1336.3914795000001</v>
      </c>
      <c r="K2661">
        <v>0</v>
      </c>
      <c r="L2661">
        <v>2750</v>
      </c>
      <c r="M2661">
        <v>2750</v>
      </c>
      <c r="N2661">
        <v>0</v>
      </c>
    </row>
    <row r="2662" spans="1:14" x14ac:dyDescent="0.25">
      <c r="A2662">
        <v>1724.073787</v>
      </c>
      <c r="B2662" s="1">
        <f>DATE(2015,1,19) + TIME(1,46,15)</f>
        <v>42023.073784722219</v>
      </c>
      <c r="C2662">
        <v>80</v>
      </c>
      <c r="D2662">
        <v>75.430931091000005</v>
      </c>
      <c r="E2662">
        <v>40</v>
      </c>
      <c r="F2662">
        <v>39.992153168000002</v>
      </c>
      <c r="G2662">
        <v>1326.9782714999999</v>
      </c>
      <c r="H2662">
        <v>1324.7956543</v>
      </c>
      <c r="I2662">
        <v>1339.1730957</v>
      </c>
      <c r="J2662">
        <v>1336.3919678</v>
      </c>
      <c r="K2662">
        <v>0</v>
      </c>
      <c r="L2662">
        <v>2750</v>
      </c>
      <c r="M2662">
        <v>2750</v>
      </c>
      <c r="N2662">
        <v>0</v>
      </c>
    </row>
    <row r="2663" spans="1:14" x14ac:dyDescent="0.25">
      <c r="A2663">
        <v>1726.3007070000001</v>
      </c>
      <c r="B2663" s="1">
        <f>DATE(2015,1,21) + TIME(7,13,1)</f>
        <v>42025.300706018519</v>
      </c>
      <c r="C2663">
        <v>80</v>
      </c>
      <c r="D2663">
        <v>75.292091369999994</v>
      </c>
      <c r="E2663">
        <v>40</v>
      </c>
      <c r="F2663">
        <v>39.992130279999998</v>
      </c>
      <c r="G2663">
        <v>1326.9348144999999</v>
      </c>
      <c r="H2663">
        <v>1324.7387695</v>
      </c>
      <c r="I2663">
        <v>1339.1724853999999</v>
      </c>
      <c r="J2663">
        <v>1336.3924560999999</v>
      </c>
      <c r="K2663">
        <v>0</v>
      </c>
      <c r="L2663">
        <v>2750</v>
      </c>
      <c r="M2663">
        <v>2750</v>
      </c>
      <c r="N2663">
        <v>0</v>
      </c>
    </row>
    <row r="2664" spans="1:14" x14ac:dyDescent="0.25">
      <c r="A2664">
        <v>1728.566012</v>
      </c>
      <c r="B2664" s="1">
        <f>DATE(2015,1,23) + TIME(13,35,3)</f>
        <v>42027.566006944442</v>
      </c>
      <c r="C2664">
        <v>80</v>
      </c>
      <c r="D2664">
        <v>75.148918151999993</v>
      </c>
      <c r="E2664">
        <v>40</v>
      </c>
      <c r="F2664">
        <v>39.992111205999997</v>
      </c>
      <c r="G2664">
        <v>1326.8912353999999</v>
      </c>
      <c r="H2664">
        <v>1324.6818848</v>
      </c>
      <c r="I2664">
        <v>1339.1717529</v>
      </c>
      <c r="J2664">
        <v>1336.3930664</v>
      </c>
      <c r="K2664">
        <v>0</v>
      </c>
      <c r="L2664">
        <v>2750</v>
      </c>
      <c r="M2664">
        <v>2750</v>
      </c>
      <c r="N2664">
        <v>0</v>
      </c>
    </row>
    <row r="2665" spans="1:14" x14ac:dyDescent="0.25">
      <c r="A2665">
        <v>1730.876244</v>
      </c>
      <c r="B2665" s="1">
        <f>DATE(2015,1,25) + TIME(21,1,47)</f>
        <v>42029.876238425924</v>
      </c>
      <c r="C2665">
        <v>80</v>
      </c>
      <c r="D2665">
        <v>75.001884459999999</v>
      </c>
      <c r="E2665">
        <v>40</v>
      </c>
      <c r="F2665">
        <v>39.992092133</v>
      </c>
      <c r="G2665">
        <v>1326.8476562000001</v>
      </c>
      <c r="H2665">
        <v>1324.625</v>
      </c>
      <c r="I2665">
        <v>1339.1711425999999</v>
      </c>
      <c r="J2665">
        <v>1336.3935547000001</v>
      </c>
      <c r="K2665">
        <v>0</v>
      </c>
      <c r="L2665">
        <v>2750</v>
      </c>
      <c r="M2665">
        <v>2750</v>
      </c>
      <c r="N2665">
        <v>0</v>
      </c>
    </row>
    <row r="2666" spans="1:14" x14ac:dyDescent="0.25">
      <c r="A2666">
        <v>1733.2327230000001</v>
      </c>
      <c r="B2666" s="1">
        <f>DATE(2015,1,28) + TIME(5,35,7)</f>
        <v>42032.232719907406</v>
      </c>
      <c r="C2666">
        <v>80</v>
      </c>
      <c r="D2666">
        <v>74.850593567000004</v>
      </c>
      <c r="E2666">
        <v>40</v>
      </c>
      <c r="F2666">
        <v>39.992069244</v>
      </c>
      <c r="G2666">
        <v>1326.8040771000001</v>
      </c>
      <c r="H2666">
        <v>1324.5681152</v>
      </c>
      <c r="I2666">
        <v>1339.1705322</v>
      </c>
      <c r="J2666">
        <v>1336.394043</v>
      </c>
      <c r="K2666">
        <v>0</v>
      </c>
      <c r="L2666">
        <v>2750</v>
      </c>
      <c r="M2666">
        <v>2750</v>
      </c>
      <c r="N2666">
        <v>0</v>
      </c>
    </row>
    <row r="2667" spans="1:14" x14ac:dyDescent="0.25">
      <c r="A2667">
        <v>1735.619946</v>
      </c>
      <c r="B2667" s="1">
        <f>DATE(2015,1,30) + TIME(14,52,43)</f>
        <v>42034.619942129626</v>
      </c>
      <c r="C2667">
        <v>80</v>
      </c>
      <c r="D2667">
        <v>74.695274353000002</v>
      </c>
      <c r="E2667">
        <v>40</v>
      </c>
      <c r="F2667">
        <v>39.992050171000002</v>
      </c>
      <c r="G2667">
        <v>1326.7604980000001</v>
      </c>
      <c r="H2667">
        <v>1324.5114745999999</v>
      </c>
      <c r="I2667">
        <v>1339.1697998</v>
      </c>
      <c r="J2667">
        <v>1336.3945312000001</v>
      </c>
      <c r="K2667">
        <v>0</v>
      </c>
      <c r="L2667">
        <v>2750</v>
      </c>
      <c r="M2667">
        <v>2750</v>
      </c>
      <c r="N2667">
        <v>0</v>
      </c>
    </row>
    <row r="2668" spans="1:14" x14ac:dyDescent="0.25">
      <c r="A2668">
        <v>1737</v>
      </c>
      <c r="B2668" s="1">
        <f>DATE(2015,2,1) + TIME(0,0,0)</f>
        <v>42036</v>
      </c>
      <c r="C2668">
        <v>80</v>
      </c>
      <c r="D2668">
        <v>74.554450989000003</v>
      </c>
      <c r="E2668">
        <v>40</v>
      </c>
      <c r="F2668">
        <v>39.992038727000001</v>
      </c>
      <c r="G2668">
        <v>1326.7176514</v>
      </c>
      <c r="H2668">
        <v>1324.4564209</v>
      </c>
      <c r="I2668">
        <v>1339.1690673999999</v>
      </c>
      <c r="J2668">
        <v>1336.3950195</v>
      </c>
      <c r="K2668">
        <v>0</v>
      </c>
      <c r="L2668">
        <v>2750</v>
      </c>
      <c r="M2668">
        <v>2750</v>
      </c>
      <c r="N2668">
        <v>0</v>
      </c>
    </row>
    <row r="2669" spans="1:14" x14ac:dyDescent="0.25">
      <c r="A2669">
        <v>1739.436588</v>
      </c>
      <c r="B2669" s="1">
        <f>DATE(2015,2,3) + TIME(10,28,41)</f>
        <v>42038.436585648145</v>
      </c>
      <c r="C2669">
        <v>80</v>
      </c>
      <c r="D2669">
        <v>74.435714722</v>
      </c>
      <c r="E2669">
        <v>40</v>
      </c>
      <c r="F2669">
        <v>39.992019653</v>
      </c>
      <c r="G2669">
        <v>1326.6876221</v>
      </c>
      <c r="H2669">
        <v>1324.4140625</v>
      </c>
      <c r="I2669">
        <v>1339.1687012</v>
      </c>
      <c r="J2669">
        <v>1336.3952637</v>
      </c>
      <c r="K2669">
        <v>0</v>
      </c>
      <c r="L2669">
        <v>2750</v>
      </c>
      <c r="M2669">
        <v>2750</v>
      </c>
      <c r="N2669">
        <v>0</v>
      </c>
    </row>
    <row r="2670" spans="1:14" x14ac:dyDescent="0.25">
      <c r="A2670">
        <v>1741.9554740000001</v>
      </c>
      <c r="B2670" s="1">
        <f>DATE(2015,2,5) + TIME(22,55,52)</f>
        <v>42040.955462962964</v>
      </c>
      <c r="C2670">
        <v>80</v>
      </c>
      <c r="D2670">
        <v>74.278266907000003</v>
      </c>
      <c r="E2670">
        <v>40</v>
      </c>
      <c r="F2670">
        <v>39.991996765000003</v>
      </c>
      <c r="G2670">
        <v>1326.6485596</v>
      </c>
      <c r="H2670">
        <v>1324.3653564000001</v>
      </c>
      <c r="I2670">
        <v>1339.1679687999999</v>
      </c>
      <c r="J2670">
        <v>1336.3957519999999</v>
      </c>
      <c r="K2670">
        <v>0</v>
      </c>
      <c r="L2670">
        <v>2750</v>
      </c>
      <c r="M2670">
        <v>2750</v>
      </c>
      <c r="N2670">
        <v>0</v>
      </c>
    </row>
    <row r="2671" spans="1:14" x14ac:dyDescent="0.25">
      <c r="A2671">
        <v>1744.538436</v>
      </c>
      <c r="B2671" s="1">
        <f>DATE(2015,2,8) + TIME(12,55,20)</f>
        <v>42043.538425925923</v>
      </c>
      <c r="C2671">
        <v>80</v>
      </c>
      <c r="D2671">
        <v>74.109031677000004</v>
      </c>
      <c r="E2671">
        <v>40</v>
      </c>
      <c r="F2671">
        <v>39.991977691999999</v>
      </c>
      <c r="G2671">
        <v>1326.6060791</v>
      </c>
      <c r="H2671">
        <v>1324.3106689000001</v>
      </c>
      <c r="I2671">
        <v>1339.1672363</v>
      </c>
      <c r="J2671">
        <v>1336.3962402</v>
      </c>
      <c r="K2671">
        <v>0</v>
      </c>
      <c r="L2671">
        <v>2750</v>
      </c>
      <c r="M2671">
        <v>2750</v>
      </c>
      <c r="N2671">
        <v>0</v>
      </c>
    </row>
    <row r="2672" spans="1:14" x14ac:dyDescent="0.25">
      <c r="A2672">
        <v>1747.1689960000001</v>
      </c>
      <c r="B2672" s="1">
        <f>DATE(2015,2,11) + TIME(4,3,21)</f>
        <v>42046.168993055559</v>
      </c>
      <c r="C2672">
        <v>80</v>
      </c>
      <c r="D2672">
        <v>73.933456421000002</v>
      </c>
      <c r="E2672">
        <v>40</v>
      </c>
      <c r="F2672">
        <v>39.991954802999999</v>
      </c>
      <c r="G2672">
        <v>1326.5627440999999</v>
      </c>
      <c r="H2672">
        <v>1324.2546387</v>
      </c>
      <c r="I2672">
        <v>1339.1663818</v>
      </c>
      <c r="J2672">
        <v>1336.3966064000001</v>
      </c>
      <c r="K2672">
        <v>0</v>
      </c>
      <c r="L2672">
        <v>2750</v>
      </c>
      <c r="M2672">
        <v>2750</v>
      </c>
      <c r="N2672">
        <v>0</v>
      </c>
    </row>
    <row r="2673" spans="1:14" x14ac:dyDescent="0.25">
      <c r="A2673">
        <v>1749.8370090000001</v>
      </c>
      <c r="B2673" s="1">
        <f>DATE(2015,2,13) + TIME(20,5,17)</f>
        <v>42048.837002314816</v>
      </c>
      <c r="C2673">
        <v>80</v>
      </c>
      <c r="D2673">
        <v>73.753227233999993</v>
      </c>
      <c r="E2673">
        <v>40</v>
      </c>
      <c r="F2673">
        <v>39.991931915000002</v>
      </c>
      <c r="G2673">
        <v>1326.5192870999999</v>
      </c>
      <c r="H2673">
        <v>1324.1983643000001</v>
      </c>
      <c r="I2673">
        <v>1339.1656493999999</v>
      </c>
      <c r="J2673">
        <v>1336.3970947</v>
      </c>
      <c r="K2673">
        <v>0</v>
      </c>
      <c r="L2673">
        <v>2750</v>
      </c>
      <c r="M2673">
        <v>2750</v>
      </c>
      <c r="N2673">
        <v>0</v>
      </c>
    </row>
    <row r="2674" spans="1:14" x14ac:dyDescent="0.25">
      <c r="A2674">
        <v>1752.5381130000001</v>
      </c>
      <c r="B2674" s="1">
        <f>DATE(2015,2,16) + TIME(12,54,52)</f>
        <v>42051.538101851853</v>
      </c>
      <c r="C2674">
        <v>80</v>
      </c>
      <c r="D2674">
        <v>73.569183350000003</v>
      </c>
      <c r="E2674">
        <v>40</v>
      </c>
      <c r="F2674">
        <v>39.991912841999998</v>
      </c>
      <c r="G2674">
        <v>1326.4760742000001</v>
      </c>
      <c r="H2674">
        <v>1324.1422118999999</v>
      </c>
      <c r="I2674">
        <v>1339.1647949000001</v>
      </c>
      <c r="J2674">
        <v>1336.3974608999999</v>
      </c>
      <c r="K2674">
        <v>0</v>
      </c>
      <c r="L2674">
        <v>2750</v>
      </c>
      <c r="M2674">
        <v>2750</v>
      </c>
      <c r="N2674">
        <v>0</v>
      </c>
    </row>
    <row r="2675" spans="1:14" x14ac:dyDescent="0.25">
      <c r="A2675">
        <v>1755.2943330000001</v>
      </c>
      <c r="B2675" s="1">
        <f>DATE(2015,2,19) + TIME(7,3,50)</f>
        <v>42054.294328703705</v>
      </c>
      <c r="C2675">
        <v>80</v>
      </c>
      <c r="D2675">
        <v>73.381385803000001</v>
      </c>
      <c r="E2675">
        <v>40</v>
      </c>
      <c r="F2675">
        <v>39.991889954000001</v>
      </c>
      <c r="G2675">
        <v>1326.4329834</v>
      </c>
      <c r="H2675">
        <v>1324.0865478999999</v>
      </c>
      <c r="I2675">
        <v>1339.1639404</v>
      </c>
      <c r="J2675">
        <v>1336.3979492000001</v>
      </c>
      <c r="K2675">
        <v>0</v>
      </c>
      <c r="L2675">
        <v>2750</v>
      </c>
      <c r="M2675">
        <v>2750</v>
      </c>
      <c r="N2675">
        <v>0</v>
      </c>
    </row>
    <row r="2676" spans="1:14" x14ac:dyDescent="0.25">
      <c r="A2676">
        <v>1758.1141990000001</v>
      </c>
      <c r="B2676" s="1">
        <f>DATE(2015,2,22) + TIME(2,44,26)</f>
        <v>42057.114189814813</v>
      </c>
      <c r="C2676">
        <v>80</v>
      </c>
      <c r="D2676">
        <v>73.188743591000005</v>
      </c>
      <c r="E2676">
        <v>40</v>
      </c>
      <c r="F2676">
        <v>39.99187088</v>
      </c>
      <c r="G2676">
        <v>1326.3901367000001</v>
      </c>
      <c r="H2676">
        <v>1324.0310059000001</v>
      </c>
      <c r="I2676">
        <v>1339.1629639</v>
      </c>
      <c r="J2676">
        <v>1336.3983154</v>
      </c>
      <c r="K2676">
        <v>0</v>
      </c>
      <c r="L2676">
        <v>2750</v>
      </c>
      <c r="M2676">
        <v>2750</v>
      </c>
      <c r="N2676">
        <v>0</v>
      </c>
    </row>
    <row r="2677" spans="1:14" x14ac:dyDescent="0.25">
      <c r="A2677">
        <v>1761.010049</v>
      </c>
      <c r="B2677" s="1">
        <f>DATE(2015,2,25) + TIME(0,14,28)</f>
        <v>42060.010046296295</v>
      </c>
      <c r="C2677">
        <v>80</v>
      </c>
      <c r="D2677">
        <v>72.990478515999996</v>
      </c>
      <c r="E2677">
        <v>40</v>
      </c>
      <c r="F2677">
        <v>39.991847991999997</v>
      </c>
      <c r="G2677">
        <v>1326.3470459</v>
      </c>
      <c r="H2677">
        <v>1323.9754639</v>
      </c>
      <c r="I2677">
        <v>1339.1621094</v>
      </c>
      <c r="J2677">
        <v>1336.3986815999999</v>
      </c>
      <c r="K2677">
        <v>0</v>
      </c>
      <c r="L2677">
        <v>2750</v>
      </c>
      <c r="M2677">
        <v>2750</v>
      </c>
      <c r="N2677">
        <v>0</v>
      </c>
    </row>
    <row r="2678" spans="1:14" x14ac:dyDescent="0.25">
      <c r="A2678">
        <v>1763.9696650000001</v>
      </c>
      <c r="B2678" s="1">
        <f>DATE(2015,2,27) + TIME(23,16,19)</f>
        <v>42062.969664351855</v>
      </c>
      <c r="C2678">
        <v>80</v>
      </c>
      <c r="D2678">
        <v>72.786010742000002</v>
      </c>
      <c r="E2678">
        <v>40</v>
      </c>
      <c r="F2678">
        <v>39.991825104</v>
      </c>
      <c r="G2678">
        <v>1326.3038329999999</v>
      </c>
      <c r="H2678">
        <v>1323.9197998</v>
      </c>
      <c r="I2678">
        <v>1339.1611327999999</v>
      </c>
      <c r="J2678">
        <v>1336.3989257999999</v>
      </c>
      <c r="K2678">
        <v>0</v>
      </c>
      <c r="L2678">
        <v>2750</v>
      </c>
      <c r="M2678">
        <v>2750</v>
      </c>
      <c r="N2678">
        <v>0</v>
      </c>
    </row>
    <row r="2679" spans="1:14" x14ac:dyDescent="0.25">
      <c r="A2679">
        <v>1765</v>
      </c>
      <c r="B2679" s="1">
        <f>DATE(2015,3,1) + TIME(0,0,0)</f>
        <v>42064</v>
      </c>
      <c r="C2679">
        <v>80</v>
      </c>
      <c r="D2679">
        <v>72.619415282999995</v>
      </c>
      <c r="E2679">
        <v>40</v>
      </c>
      <c r="F2679">
        <v>39.991817474000001</v>
      </c>
      <c r="G2679">
        <v>1326.2611084</v>
      </c>
      <c r="H2679">
        <v>1323.8663329999999</v>
      </c>
      <c r="I2679">
        <v>1339.1600341999999</v>
      </c>
      <c r="J2679">
        <v>1336.3991699000001</v>
      </c>
      <c r="K2679">
        <v>0</v>
      </c>
      <c r="L2679">
        <v>2750</v>
      </c>
      <c r="M2679">
        <v>2750</v>
      </c>
      <c r="N2679">
        <v>0</v>
      </c>
    </row>
    <row r="2680" spans="1:14" x14ac:dyDescent="0.25">
      <c r="A2680">
        <v>1767.9848830000001</v>
      </c>
      <c r="B2680" s="1">
        <f>DATE(2015,3,3) + TIME(23,38,13)</f>
        <v>42066.984872685185</v>
      </c>
      <c r="C2680">
        <v>80</v>
      </c>
      <c r="D2680">
        <v>72.489570618000002</v>
      </c>
      <c r="E2680">
        <v>40</v>
      </c>
      <c r="F2680">
        <v>39.991798400999997</v>
      </c>
      <c r="G2680">
        <v>1326.2391356999999</v>
      </c>
      <c r="H2680">
        <v>1323.8325195</v>
      </c>
      <c r="I2680">
        <v>1339.1597899999999</v>
      </c>
      <c r="J2680">
        <v>1336.3994141000001</v>
      </c>
      <c r="K2680">
        <v>0</v>
      </c>
      <c r="L2680">
        <v>2750</v>
      </c>
      <c r="M2680">
        <v>2750</v>
      </c>
      <c r="N2680">
        <v>0</v>
      </c>
    </row>
    <row r="2681" spans="1:14" x14ac:dyDescent="0.25">
      <c r="A2681">
        <v>1771.0320300000001</v>
      </c>
      <c r="B2681" s="1">
        <f>DATE(2015,3,7) + TIME(0,46,7)</f>
        <v>42070.032025462962</v>
      </c>
      <c r="C2681">
        <v>80</v>
      </c>
      <c r="D2681">
        <v>72.286117554</v>
      </c>
      <c r="E2681">
        <v>40</v>
      </c>
      <c r="F2681">
        <v>39.991775513</v>
      </c>
      <c r="G2681">
        <v>1326.2017822</v>
      </c>
      <c r="H2681">
        <v>1323.7873535000001</v>
      </c>
      <c r="I2681">
        <v>1339.1586914</v>
      </c>
      <c r="J2681">
        <v>1336.3996582</v>
      </c>
      <c r="K2681">
        <v>0</v>
      </c>
      <c r="L2681">
        <v>2750</v>
      </c>
      <c r="M2681">
        <v>2750</v>
      </c>
      <c r="N2681">
        <v>0</v>
      </c>
    </row>
    <row r="2682" spans="1:14" x14ac:dyDescent="0.25">
      <c r="A2682">
        <v>1774.1551300000001</v>
      </c>
      <c r="B2682" s="1">
        <f>DATE(2015,3,10) + TIME(3,43,23)</f>
        <v>42073.155127314814</v>
      </c>
      <c r="C2682">
        <v>80</v>
      </c>
      <c r="D2682">
        <v>72.068557738999999</v>
      </c>
      <c r="E2682">
        <v>40</v>
      </c>
      <c r="F2682">
        <v>39.991756439</v>
      </c>
      <c r="G2682">
        <v>1326.1600341999999</v>
      </c>
      <c r="H2682">
        <v>1323.7338867000001</v>
      </c>
      <c r="I2682">
        <v>1339.1575928</v>
      </c>
      <c r="J2682">
        <v>1336.3999022999999</v>
      </c>
      <c r="K2682">
        <v>0</v>
      </c>
      <c r="L2682">
        <v>2750</v>
      </c>
      <c r="M2682">
        <v>2750</v>
      </c>
      <c r="N2682">
        <v>0</v>
      </c>
    </row>
    <row r="2683" spans="1:14" x14ac:dyDescent="0.25">
      <c r="A2683">
        <v>1777.3596250000001</v>
      </c>
      <c r="B2683" s="1">
        <f>DATE(2015,3,13) + TIME(8,37,51)</f>
        <v>42076.359618055554</v>
      </c>
      <c r="C2683">
        <v>80</v>
      </c>
      <c r="D2683">
        <v>71.843040466000005</v>
      </c>
      <c r="E2683">
        <v>40</v>
      </c>
      <c r="F2683">
        <v>39.991733551000003</v>
      </c>
      <c r="G2683">
        <v>1326.1175536999999</v>
      </c>
      <c r="H2683">
        <v>1323.6793213000001</v>
      </c>
      <c r="I2683">
        <v>1339.1564940999999</v>
      </c>
      <c r="J2683">
        <v>1336.4000243999999</v>
      </c>
      <c r="K2683">
        <v>0</v>
      </c>
      <c r="L2683">
        <v>2750</v>
      </c>
      <c r="M2683">
        <v>2750</v>
      </c>
      <c r="N2683">
        <v>0</v>
      </c>
    </row>
    <row r="2684" spans="1:14" x14ac:dyDescent="0.25">
      <c r="A2684">
        <v>1780.651386</v>
      </c>
      <c r="B2684" s="1">
        <f>DATE(2015,3,16) + TIME(15,37,59)</f>
        <v>42079.651377314818</v>
      </c>
      <c r="C2684">
        <v>80</v>
      </c>
      <c r="D2684">
        <v>71.610626221000004</v>
      </c>
      <c r="E2684">
        <v>40</v>
      </c>
      <c r="F2684">
        <v>39.991710662999999</v>
      </c>
      <c r="G2684">
        <v>1326.074707</v>
      </c>
      <c r="H2684">
        <v>1323.6241454999999</v>
      </c>
      <c r="I2684">
        <v>1339.1552733999999</v>
      </c>
      <c r="J2684">
        <v>1336.4002685999999</v>
      </c>
      <c r="K2684">
        <v>0</v>
      </c>
      <c r="L2684">
        <v>2750</v>
      </c>
      <c r="M2684">
        <v>2750</v>
      </c>
      <c r="N2684">
        <v>0</v>
      </c>
    </row>
    <row r="2685" spans="1:14" x14ac:dyDescent="0.25">
      <c r="A2685">
        <v>1783.9633020000001</v>
      </c>
      <c r="B2685" s="1">
        <f>DATE(2015,3,19) + TIME(23,7,9)</f>
        <v>42082.96329861111</v>
      </c>
      <c r="C2685">
        <v>80</v>
      </c>
      <c r="D2685">
        <v>71.371147156000006</v>
      </c>
      <c r="E2685">
        <v>40</v>
      </c>
      <c r="F2685">
        <v>39.991691588999998</v>
      </c>
      <c r="G2685">
        <v>1326.0316161999999</v>
      </c>
      <c r="H2685">
        <v>1323.5687256000001</v>
      </c>
      <c r="I2685">
        <v>1339.1540527</v>
      </c>
      <c r="J2685">
        <v>1336.4003906</v>
      </c>
      <c r="K2685">
        <v>0</v>
      </c>
      <c r="L2685">
        <v>2750</v>
      </c>
      <c r="M2685">
        <v>2750</v>
      </c>
      <c r="N2685">
        <v>0</v>
      </c>
    </row>
    <row r="2686" spans="1:14" x14ac:dyDescent="0.25">
      <c r="A2686">
        <v>1787.3233769999999</v>
      </c>
      <c r="B2686" s="1">
        <f>DATE(2015,3,23) + TIME(7,45,39)</f>
        <v>42086.323368055557</v>
      </c>
      <c r="C2686">
        <v>80</v>
      </c>
      <c r="D2686">
        <v>71.128700256000002</v>
      </c>
      <c r="E2686">
        <v>40</v>
      </c>
      <c r="F2686">
        <v>39.991668701000002</v>
      </c>
      <c r="G2686">
        <v>1325.9887695</v>
      </c>
      <c r="H2686">
        <v>1323.5136719</v>
      </c>
      <c r="I2686">
        <v>1339.152832</v>
      </c>
      <c r="J2686">
        <v>1336.4005127</v>
      </c>
      <c r="K2686">
        <v>0</v>
      </c>
      <c r="L2686">
        <v>2750</v>
      </c>
      <c r="M2686">
        <v>2750</v>
      </c>
      <c r="N2686">
        <v>0</v>
      </c>
    </row>
    <row r="2687" spans="1:14" x14ac:dyDescent="0.25">
      <c r="A2687">
        <v>1790.762344</v>
      </c>
      <c r="B2687" s="1">
        <f>DATE(2015,3,26) + TIME(18,17,46)</f>
        <v>42089.762337962966</v>
      </c>
      <c r="C2687">
        <v>80</v>
      </c>
      <c r="D2687">
        <v>70.880981445000003</v>
      </c>
      <c r="E2687">
        <v>40</v>
      </c>
      <c r="F2687">
        <v>39.991645812999998</v>
      </c>
      <c r="G2687">
        <v>1325.9464111</v>
      </c>
      <c r="H2687">
        <v>1323.4591064000001</v>
      </c>
      <c r="I2687">
        <v>1339.1514893000001</v>
      </c>
      <c r="J2687">
        <v>1336.4005127</v>
      </c>
      <c r="K2687">
        <v>0</v>
      </c>
      <c r="L2687">
        <v>2750</v>
      </c>
      <c r="M2687">
        <v>2750</v>
      </c>
      <c r="N2687">
        <v>0</v>
      </c>
    </row>
    <row r="2688" spans="1:14" x14ac:dyDescent="0.25">
      <c r="A2688">
        <v>1794.3029120000001</v>
      </c>
      <c r="B2688" s="1">
        <f>DATE(2015,3,30) + TIME(7,16,11)</f>
        <v>42093.302905092591</v>
      </c>
      <c r="C2688">
        <v>80</v>
      </c>
      <c r="D2688">
        <v>70.627281189000001</v>
      </c>
      <c r="E2688">
        <v>40</v>
      </c>
      <c r="F2688">
        <v>39.991626740000001</v>
      </c>
      <c r="G2688">
        <v>1325.9040527</v>
      </c>
      <c r="H2688">
        <v>1323.4045410000001</v>
      </c>
      <c r="I2688">
        <v>1339.1501464999999</v>
      </c>
      <c r="J2688">
        <v>1336.4005127</v>
      </c>
      <c r="K2688">
        <v>0</v>
      </c>
      <c r="L2688">
        <v>2750</v>
      </c>
      <c r="M2688">
        <v>2750</v>
      </c>
      <c r="N2688">
        <v>0</v>
      </c>
    </row>
    <row r="2689" spans="1:14" x14ac:dyDescent="0.25">
      <c r="A2689">
        <v>1796</v>
      </c>
      <c r="B2689" s="1">
        <f>DATE(2015,4,1) + TIME(0,0,0)</f>
        <v>42095</v>
      </c>
      <c r="C2689">
        <v>80</v>
      </c>
      <c r="D2689">
        <v>70.394409179999997</v>
      </c>
      <c r="E2689">
        <v>40</v>
      </c>
      <c r="F2689">
        <v>39.991611481</v>
      </c>
      <c r="G2689">
        <v>1325.8615723</v>
      </c>
      <c r="H2689">
        <v>1323.3510742000001</v>
      </c>
      <c r="I2689">
        <v>1339.1488036999999</v>
      </c>
      <c r="J2689">
        <v>1336.4005127</v>
      </c>
      <c r="K2689">
        <v>0</v>
      </c>
      <c r="L2689">
        <v>2750</v>
      </c>
      <c r="M2689">
        <v>2750</v>
      </c>
      <c r="N2689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2022-06-27T12:00:53Z</dcterms:created>
  <dcterms:modified xsi:type="dcterms:W3CDTF">2022-06-27T12:01:31Z</dcterms:modified>
</cp:coreProperties>
</file>