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7DD3BCF1-0432-4E33-A800-812BD27DADC9}" xr6:coauthVersionLast="47" xr6:coauthVersionMax="47" xr10:uidLastSave="{00000000-0000-0000-0000-000000000000}"/>
  <bookViews>
    <workbookView xWindow="-28920" yWindow="-120" windowWidth="29040" windowHeight="15840" xr2:uid="{A56610EA-D741-4938-A9E3-89B2DE7F4696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77" i="1" l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<sst xmlns="http://schemas.openxmlformats.org/spreadsheetml/2006/main" count="15" uniqueCount="15">
  <si>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MODEL\SCENARIOS\2022\Parameterstudy_perm_storV_dT\perm100_V200_dt20.sr3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</si>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</sst>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3A7350-A446-480A-8572-CD092430B9FD}" name="Table1" displayName="Table1" ref="A3:N1677" totalsRowShown="0">
  <autoFilter ref="A3:N1677" xr:uid="{F43A7350-A446-480A-8572-CD092430B9FD}"/>
  <tableColumns count="14">
    <tableColumn id="1" xr3:uid="{EB35F04F-7715-4FD9-B799-018487831459}" name="Time (day)"/>
    <tableColumn id="2" xr3:uid="{6F6D148D-4CCF-4649-8160-4E0CA296416C}" name="Date" dataDxfId="0"/>
    <tableColumn id="3" xr3:uid="{3D5973A9-1820-48C3-871A-F0CA562D2785}" name="Hot well INJ-Well bottom hole temperature (C)"/>
    <tableColumn id="4" xr3:uid="{5C262B71-A0FD-4D8D-A140-3371BB7D9981}" name="Hot well PROD-Well bottom hole temperature (C)"/>
    <tableColumn id="5" xr3:uid="{9E323174-3A3D-4C96-BDAF-D4069D8641A5}" name="Warm well INJ-Well bottom hole temperature (C)"/>
    <tableColumn id="6" xr3:uid="{F9C2DF00-D798-4EA6-9111-FADE0838E9EF}" name="Warm well PROD-Well bottom hole temperature (C)"/>
    <tableColumn id="7" xr3:uid="{A7D51A24-0917-4414-9749-599B7BC7EB23}" name="Hot well INJ-Well Bottom-hole Pressure (kPa)"/>
    <tableColumn id="8" xr3:uid="{56A9EE88-6E74-4F2D-A9FD-F995F50A2404}" name="Hot well PROD-Well Bottom-hole Pressure (kPa)"/>
    <tableColumn id="9" xr3:uid="{C802ADD8-F08F-4024-989E-91DA330C5A74}" name="Warm well INJ-Well Bottom-hole Pressure (kPa)"/>
    <tableColumn id="10" xr3:uid="{B53913A9-7BAC-4B15-9EA7-F0B10E7E0102}" name="Warm well PROD-Well Bottom-hole Pressure (kPa)"/>
    <tableColumn id="11" xr3:uid="{DAB839AD-075A-47D2-9FFD-A4C0B1643877}" name="Hot well INJ-Fluid Rate SC (m³/day)"/>
    <tableColumn id="12" xr3:uid="{65902B0F-D223-485E-89FB-FE3937A8B600}" name="Hot well PROD-Fluid Rate SC (m³/day)"/>
    <tableColumn id="13" xr3:uid="{39E244ED-A0C6-4760-9830-24C6BC65070E}" name="Warm well INJ-Fluid Rate SC (m³/day)"/>
    <tableColumn id="14" xr3:uid="{A9E1F314-FFE7-421D-9F26-C6CFB9026759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BC74-D82F-4559-B8EC-FBEA5D25CB12}">
  <dimension ref="A1:N1677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15.000025749000001</v>
      </c>
      <c r="E4">
        <v>60</v>
      </c>
      <c r="F4">
        <v>14.999991417</v>
      </c>
      <c r="G4">
        <v>1330.3986815999999</v>
      </c>
      <c r="H4">
        <v>1329.4954834</v>
      </c>
      <c r="I4">
        <v>1329.3240966999999</v>
      </c>
      <c r="J4">
        <v>1328.4202881000001</v>
      </c>
      <c r="K4">
        <v>550</v>
      </c>
      <c r="L4">
        <v>0</v>
      </c>
      <c r="M4">
        <v>0</v>
      </c>
      <c r="N4">
        <v>550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15.00009346</v>
      </c>
      <c r="E5">
        <v>60</v>
      </c>
      <c r="F5">
        <v>14.999973297</v>
      </c>
      <c r="G5">
        <v>1330.5692139</v>
      </c>
      <c r="H5">
        <v>1329.6660156</v>
      </c>
      <c r="I5">
        <v>1329.1542969</v>
      </c>
      <c r="J5">
        <v>1328.2504882999999</v>
      </c>
      <c r="K5">
        <v>550</v>
      </c>
      <c r="L5">
        <v>0</v>
      </c>
      <c r="M5">
        <v>0</v>
      </c>
      <c r="N5">
        <v>550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15.00026989</v>
      </c>
      <c r="E6">
        <v>60</v>
      </c>
      <c r="F6">
        <v>14.999948502000001</v>
      </c>
      <c r="G6">
        <v>1330.8126221</v>
      </c>
      <c r="H6">
        <v>1329.9093018000001</v>
      </c>
      <c r="I6">
        <v>1328.9118652</v>
      </c>
      <c r="J6">
        <v>1328.0081786999999</v>
      </c>
      <c r="K6">
        <v>550</v>
      </c>
      <c r="L6">
        <v>0</v>
      </c>
      <c r="M6">
        <v>0</v>
      </c>
      <c r="N6">
        <v>550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15.000750542</v>
      </c>
      <c r="E7">
        <v>60</v>
      </c>
      <c r="F7">
        <v>14.999921798999999</v>
      </c>
      <c r="G7">
        <v>1331.0771483999999</v>
      </c>
      <c r="H7">
        <v>1330.1738281</v>
      </c>
      <c r="I7">
        <v>1328.6485596</v>
      </c>
      <c r="J7">
        <v>1327.7448730000001</v>
      </c>
      <c r="K7">
        <v>550</v>
      </c>
      <c r="L7">
        <v>0</v>
      </c>
      <c r="M7">
        <v>0</v>
      </c>
      <c r="N7">
        <v>550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15.002138137999999</v>
      </c>
      <c r="E8">
        <v>60</v>
      </c>
      <c r="F8">
        <v>14.999895095999999</v>
      </c>
      <c r="G8">
        <v>1331.3360596</v>
      </c>
      <c r="H8">
        <v>1330.4327393000001</v>
      </c>
      <c r="I8">
        <v>1328.390625</v>
      </c>
      <c r="J8">
        <v>1327.4870605000001</v>
      </c>
      <c r="K8">
        <v>550</v>
      </c>
      <c r="L8">
        <v>0</v>
      </c>
      <c r="M8">
        <v>0</v>
      </c>
      <c r="N8">
        <v>550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15.006245613000001</v>
      </c>
      <c r="E9">
        <v>60</v>
      </c>
      <c r="F9">
        <v>14.999871254</v>
      </c>
      <c r="G9">
        <v>1331.5678711</v>
      </c>
      <c r="H9">
        <v>1330.6645507999999</v>
      </c>
      <c r="I9">
        <v>1328.1600341999999</v>
      </c>
      <c r="J9">
        <v>1327.2563477000001</v>
      </c>
      <c r="K9">
        <v>550</v>
      </c>
      <c r="L9">
        <v>0</v>
      </c>
      <c r="M9">
        <v>0</v>
      </c>
      <c r="N9">
        <v>550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15.018509865</v>
      </c>
      <c r="E10">
        <v>60</v>
      </c>
      <c r="F10">
        <v>14.999855042</v>
      </c>
      <c r="G10">
        <v>1331.7316894999999</v>
      </c>
      <c r="H10">
        <v>1330.8286132999999</v>
      </c>
      <c r="I10">
        <v>1327.9974365</v>
      </c>
      <c r="J10">
        <v>1327.09375</v>
      </c>
      <c r="K10">
        <v>550</v>
      </c>
      <c r="L10">
        <v>0</v>
      </c>
      <c r="M10">
        <v>0</v>
      </c>
      <c r="N10">
        <v>550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15.055250168000001</v>
      </c>
      <c r="E11">
        <v>60</v>
      </c>
      <c r="F11">
        <v>14.999846458</v>
      </c>
      <c r="G11">
        <v>1331.8166504000001</v>
      </c>
      <c r="H11">
        <v>1330.9143065999999</v>
      </c>
      <c r="I11">
        <v>1327.9141846</v>
      </c>
      <c r="J11">
        <v>1327.0106201000001</v>
      </c>
      <c r="K11">
        <v>550</v>
      </c>
      <c r="L11">
        <v>0</v>
      </c>
      <c r="M11">
        <v>0</v>
      </c>
      <c r="N11">
        <v>550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15.165324211</v>
      </c>
      <c r="E12">
        <v>60</v>
      </c>
      <c r="F12">
        <v>14.999843597</v>
      </c>
      <c r="G12">
        <v>1331.8475341999999</v>
      </c>
      <c r="H12">
        <v>1330.9472656</v>
      </c>
      <c r="I12">
        <v>1327.8863524999999</v>
      </c>
      <c r="J12">
        <v>1326.9827881000001</v>
      </c>
      <c r="K12">
        <v>550</v>
      </c>
      <c r="L12">
        <v>0</v>
      </c>
      <c r="M12">
        <v>0</v>
      </c>
      <c r="N12">
        <v>550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15.494423866</v>
      </c>
      <c r="E13">
        <v>60</v>
      </c>
      <c r="F13">
        <v>14.999843597</v>
      </c>
      <c r="G13">
        <v>1331.8480225000001</v>
      </c>
      <c r="H13">
        <v>1330.9542236</v>
      </c>
      <c r="I13">
        <v>1327.8828125</v>
      </c>
      <c r="J13">
        <v>1326.979126</v>
      </c>
      <c r="K13">
        <v>550</v>
      </c>
      <c r="L13">
        <v>0</v>
      </c>
      <c r="M13">
        <v>0</v>
      </c>
      <c r="N13">
        <v>550</v>
      </c>
    </row>
    <row r="14" spans="1:14" x14ac:dyDescent="0.25">
      <c r="A14">
        <v>8.8572999999999999E-2</v>
      </c>
      <c r="B14" s="1">
        <f>DATE(2010,5,1) + TIME(2,7,32)</f>
        <v>40299.088564814818</v>
      </c>
      <c r="C14">
        <v>80</v>
      </c>
      <c r="D14">
        <v>16.473075866999999</v>
      </c>
      <c r="E14">
        <v>60</v>
      </c>
      <c r="F14">
        <v>14.999844551000001</v>
      </c>
      <c r="G14">
        <v>1331.8265381000001</v>
      </c>
      <c r="H14">
        <v>1330.9509277</v>
      </c>
      <c r="I14">
        <v>1327.8831786999999</v>
      </c>
      <c r="J14">
        <v>1326.9794922000001</v>
      </c>
      <c r="K14">
        <v>550</v>
      </c>
      <c r="L14">
        <v>0</v>
      </c>
      <c r="M14">
        <v>0</v>
      </c>
      <c r="N14">
        <v>550</v>
      </c>
    </row>
    <row r="15" spans="1:14" x14ac:dyDescent="0.25">
      <c r="A15">
        <v>0.118742</v>
      </c>
      <c r="B15" s="1">
        <f>DATE(2010,5,1) + TIME(2,50,59)</f>
        <v>40299.118738425925</v>
      </c>
      <c r="C15">
        <v>80</v>
      </c>
      <c r="D15">
        <v>16.978069304999998</v>
      </c>
      <c r="E15">
        <v>60</v>
      </c>
      <c r="F15">
        <v>14.999844551000001</v>
      </c>
      <c r="G15">
        <v>1331.8448486</v>
      </c>
      <c r="H15">
        <v>1330.9661865</v>
      </c>
      <c r="I15">
        <v>1327.8836670000001</v>
      </c>
      <c r="J15">
        <v>1326.9796143000001</v>
      </c>
      <c r="K15">
        <v>550</v>
      </c>
      <c r="L15">
        <v>0</v>
      </c>
      <c r="M15">
        <v>0</v>
      </c>
      <c r="N15">
        <v>550</v>
      </c>
    </row>
    <row r="16" spans="1:14" x14ac:dyDescent="0.25">
      <c r="A16">
        <v>0.178482</v>
      </c>
      <c r="B16" s="1">
        <f>DATE(2010,5,1) + TIME(4,17,0)</f>
        <v>40299.178472222222</v>
      </c>
      <c r="C16">
        <v>80</v>
      </c>
      <c r="D16">
        <v>17.972490311000001</v>
      </c>
      <c r="E16">
        <v>60</v>
      </c>
      <c r="F16">
        <v>14.999845505</v>
      </c>
      <c r="G16">
        <v>1331.8317870999999</v>
      </c>
      <c r="H16">
        <v>1330.9674072</v>
      </c>
      <c r="I16">
        <v>1327.8841553</v>
      </c>
      <c r="J16">
        <v>1326.9798584</v>
      </c>
      <c r="K16">
        <v>550</v>
      </c>
      <c r="L16">
        <v>0</v>
      </c>
      <c r="M16">
        <v>0</v>
      </c>
      <c r="N16">
        <v>550</v>
      </c>
    </row>
    <row r="17" spans="1:14" x14ac:dyDescent="0.25">
      <c r="A17">
        <v>0.20852000000000001</v>
      </c>
      <c r="B17" s="1">
        <f>DATE(2010,5,1) + TIME(5,0,16)</f>
        <v>40299.208518518521</v>
      </c>
      <c r="C17">
        <v>80</v>
      </c>
      <c r="D17">
        <v>18.478427886999999</v>
      </c>
      <c r="E17">
        <v>60</v>
      </c>
      <c r="F17">
        <v>14.999845505</v>
      </c>
      <c r="G17">
        <v>1331.8548584</v>
      </c>
      <c r="H17">
        <v>1330.9853516000001</v>
      </c>
      <c r="I17">
        <v>1327.8846435999999</v>
      </c>
      <c r="J17">
        <v>1326.9799805</v>
      </c>
      <c r="K17">
        <v>550</v>
      </c>
      <c r="L17">
        <v>0</v>
      </c>
      <c r="M17">
        <v>0</v>
      </c>
      <c r="N17">
        <v>550</v>
      </c>
    </row>
    <row r="18" spans="1:14" x14ac:dyDescent="0.25">
      <c r="A18">
        <v>0.26789099999999999</v>
      </c>
      <c r="B18" s="1">
        <f>DATE(2010,5,1) + TIME(6,25,45)</f>
        <v>40299.267881944441</v>
      </c>
      <c r="C18">
        <v>80</v>
      </c>
      <c r="D18">
        <v>19.473651885999999</v>
      </c>
      <c r="E18">
        <v>60</v>
      </c>
      <c r="F18">
        <v>14.999846458</v>
      </c>
      <c r="G18">
        <v>1331.8458252</v>
      </c>
      <c r="H18">
        <v>1330.9887695</v>
      </c>
      <c r="I18">
        <v>1327.8851318</v>
      </c>
      <c r="J18">
        <v>1326.9801024999999</v>
      </c>
      <c r="K18">
        <v>550</v>
      </c>
      <c r="L18">
        <v>0</v>
      </c>
      <c r="M18">
        <v>0</v>
      </c>
      <c r="N18">
        <v>550</v>
      </c>
    </row>
    <row r="19" spans="1:14" x14ac:dyDescent="0.25">
      <c r="A19">
        <v>0.29771799999999998</v>
      </c>
      <c r="B19" s="1">
        <f>DATE(2010,5,1) + TIME(7,8,42)</f>
        <v>40299.297708333332</v>
      </c>
      <c r="C19">
        <v>80</v>
      </c>
      <c r="D19">
        <v>19.980205536</v>
      </c>
      <c r="E19">
        <v>60</v>
      </c>
      <c r="F19">
        <v>14.999847411999999</v>
      </c>
      <c r="G19">
        <v>1331.8726807</v>
      </c>
      <c r="H19">
        <v>1331.0091553</v>
      </c>
      <c r="I19">
        <v>1327.8857422000001</v>
      </c>
      <c r="J19">
        <v>1326.9802245999999</v>
      </c>
      <c r="K19">
        <v>550</v>
      </c>
      <c r="L19">
        <v>0</v>
      </c>
      <c r="M19">
        <v>0</v>
      </c>
      <c r="N19">
        <v>550</v>
      </c>
    </row>
    <row r="20" spans="1:14" x14ac:dyDescent="0.25">
      <c r="A20">
        <v>0.35660199999999997</v>
      </c>
      <c r="B20" s="1">
        <f>DATE(2010,5,1) + TIME(8,33,30)</f>
        <v>40299.35659722222</v>
      </c>
      <c r="C20">
        <v>80</v>
      </c>
      <c r="D20">
        <v>20.976924896</v>
      </c>
      <c r="E20">
        <v>60</v>
      </c>
      <c r="F20">
        <v>14.999848366</v>
      </c>
      <c r="G20">
        <v>1331.8671875</v>
      </c>
      <c r="H20">
        <v>1331.0146483999999</v>
      </c>
      <c r="I20">
        <v>1327.8861084</v>
      </c>
      <c r="J20">
        <v>1326.9803466999999</v>
      </c>
      <c r="K20">
        <v>550</v>
      </c>
      <c r="L20">
        <v>0</v>
      </c>
      <c r="M20">
        <v>0</v>
      </c>
      <c r="N20">
        <v>550</v>
      </c>
    </row>
    <row r="21" spans="1:14" x14ac:dyDescent="0.25">
      <c r="A21">
        <v>0.38614100000000001</v>
      </c>
      <c r="B21" s="1">
        <f>DATE(2010,5,1) + TIME(9,16,2)</f>
        <v>40299.386134259257</v>
      </c>
      <c r="C21">
        <v>80</v>
      </c>
      <c r="D21">
        <v>21.483991623000001</v>
      </c>
      <c r="E21">
        <v>60</v>
      </c>
      <c r="F21">
        <v>14.999848366</v>
      </c>
      <c r="G21">
        <v>1331.8974608999999</v>
      </c>
      <c r="H21">
        <v>1331.0371094</v>
      </c>
      <c r="I21">
        <v>1327.8867187999999</v>
      </c>
      <c r="J21">
        <v>1326.9804687999999</v>
      </c>
      <c r="K21">
        <v>550</v>
      </c>
      <c r="L21">
        <v>0</v>
      </c>
      <c r="M21">
        <v>0</v>
      </c>
      <c r="N21">
        <v>550</v>
      </c>
    </row>
    <row r="22" spans="1:14" x14ac:dyDescent="0.25">
      <c r="A22">
        <v>0.44439600000000001</v>
      </c>
      <c r="B22" s="1">
        <f>DATE(2010,5,1) + TIME(10,39,55)</f>
        <v>40299.444386574076</v>
      </c>
      <c r="C22">
        <v>80</v>
      </c>
      <c r="D22">
        <v>22.480314255</v>
      </c>
      <c r="E22">
        <v>60</v>
      </c>
      <c r="F22">
        <v>14.999849319000001</v>
      </c>
      <c r="G22">
        <v>1331.8950195</v>
      </c>
      <c r="H22">
        <v>1331.0443115</v>
      </c>
      <c r="I22">
        <v>1327.887207</v>
      </c>
      <c r="J22">
        <v>1326.9807129000001</v>
      </c>
      <c r="K22">
        <v>550</v>
      </c>
      <c r="L22">
        <v>0</v>
      </c>
      <c r="M22">
        <v>0</v>
      </c>
      <c r="N22">
        <v>550</v>
      </c>
    </row>
    <row r="23" spans="1:14" x14ac:dyDescent="0.25">
      <c r="A23">
        <v>0.47363</v>
      </c>
      <c r="B23" s="1">
        <f>DATE(2010,5,1) + TIME(11,22,1)</f>
        <v>40299.473622685182</v>
      </c>
      <c r="C23">
        <v>80</v>
      </c>
      <c r="D23">
        <v>22.987726211999998</v>
      </c>
      <c r="E23">
        <v>60</v>
      </c>
      <c r="F23">
        <v>14.999849319000001</v>
      </c>
      <c r="G23">
        <v>1331.9282227000001</v>
      </c>
      <c r="H23">
        <v>1331.0687256000001</v>
      </c>
      <c r="I23">
        <v>1327.8878173999999</v>
      </c>
      <c r="J23">
        <v>1326.9808350000001</v>
      </c>
      <c r="K23">
        <v>550</v>
      </c>
      <c r="L23">
        <v>0</v>
      </c>
      <c r="M23">
        <v>0</v>
      </c>
      <c r="N23">
        <v>550</v>
      </c>
    </row>
    <row r="24" spans="1:14" x14ac:dyDescent="0.25">
      <c r="A24">
        <v>0.53124499999999997</v>
      </c>
      <c r="B24" s="1">
        <f>DATE(2010,5,1) + TIME(12,44,59)</f>
        <v>40299.531238425923</v>
      </c>
      <c r="C24">
        <v>80</v>
      </c>
      <c r="D24">
        <v>23.984312057</v>
      </c>
      <c r="E24">
        <v>60</v>
      </c>
      <c r="F24">
        <v>14.999850273</v>
      </c>
      <c r="G24">
        <v>1331.9287108999999</v>
      </c>
      <c r="H24">
        <v>1331.0776367000001</v>
      </c>
      <c r="I24">
        <v>1327.8883057</v>
      </c>
      <c r="J24">
        <v>1326.980957</v>
      </c>
      <c r="K24">
        <v>550</v>
      </c>
      <c r="L24">
        <v>0</v>
      </c>
      <c r="M24">
        <v>0</v>
      </c>
      <c r="N24">
        <v>550</v>
      </c>
    </row>
    <row r="25" spans="1:14" x14ac:dyDescent="0.25">
      <c r="A25">
        <v>0.56015199999999998</v>
      </c>
      <c r="B25" s="1">
        <f>DATE(2010,5,1) + TIME(13,26,37)</f>
        <v>40299.560150462959</v>
      </c>
      <c r="C25">
        <v>80</v>
      </c>
      <c r="D25">
        <v>24.491971970000002</v>
      </c>
      <c r="E25">
        <v>60</v>
      </c>
      <c r="F25">
        <v>14.999851227000001</v>
      </c>
      <c r="G25">
        <v>1331.9643555</v>
      </c>
      <c r="H25">
        <v>1331.1036377</v>
      </c>
      <c r="I25">
        <v>1327.8889160000001</v>
      </c>
      <c r="J25">
        <v>1326.980957</v>
      </c>
      <c r="K25">
        <v>550</v>
      </c>
      <c r="L25">
        <v>0</v>
      </c>
      <c r="M25">
        <v>0</v>
      </c>
      <c r="N25">
        <v>550</v>
      </c>
    </row>
    <row r="26" spans="1:14" x14ac:dyDescent="0.25">
      <c r="A26">
        <v>0.61709199999999997</v>
      </c>
      <c r="B26" s="1">
        <f>DATE(2010,5,1) + TIME(14,48,36)</f>
        <v>40299.617083333331</v>
      </c>
      <c r="C26">
        <v>80</v>
      </c>
      <c r="D26">
        <v>25.488981247000002</v>
      </c>
      <c r="E26">
        <v>60</v>
      </c>
      <c r="F26">
        <v>14.999851227000001</v>
      </c>
      <c r="G26">
        <v>1331.9672852000001</v>
      </c>
      <c r="H26">
        <v>1331.1141356999999</v>
      </c>
      <c r="I26">
        <v>1327.8894043</v>
      </c>
      <c r="J26">
        <v>1326.9810791</v>
      </c>
      <c r="K26">
        <v>550</v>
      </c>
      <c r="L26">
        <v>0</v>
      </c>
      <c r="M26">
        <v>0</v>
      </c>
      <c r="N26">
        <v>550</v>
      </c>
    </row>
    <row r="27" spans="1:14" x14ac:dyDescent="0.25">
      <c r="A27">
        <v>0.645648</v>
      </c>
      <c r="B27" s="1">
        <f>DATE(2010,5,1) + TIME(15,29,43)</f>
        <v>40299.645636574074</v>
      </c>
      <c r="C27">
        <v>80</v>
      </c>
      <c r="D27">
        <v>25.996961593999998</v>
      </c>
      <c r="E27">
        <v>60</v>
      </c>
      <c r="F27">
        <v>14.99985218</v>
      </c>
      <c r="G27">
        <v>1332.0051269999999</v>
      </c>
      <c r="H27">
        <v>1331.1416016000001</v>
      </c>
      <c r="I27">
        <v>1327.8901367000001</v>
      </c>
      <c r="J27">
        <v>1326.9812012</v>
      </c>
      <c r="K27">
        <v>550</v>
      </c>
      <c r="L27">
        <v>0</v>
      </c>
      <c r="M27">
        <v>0</v>
      </c>
      <c r="N27">
        <v>550</v>
      </c>
    </row>
    <row r="28" spans="1:14" x14ac:dyDescent="0.25">
      <c r="A28">
        <v>0.70186099999999996</v>
      </c>
      <c r="B28" s="1">
        <f>DATE(2010,5,1) + TIME(16,50,40)</f>
        <v>40299.701851851853</v>
      </c>
      <c r="C28">
        <v>80</v>
      </c>
      <c r="D28">
        <v>26.993598938000002</v>
      </c>
      <c r="E28">
        <v>60</v>
      </c>
      <c r="F28">
        <v>14.99985218</v>
      </c>
      <c r="G28">
        <v>1332.0102539</v>
      </c>
      <c r="H28">
        <v>1331.1533202999999</v>
      </c>
      <c r="I28">
        <v>1327.890625</v>
      </c>
      <c r="J28">
        <v>1326.9813231999999</v>
      </c>
      <c r="K28">
        <v>550</v>
      </c>
      <c r="L28">
        <v>0</v>
      </c>
      <c r="M28">
        <v>0</v>
      </c>
      <c r="N28">
        <v>550</v>
      </c>
    </row>
    <row r="29" spans="1:14" x14ac:dyDescent="0.25">
      <c r="A29">
        <v>0.73006300000000002</v>
      </c>
      <c r="B29" s="1">
        <f>DATE(2010,5,1) + TIME(17,31,17)</f>
        <v>40299.730057870373</v>
      </c>
      <c r="C29">
        <v>80</v>
      </c>
      <c r="D29">
        <v>27.501459122</v>
      </c>
      <c r="E29">
        <v>60</v>
      </c>
      <c r="F29">
        <v>14.999853134</v>
      </c>
      <c r="G29">
        <v>1332.0500488</v>
      </c>
      <c r="H29">
        <v>1331.1821289</v>
      </c>
      <c r="I29">
        <v>1327.8913574000001</v>
      </c>
      <c r="J29">
        <v>1326.9814452999999</v>
      </c>
      <c r="K29">
        <v>550</v>
      </c>
      <c r="L29">
        <v>0</v>
      </c>
      <c r="M29">
        <v>0</v>
      </c>
      <c r="N29">
        <v>550</v>
      </c>
    </row>
    <row r="30" spans="1:14" x14ac:dyDescent="0.25">
      <c r="A30">
        <v>0.78559400000000001</v>
      </c>
      <c r="B30" s="1">
        <f>DATE(2010,5,1) + TIME(18,51,15)</f>
        <v>40299.785590277781</v>
      </c>
      <c r="C30">
        <v>80</v>
      </c>
      <c r="D30">
        <v>28.497875214</v>
      </c>
      <c r="E30">
        <v>60</v>
      </c>
      <c r="F30">
        <v>14.999854087999999</v>
      </c>
      <c r="G30">
        <v>1332.0570068</v>
      </c>
      <c r="H30">
        <v>1331.1950684000001</v>
      </c>
      <c r="I30">
        <v>1327.8918457</v>
      </c>
      <c r="J30">
        <v>1326.9815673999999</v>
      </c>
      <c r="K30">
        <v>550</v>
      </c>
      <c r="L30">
        <v>0</v>
      </c>
      <c r="M30">
        <v>0</v>
      </c>
      <c r="N30">
        <v>550</v>
      </c>
    </row>
    <row r="31" spans="1:14" x14ac:dyDescent="0.25">
      <c r="A31">
        <v>0.81345900000000004</v>
      </c>
      <c r="B31" s="1">
        <f>DATE(2010,5,1) + TIME(19,31,22)</f>
        <v>40299.813449074078</v>
      </c>
      <c r="C31">
        <v>80</v>
      </c>
      <c r="D31">
        <v>29.005706787000001</v>
      </c>
      <c r="E31">
        <v>60</v>
      </c>
      <c r="F31">
        <v>14.999854087999999</v>
      </c>
      <c r="G31">
        <v>1332.0983887</v>
      </c>
      <c r="H31">
        <v>1331.2249756000001</v>
      </c>
      <c r="I31">
        <v>1327.8925781</v>
      </c>
      <c r="J31">
        <v>1326.9815673999999</v>
      </c>
      <c r="K31">
        <v>550</v>
      </c>
      <c r="L31">
        <v>0</v>
      </c>
      <c r="M31">
        <v>0</v>
      </c>
      <c r="N31">
        <v>550</v>
      </c>
    </row>
    <row r="32" spans="1:14" x14ac:dyDescent="0.25">
      <c r="A32">
        <v>0.86833000000000005</v>
      </c>
      <c r="B32" s="1">
        <f>DATE(2010,5,1) + TIME(20,50,23)</f>
        <v>40299.868321759262</v>
      </c>
      <c r="C32">
        <v>80</v>
      </c>
      <c r="D32">
        <v>30.001771927</v>
      </c>
      <c r="E32">
        <v>60</v>
      </c>
      <c r="F32">
        <v>14.999855042</v>
      </c>
      <c r="G32">
        <v>1332.1070557</v>
      </c>
      <c r="H32">
        <v>1331.2390137</v>
      </c>
      <c r="I32">
        <v>1327.8930664</v>
      </c>
      <c r="J32">
        <v>1326.9816894999999</v>
      </c>
      <c r="K32">
        <v>550</v>
      </c>
      <c r="L32">
        <v>0</v>
      </c>
      <c r="M32">
        <v>0</v>
      </c>
      <c r="N32">
        <v>550</v>
      </c>
    </row>
    <row r="33" spans="1:14" x14ac:dyDescent="0.25">
      <c r="A33">
        <v>0.89587399999999995</v>
      </c>
      <c r="B33" s="1">
        <f>DATE(2010,5,1) + TIME(21,30,3)</f>
        <v>40299.895868055559</v>
      </c>
      <c r="C33">
        <v>80</v>
      </c>
      <c r="D33">
        <v>30.509618758999999</v>
      </c>
      <c r="E33">
        <v>60</v>
      </c>
      <c r="F33">
        <v>14.999855042</v>
      </c>
      <c r="G33">
        <v>1332.1499022999999</v>
      </c>
      <c r="H33">
        <v>1331.2698975000001</v>
      </c>
      <c r="I33">
        <v>1327.8937988</v>
      </c>
      <c r="J33">
        <v>1326.9818115</v>
      </c>
      <c r="K33">
        <v>550</v>
      </c>
      <c r="L33">
        <v>0</v>
      </c>
      <c r="M33">
        <v>0</v>
      </c>
      <c r="N33">
        <v>550</v>
      </c>
    </row>
    <row r="34" spans="1:14" x14ac:dyDescent="0.25">
      <c r="A34">
        <v>0.95011000000000001</v>
      </c>
      <c r="B34" s="1">
        <f>DATE(2010,5,1) + TIME(22,48,9)</f>
        <v>40299.950104166666</v>
      </c>
      <c r="C34">
        <v>80</v>
      </c>
      <c r="D34">
        <v>31.505224227999999</v>
      </c>
      <c r="E34">
        <v>60</v>
      </c>
      <c r="F34">
        <v>14.999855995000001</v>
      </c>
      <c r="G34">
        <v>1332.1599120999999</v>
      </c>
      <c r="H34">
        <v>1331.2849120999999</v>
      </c>
      <c r="I34">
        <v>1327.8942870999999</v>
      </c>
      <c r="J34">
        <v>1326.9818115</v>
      </c>
      <c r="K34">
        <v>550</v>
      </c>
      <c r="L34">
        <v>0</v>
      </c>
      <c r="M34">
        <v>0</v>
      </c>
      <c r="N34">
        <v>550</v>
      </c>
    </row>
    <row r="35" spans="1:14" x14ac:dyDescent="0.25">
      <c r="A35">
        <v>0.97734799999999999</v>
      </c>
      <c r="B35" s="1">
        <f>DATE(2010,5,1) + TIME(23,27,22)</f>
        <v>40299.977337962962</v>
      </c>
      <c r="C35">
        <v>80</v>
      </c>
      <c r="D35">
        <v>32.012798308999997</v>
      </c>
      <c r="E35">
        <v>60</v>
      </c>
      <c r="F35">
        <v>14.999855995000001</v>
      </c>
      <c r="G35">
        <v>1332.2039795000001</v>
      </c>
      <c r="H35">
        <v>1331.3166504000001</v>
      </c>
      <c r="I35">
        <v>1327.8950195</v>
      </c>
      <c r="J35">
        <v>1326.9819336</v>
      </c>
      <c r="K35">
        <v>550</v>
      </c>
      <c r="L35">
        <v>0</v>
      </c>
      <c r="M35">
        <v>0</v>
      </c>
      <c r="N35">
        <v>550</v>
      </c>
    </row>
    <row r="36" spans="1:14" x14ac:dyDescent="0.25">
      <c r="A36">
        <v>1.0310109999999999</v>
      </c>
      <c r="B36" s="1">
        <f>DATE(2010,5,2) + TIME(0,44,39)</f>
        <v>40300.031006944446</v>
      </c>
      <c r="C36">
        <v>80</v>
      </c>
      <c r="D36">
        <v>33.007820129000002</v>
      </c>
      <c r="E36">
        <v>60</v>
      </c>
      <c r="F36">
        <v>14.999856949</v>
      </c>
      <c r="G36">
        <v>1332.215332</v>
      </c>
      <c r="H36">
        <v>1331.3325195</v>
      </c>
      <c r="I36">
        <v>1327.8955077999999</v>
      </c>
      <c r="J36">
        <v>1326.9820557</v>
      </c>
      <c r="K36">
        <v>550</v>
      </c>
      <c r="L36">
        <v>0</v>
      </c>
      <c r="M36">
        <v>0</v>
      </c>
      <c r="N36">
        <v>550</v>
      </c>
    </row>
    <row r="37" spans="1:14" x14ac:dyDescent="0.25">
      <c r="A37">
        <v>1.0579769999999999</v>
      </c>
      <c r="B37" s="1">
        <f>DATE(2010,5,2) + TIME(1,23,29)</f>
        <v>40300.057974537034</v>
      </c>
      <c r="C37">
        <v>80</v>
      </c>
      <c r="D37">
        <v>33.515186309999997</v>
      </c>
      <c r="E37">
        <v>60</v>
      </c>
      <c r="F37">
        <v>14.999856949</v>
      </c>
      <c r="G37">
        <v>1332.260376</v>
      </c>
      <c r="H37">
        <v>1331.3649902</v>
      </c>
      <c r="I37">
        <v>1327.8962402</v>
      </c>
      <c r="J37">
        <v>1326.9820557</v>
      </c>
      <c r="K37">
        <v>550</v>
      </c>
      <c r="L37">
        <v>0</v>
      </c>
      <c r="M37">
        <v>0</v>
      </c>
      <c r="N37">
        <v>550</v>
      </c>
    </row>
    <row r="38" spans="1:14" x14ac:dyDescent="0.25">
      <c r="A38">
        <v>1.1111260000000001</v>
      </c>
      <c r="B38" s="1">
        <f>DATE(2010,5,2) + TIME(2,40,1)</f>
        <v>40300.111122685186</v>
      </c>
      <c r="C38">
        <v>80</v>
      </c>
      <c r="D38">
        <v>34.509521483999997</v>
      </c>
      <c r="E38">
        <v>60</v>
      </c>
      <c r="F38">
        <v>14.999857903000001</v>
      </c>
      <c r="G38">
        <v>1332.2728271000001</v>
      </c>
      <c r="H38">
        <v>1331.3815918</v>
      </c>
      <c r="I38">
        <v>1327.8968506000001</v>
      </c>
      <c r="J38">
        <v>1326.9821777</v>
      </c>
      <c r="K38">
        <v>550</v>
      </c>
      <c r="L38">
        <v>0</v>
      </c>
      <c r="M38">
        <v>0</v>
      </c>
      <c r="N38">
        <v>550</v>
      </c>
    </row>
    <row r="39" spans="1:14" x14ac:dyDescent="0.25">
      <c r="A39">
        <v>1.1378520000000001</v>
      </c>
      <c r="B39" s="1">
        <f>DATE(2010,5,2) + TIME(3,18,30)</f>
        <v>40300.13784722222</v>
      </c>
      <c r="C39">
        <v>80</v>
      </c>
      <c r="D39">
        <v>35.016635895</v>
      </c>
      <c r="E39">
        <v>60</v>
      </c>
      <c r="F39">
        <v>14.999857903000001</v>
      </c>
      <c r="G39">
        <v>1332.3188477000001</v>
      </c>
      <c r="H39">
        <v>1331.4146728999999</v>
      </c>
      <c r="I39">
        <v>1327.8975829999999</v>
      </c>
      <c r="J39">
        <v>1326.9821777</v>
      </c>
      <c r="K39">
        <v>550</v>
      </c>
      <c r="L39">
        <v>0</v>
      </c>
      <c r="M39">
        <v>0</v>
      </c>
      <c r="N39">
        <v>550</v>
      </c>
    </row>
    <row r="40" spans="1:14" x14ac:dyDescent="0.25">
      <c r="A40">
        <v>1.190553</v>
      </c>
      <c r="B40" s="1">
        <f>DATE(2010,5,2) + TIME(4,34,23)</f>
        <v>40300.19054398148</v>
      </c>
      <c r="C40">
        <v>80</v>
      </c>
      <c r="D40">
        <v>36.010196686</v>
      </c>
      <c r="E40">
        <v>60</v>
      </c>
      <c r="F40">
        <v>14.999858855999999</v>
      </c>
      <c r="G40">
        <v>1332.3322754000001</v>
      </c>
      <c r="H40">
        <v>1331.4320068</v>
      </c>
      <c r="I40">
        <v>1327.8980713000001</v>
      </c>
      <c r="J40">
        <v>1326.9822998</v>
      </c>
      <c r="K40">
        <v>550</v>
      </c>
      <c r="L40">
        <v>0</v>
      </c>
      <c r="M40">
        <v>0</v>
      </c>
      <c r="N40">
        <v>550</v>
      </c>
    </row>
    <row r="41" spans="1:14" x14ac:dyDescent="0.25">
      <c r="A41">
        <v>1.217074</v>
      </c>
      <c r="B41" s="1">
        <f>DATE(2010,5,2) + TIME(5,12,35)</f>
        <v>40300.21707175926</v>
      </c>
      <c r="C41">
        <v>80</v>
      </c>
      <c r="D41">
        <v>36.517024994000003</v>
      </c>
      <c r="E41">
        <v>60</v>
      </c>
      <c r="F41">
        <v>14.999858855999999</v>
      </c>
      <c r="G41">
        <v>1332.3789062000001</v>
      </c>
      <c r="H41">
        <v>1331.4656981999999</v>
      </c>
      <c r="I41">
        <v>1327.8988036999999</v>
      </c>
      <c r="J41">
        <v>1326.9822998</v>
      </c>
      <c r="K41">
        <v>550</v>
      </c>
      <c r="L41">
        <v>0</v>
      </c>
      <c r="M41">
        <v>0</v>
      </c>
      <c r="N41">
        <v>550</v>
      </c>
    </row>
    <row r="42" spans="1:14" x14ac:dyDescent="0.25">
      <c r="A42">
        <v>1.2694019999999999</v>
      </c>
      <c r="B42" s="1">
        <f>DATE(2010,5,2) + TIME(6,27,56)</f>
        <v>40300.26939814815</v>
      </c>
      <c r="C42">
        <v>80</v>
      </c>
      <c r="D42">
        <v>37.509716034</v>
      </c>
      <c r="E42">
        <v>60</v>
      </c>
      <c r="F42">
        <v>14.99985981</v>
      </c>
      <c r="G42">
        <v>1332.3933105000001</v>
      </c>
      <c r="H42">
        <v>1331.4836425999999</v>
      </c>
      <c r="I42">
        <v>1327.8994141000001</v>
      </c>
      <c r="J42">
        <v>1326.9824219</v>
      </c>
      <c r="K42">
        <v>550</v>
      </c>
      <c r="L42">
        <v>0</v>
      </c>
      <c r="M42">
        <v>0</v>
      </c>
      <c r="N42">
        <v>550</v>
      </c>
    </row>
    <row r="43" spans="1:14" x14ac:dyDescent="0.25">
      <c r="A43">
        <v>1.2957590000000001</v>
      </c>
      <c r="B43" s="1">
        <f>DATE(2010,5,2) + TIME(7,5,53)</f>
        <v>40300.295752314814</v>
      </c>
      <c r="C43">
        <v>80</v>
      </c>
      <c r="D43">
        <v>38.016227721999996</v>
      </c>
      <c r="E43">
        <v>60</v>
      </c>
      <c r="F43">
        <v>14.99985981</v>
      </c>
      <c r="G43">
        <v>1332.4406738</v>
      </c>
      <c r="H43">
        <v>1331.5178223</v>
      </c>
      <c r="I43">
        <v>1327.9001464999999</v>
      </c>
      <c r="J43">
        <v>1326.9824219</v>
      </c>
      <c r="K43">
        <v>550</v>
      </c>
      <c r="L43">
        <v>0</v>
      </c>
      <c r="M43">
        <v>0</v>
      </c>
      <c r="N43">
        <v>550</v>
      </c>
    </row>
    <row r="44" spans="1:14" x14ac:dyDescent="0.25">
      <c r="A44">
        <v>1.3477950000000001</v>
      </c>
      <c r="B44" s="1">
        <f>DATE(2010,5,2) + TIME(8,20,49)</f>
        <v>40300.34778935185</v>
      </c>
      <c r="C44">
        <v>80</v>
      </c>
      <c r="D44">
        <v>39.007968902999998</v>
      </c>
      <c r="E44">
        <v>60</v>
      </c>
      <c r="F44">
        <v>14.999860763999999</v>
      </c>
      <c r="G44">
        <v>1332.4558105000001</v>
      </c>
      <c r="H44">
        <v>1331.5362548999999</v>
      </c>
      <c r="I44">
        <v>1327.9006348</v>
      </c>
      <c r="J44">
        <v>1326.9825439000001</v>
      </c>
      <c r="K44">
        <v>550</v>
      </c>
      <c r="L44">
        <v>0</v>
      </c>
      <c r="M44">
        <v>0</v>
      </c>
      <c r="N44">
        <v>550</v>
      </c>
    </row>
    <row r="45" spans="1:14" x14ac:dyDescent="0.25">
      <c r="A45">
        <v>1.3740300000000001</v>
      </c>
      <c r="B45" s="1">
        <f>DATE(2010,5,2) + TIME(8,58,36)</f>
        <v>40300.374027777776</v>
      </c>
      <c r="C45">
        <v>80</v>
      </c>
      <c r="D45">
        <v>39.514133452999999</v>
      </c>
      <c r="E45">
        <v>60</v>
      </c>
      <c r="F45">
        <v>14.999860763999999</v>
      </c>
      <c r="G45">
        <v>1332.5036620999999</v>
      </c>
      <c r="H45">
        <v>1331.5710449000001</v>
      </c>
      <c r="I45">
        <v>1327.9013672000001</v>
      </c>
      <c r="J45">
        <v>1326.9825439000001</v>
      </c>
      <c r="K45">
        <v>550</v>
      </c>
      <c r="L45">
        <v>0</v>
      </c>
      <c r="M45">
        <v>0</v>
      </c>
      <c r="N45">
        <v>550</v>
      </c>
    </row>
    <row r="46" spans="1:14" x14ac:dyDescent="0.25">
      <c r="A46">
        <v>1.425859</v>
      </c>
      <c r="B46" s="1">
        <f>DATE(2010,5,2) + TIME(10,13,14)</f>
        <v>40300.425856481481</v>
      </c>
      <c r="C46">
        <v>80</v>
      </c>
      <c r="D46">
        <v>40.504955291999998</v>
      </c>
      <c r="E46">
        <v>60</v>
      </c>
      <c r="F46">
        <v>14.999861717</v>
      </c>
      <c r="G46">
        <v>1332.5195312000001</v>
      </c>
      <c r="H46">
        <v>1331.5898437999999</v>
      </c>
      <c r="I46">
        <v>1327.9019774999999</v>
      </c>
      <c r="J46">
        <v>1326.9826660000001</v>
      </c>
      <c r="K46">
        <v>550</v>
      </c>
      <c r="L46">
        <v>0</v>
      </c>
      <c r="M46">
        <v>0</v>
      </c>
      <c r="N46">
        <v>550</v>
      </c>
    </row>
    <row r="47" spans="1:14" x14ac:dyDescent="0.25">
      <c r="A47">
        <v>1.4520139999999999</v>
      </c>
      <c r="B47" s="1">
        <f>DATE(2010,5,2) + TIME(10,50,54)</f>
        <v>40300.452013888891</v>
      </c>
      <c r="C47">
        <v>80</v>
      </c>
      <c r="D47">
        <v>41.010810851999999</v>
      </c>
      <c r="E47">
        <v>60</v>
      </c>
      <c r="F47">
        <v>14.999861717</v>
      </c>
      <c r="G47">
        <v>1332.5678711</v>
      </c>
      <c r="H47">
        <v>1331.625</v>
      </c>
      <c r="I47">
        <v>1327.9027100000001</v>
      </c>
      <c r="J47">
        <v>1326.9826660000001</v>
      </c>
      <c r="K47">
        <v>550</v>
      </c>
      <c r="L47">
        <v>0</v>
      </c>
      <c r="M47">
        <v>0</v>
      </c>
      <c r="N47">
        <v>550</v>
      </c>
    </row>
    <row r="48" spans="1:14" x14ac:dyDescent="0.25">
      <c r="A48">
        <v>1.503719</v>
      </c>
      <c r="B48" s="1">
        <f>DATE(2010,5,2) + TIME(12,5,21)</f>
        <v>40300.50371527778</v>
      </c>
      <c r="C48">
        <v>80</v>
      </c>
      <c r="D48">
        <v>42.000408172999997</v>
      </c>
      <c r="E48">
        <v>60</v>
      </c>
      <c r="F48">
        <v>14.999862671000001</v>
      </c>
      <c r="G48">
        <v>1332.5843506000001</v>
      </c>
      <c r="H48">
        <v>1331.6444091999999</v>
      </c>
      <c r="I48">
        <v>1327.9033202999999</v>
      </c>
      <c r="J48">
        <v>1326.9827881000001</v>
      </c>
      <c r="K48">
        <v>550</v>
      </c>
      <c r="L48">
        <v>0</v>
      </c>
      <c r="M48">
        <v>0</v>
      </c>
      <c r="N48">
        <v>550</v>
      </c>
    </row>
    <row r="49" spans="1:14" x14ac:dyDescent="0.25">
      <c r="A49">
        <v>1.5559670000000001</v>
      </c>
      <c r="B49" s="1">
        <f>DATE(2010,5,2) + TIME(13,20,35)</f>
        <v>40300.555960648147</v>
      </c>
      <c r="C49">
        <v>80</v>
      </c>
      <c r="D49">
        <v>42.999824523999997</v>
      </c>
      <c r="E49">
        <v>60</v>
      </c>
      <c r="F49">
        <v>14.999863625</v>
      </c>
      <c r="G49">
        <v>1332.6278076000001</v>
      </c>
      <c r="H49">
        <v>1331.6809082</v>
      </c>
      <c r="I49">
        <v>1327.9041748</v>
      </c>
      <c r="J49">
        <v>1326.9827881000001</v>
      </c>
      <c r="K49">
        <v>550</v>
      </c>
      <c r="L49">
        <v>0</v>
      </c>
      <c r="M49">
        <v>0</v>
      </c>
      <c r="N49">
        <v>550</v>
      </c>
    </row>
    <row r="50" spans="1:14" x14ac:dyDescent="0.25">
      <c r="A50">
        <v>1.6082449999999999</v>
      </c>
      <c r="B50" s="1">
        <f>DATE(2010,5,2) + TIME(14,35,52)</f>
        <v>40300.608240740738</v>
      </c>
      <c r="C50">
        <v>80</v>
      </c>
      <c r="D50">
        <v>43.998531342</v>
      </c>
      <c r="E50">
        <v>60</v>
      </c>
      <c r="F50">
        <v>14.999863625</v>
      </c>
      <c r="G50">
        <v>1332.6722411999999</v>
      </c>
      <c r="H50">
        <v>1331.7181396000001</v>
      </c>
      <c r="I50">
        <v>1327.9050293</v>
      </c>
      <c r="J50">
        <v>1326.9829102000001</v>
      </c>
      <c r="K50">
        <v>550</v>
      </c>
      <c r="L50">
        <v>0</v>
      </c>
      <c r="M50">
        <v>0</v>
      </c>
      <c r="N50">
        <v>550</v>
      </c>
    </row>
    <row r="51" spans="1:14" x14ac:dyDescent="0.25">
      <c r="A51">
        <v>1.6605920000000001</v>
      </c>
      <c r="B51" s="1">
        <f>DATE(2010,5,2) + TIME(15,51,15)</f>
        <v>40300.660590277781</v>
      </c>
      <c r="C51">
        <v>80</v>
      </c>
      <c r="D51">
        <v>44.996269226000003</v>
      </c>
      <c r="E51">
        <v>60</v>
      </c>
      <c r="F51">
        <v>14.999864578</v>
      </c>
      <c r="G51">
        <v>1332.7170410000001</v>
      </c>
      <c r="H51">
        <v>1331.7556152</v>
      </c>
      <c r="I51">
        <v>1327.9058838000001</v>
      </c>
      <c r="J51">
        <v>1326.9829102000001</v>
      </c>
      <c r="K51">
        <v>550</v>
      </c>
      <c r="L51">
        <v>0</v>
      </c>
      <c r="M51">
        <v>0</v>
      </c>
      <c r="N51">
        <v>550</v>
      </c>
    </row>
    <row r="52" spans="1:14" x14ac:dyDescent="0.25">
      <c r="A52">
        <v>1.7130570000000001</v>
      </c>
      <c r="B52" s="1">
        <f>DATE(2010,5,2) + TIME(17,6,48)</f>
        <v>40300.713055555556</v>
      </c>
      <c r="C52">
        <v>80</v>
      </c>
      <c r="D52">
        <v>45.992992401000002</v>
      </c>
      <c r="E52">
        <v>60</v>
      </c>
      <c r="F52">
        <v>14.999865531999999</v>
      </c>
      <c r="G52">
        <v>1332.7623291</v>
      </c>
      <c r="H52">
        <v>1331.793457</v>
      </c>
      <c r="I52">
        <v>1327.9068603999999</v>
      </c>
      <c r="J52">
        <v>1326.9830322</v>
      </c>
      <c r="K52">
        <v>550</v>
      </c>
      <c r="L52">
        <v>0</v>
      </c>
      <c r="M52">
        <v>0</v>
      </c>
      <c r="N52">
        <v>550</v>
      </c>
    </row>
    <row r="53" spans="1:14" x14ac:dyDescent="0.25">
      <c r="A53">
        <v>1.7656940000000001</v>
      </c>
      <c r="B53" s="1">
        <f>DATE(2010,5,2) + TIME(18,22,35)</f>
        <v>40300.765682870369</v>
      </c>
      <c r="C53">
        <v>80</v>
      </c>
      <c r="D53">
        <v>46.988658905000001</v>
      </c>
      <c r="E53">
        <v>60</v>
      </c>
      <c r="F53">
        <v>14.999865531999999</v>
      </c>
      <c r="G53">
        <v>1332.8078613</v>
      </c>
      <c r="H53">
        <v>1331.831543</v>
      </c>
      <c r="I53">
        <v>1327.9077147999999</v>
      </c>
      <c r="J53">
        <v>1326.9830322</v>
      </c>
      <c r="K53">
        <v>550</v>
      </c>
      <c r="L53">
        <v>0</v>
      </c>
      <c r="M53">
        <v>0</v>
      </c>
      <c r="N53">
        <v>550</v>
      </c>
    </row>
    <row r="54" spans="1:14" x14ac:dyDescent="0.25">
      <c r="A54">
        <v>1.81856</v>
      </c>
      <c r="B54" s="1">
        <f>DATE(2010,5,2) + TIME(19,38,43)</f>
        <v>40300.818553240744</v>
      </c>
      <c r="C54">
        <v>80</v>
      </c>
      <c r="D54">
        <v>47.983215332</v>
      </c>
      <c r="E54">
        <v>60</v>
      </c>
      <c r="F54">
        <v>14.999866486</v>
      </c>
      <c r="G54">
        <v>1332.8537598</v>
      </c>
      <c r="H54">
        <v>1331.8698730000001</v>
      </c>
      <c r="I54">
        <v>1327.9085693</v>
      </c>
      <c r="J54">
        <v>1326.9831543</v>
      </c>
      <c r="K54">
        <v>550</v>
      </c>
      <c r="L54">
        <v>0</v>
      </c>
      <c r="M54">
        <v>0</v>
      </c>
      <c r="N54">
        <v>550</v>
      </c>
    </row>
    <row r="55" spans="1:14" x14ac:dyDescent="0.25">
      <c r="A55">
        <v>1.8717159999999999</v>
      </c>
      <c r="B55" s="1">
        <f>DATE(2010,5,2) + TIME(20,55,16)</f>
        <v>40300.871712962966</v>
      </c>
      <c r="C55">
        <v>80</v>
      </c>
      <c r="D55">
        <v>48.976619720000002</v>
      </c>
      <c r="E55">
        <v>60</v>
      </c>
      <c r="F55">
        <v>14.999866486</v>
      </c>
      <c r="G55">
        <v>1332.9000243999999</v>
      </c>
      <c r="H55">
        <v>1331.9083252</v>
      </c>
      <c r="I55">
        <v>1327.9095459</v>
      </c>
      <c r="J55">
        <v>1326.9831543</v>
      </c>
      <c r="K55">
        <v>550</v>
      </c>
      <c r="L55">
        <v>0</v>
      </c>
      <c r="M55">
        <v>0</v>
      </c>
      <c r="N55">
        <v>550</v>
      </c>
    </row>
    <row r="56" spans="1:14" x14ac:dyDescent="0.25">
      <c r="A56">
        <v>1.925225</v>
      </c>
      <c r="B56" s="1">
        <f>DATE(2010,5,2) + TIME(22,12,19)</f>
        <v>40300.925219907411</v>
      </c>
      <c r="C56">
        <v>80</v>
      </c>
      <c r="D56">
        <v>49.968811035000002</v>
      </c>
      <c r="E56">
        <v>60</v>
      </c>
      <c r="F56">
        <v>14.999867439000001</v>
      </c>
      <c r="G56">
        <v>1332.9465332</v>
      </c>
      <c r="H56">
        <v>1331.9471435999999</v>
      </c>
      <c r="I56">
        <v>1327.9104004000001</v>
      </c>
      <c r="J56">
        <v>1326.9831543</v>
      </c>
      <c r="K56">
        <v>550</v>
      </c>
      <c r="L56">
        <v>0</v>
      </c>
      <c r="M56">
        <v>0</v>
      </c>
      <c r="N56">
        <v>550</v>
      </c>
    </row>
    <row r="57" spans="1:14" x14ac:dyDescent="0.25">
      <c r="A57">
        <v>1.979155</v>
      </c>
      <c r="B57" s="1">
        <f>DATE(2010,5,2) + TIME(23,29,58)</f>
        <v>40300.979143518518</v>
      </c>
      <c r="C57">
        <v>80</v>
      </c>
      <c r="D57">
        <v>50.959278107000003</v>
      </c>
      <c r="E57">
        <v>60</v>
      </c>
      <c r="F57">
        <v>14.999868393</v>
      </c>
      <c r="G57">
        <v>1332.9934082</v>
      </c>
      <c r="H57">
        <v>1331.9862060999999</v>
      </c>
      <c r="I57">
        <v>1327.9113769999999</v>
      </c>
      <c r="J57">
        <v>1326.9832764</v>
      </c>
      <c r="K57">
        <v>550</v>
      </c>
      <c r="L57">
        <v>0</v>
      </c>
      <c r="M57">
        <v>0</v>
      </c>
      <c r="N57">
        <v>550</v>
      </c>
    </row>
    <row r="58" spans="1:14" x14ac:dyDescent="0.25">
      <c r="A58">
        <v>2.0336029999999998</v>
      </c>
      <c r="B58" s="1">
        <f>DATE(2010,5,3) + TIME(0,48,23)</f>
        <v>40301.033599537041</v>
      </c>
      <c r="C58">
        <v>80</v>
      </c>
      <c r="D58">
        <v>51.948818207000002</v>
      </c>
      <c r="E58">
        <v>60</v>
      </c>
      <c r="F58">
        <v>14.999868393</v>
      </c>
      <c r="G58">
        <v>1333.0405272999999</v>
      </c>
      <c r="H58">
        <v>1332.0253906</v>
      </c>
      <c r="I58">
        <v>1327.9122314000001</v>
      </c>
      <c r="J58">
        <v>1326.9832764</v>
      </c>
      <c r="K58">
        <v>550</v>
      </c>
      <c r="L58">
        <v>0</v>
      </c>
      <c r="M58">
        <v>0</v>
      </c>
      <c r="N58">
        <v>550</v>
      </c>
    </row>
    <row r="59" spans="1:14" x14ac:dyDescent="0.25">
      <c r="A59">
        <v>2.0886279999999999</v>
      </c>
      <c r="B59" s="1">
        <f>DATE(2010,5,3) + TIME(2,7,37)</f>
        <v>40301.088622685187</v>
      </c>
      <c r="C59">
        <v>80</v>
      </c>
      <c r="D59">
        <v>52.936954497999999</v>
      </c>
      <c r="E59">
        <v>60</v>
      </c>
      <c r="F59">
        <v>14.999869347000001</v>
      </c>
      <c r="G59">
        <v>1333.0878906</v>
      </c>
      <c r="H59">
        <v>1332.0646973</v>
      </c>
      <c r="I59">
        <v>1327.9132079999999</v>
      </c>
      <c r="J59">
        <v>1326.9833983999999</v>
      </c>
      <c r="K59">
        <v>550</v>
      </c>
      <c r="L59">
        <v>0</v>
      </c>
      <c r="M59">
        <v>0</v>
      </c>
      <c r="N59">
        <v>550</v>
      </c>
    </row>
    <row r="60" spans="1:14" x14ac:dyDescent="0.25">
      <c r="A60">
        <v>2.1443129999999999</v>
      </c>
      <c r="B60" s="1">
        <f>DATE(2010,5,3) + TIME(3,27,48)</f>
        <v>40301.144305555557</v>
      </c>
      <c r="C60">
        <v>80</v>
      </c>
      <c r="D60">
        <v>53.923614502</v>
      </c>
      <c r="E60">
        <v>60</v>
      </c>
      <c r="F60">
        <v>14.9998703</v>
      </c>
      <c r="G60">
        <v>1333.1354980000001</v>
      </c>
      <c r="H60">
        <v>1332.1042480000001</v>
      </c>
      <c r="I60">
        <v>1327.9140625</v>
      </c>
      <c r="J60">
        <v>1326.9833983999999</v>
      </c>
      <c r="K60">
        <v>550</v>
      </c>
      <c r="L60">
        <v>0</v>
      </c>
      <c r="M60">
        <v>0</v>
      </c>
      <c r="N60">
        <v>550</v>
      </c>
    </row>
    <row r="61" spans="1:14" x14ac:dyDescent="0.25">
      <c r="A61">
        <v>2.2007509999999999</v>
      </c>
      <c r="B61" s="1">
        <f>DATE(2010,5,3) + TIME(4,49,4)</f>
        <v>40301.200740740744</v>
      </c>
      <c r="C61">
        <v>80</v>
      </c>
      <c r="D61">
        <v>54.908699036000002</v>
      </c>
      <c r="E61">
        <v>60</v>
      </c>
      <c r="F61">
        <v>14.9998703</v>
      </c>
      <c r="G61">
        <v>1333.1834716999999</v>
      </c>
      <c r="H61">
        <v>1332.144043</v>
      </c>
      <c r="I61">
        <v>1327.9150391000001</v>
      </c>
      <c r="J61">
        <v>1326.9833983999999</v>
      </c>
      <c r="K61">
        <v>550</v>
      </c>
      <c r="L61">
        <v>0</v>
      </c>
      <c r="M61">
        <v>0</v>
      </c>
      <c r="N61">
        <v>550</v>
      </c>
    </row>
    <row r="62" spans="1:14" x14ac:dyDescent="0.25">
      <c r="A62">
        <v>2.2580429999999998</v>
      </c>
      <c r="B62" s="1">
        <f>DATE(2010,5,3) + TIME(6,11,34)</f>
        <v>40301.258032407408</v>
      </c>
      <c r="C62">
        <v>80</v>
      </c>
      <c r="D62">
        <v>55.892124176000003</v>
      </c>
      <c r="E62">
        <v>60</v>
      </c>
      <c r="F62">
        <v>14.999871254</v>
      </c>
      <c r="G62">
        <v>1333.2318115</v>
      </c>
      <c r="H62">
        <v>1332.1839600000001</v>
      </c>
      <c r="I62">
        <v>1327.9158935999999</v>
      </c>
      <c r="J62">
        <v>1326.9833983999999</v>
      </c>
      <c r="K62">
        <v>550</v>
      </c>
      <c r="L62">
        <v>0</v>
      </c>
      <c r="M62">
        <v>0</v>
      </c>
      <c r="N62">
        <v>550</v>
      </c>
    </row>
    <row r="63" spans="1:14" x14ac:dyDescent="0.25">
      <c r="A63">
        <v>2.3163019999999999</v>
      </c>
      <c r="B63" s="1">
        <f>DATE(2010,5,3) + TIME(7,35,28)</f>
        <v>40301.316296296296</v>
      </c>
      <c r="C63">
        <v>80</v>
      </c>
      <c r="D63">
        <v>56.873752594000003</v>
      </c>
      <c r="E63">
        <v>60</v>
      </c>
      <c r="F63">
        <v>14.999872207999999</v>
      </c>
      <c r="G63">
        <v>1333.2802733999999</v>
      </c>
      <c r="H63">
        <v>1332.223999</v>
      </c>
      <c r="I63">
        <v>1327.9168701000001</v>
      </c>
      <c r="J63">
        <v>1326.9835204999999</v>
      </c>
      <c r="K63">
        <v>550</v>
      </c>
      <c r="L63">
        <v>0</v>
      </c>
      <c r="M63">
        <v>0</v>
      </c>
      <c r="N63">
        <v>550</v>
      </c>
    </row>
    <row r="64" spans="1:14" x14ac:dyDescent="0.25">
      <c r="A64">
        <v>2.3756499999999998</v>
      </c>
      <c r="B64" s="1">
        <f>DATE(2010,5,3) + TIME(9,0,56)</f>
        <v>40301.375648148147</v>
      </c>
      <c r="C64">
        <v>80</v>
      </c>
      <c r="D64">
        <v>57.853057861000003</v>
      </c>
      <c r="E64">
        <v>60</v>
      </c>
      <c r="F64">
        <v>14.999872207999999</v>
      </c>
      <c r="G64">
        <v>1333.3271483999999</v>
      </c>
      <c r="H64">
        <v>1332.2628173999999</v>
      </c>
      <c r="I64">
        <v>1327.9177245999999</v>
      </c>
      <c r="J64">
        <v>1326.9835204999999</v>
      </c>
      <c r="K64">
        <v>550</v>
      </c>
      <c r="L64">
        <v>0</v>
      </c>
      <c r="M64">
        <v>0</v>
      </c>
      <c r="N64">
        <v>550</v>
      </c>
    </row>
    <row r="65" spans="1:14" x14ac:dyDescent="0.25">
      <c r="A65">
        <v>2.4362529999999998</v>
      </c>
      <c r="B65" s="1">
        <f>DATE(2010,5,3) + TIME(10,28,12)</f>
        <v>40301.436249999999</v>
      </c>
      <c r="C65">
        <v>80</v>
      </c>
      <c r="D65">
        <v>58.830238342000001</v>
      </c>
      <c r="E65">
        <v>60</v>
      </c>
      <c r="F65">
        <v>14.999873161</v>
      </c>
      <c r="G65">
        <v>1333.3737793</v>
      </c>
      <c r="H65">
        <v>1332.3012695</v>
      </c>
      <c r="I65">
        <v>1327.9187012</v>
      </c>
      <c r="J65">
        <v>1326.9835204999999</v>
      </c>
      <c r="K65">
        <v>550</v>
      </c>
      <c r="L65">
        <v>0</v>
      </c>
      <c r="M65">
        <v>0</v>
      </c>
      <c r="N65">
        <v>550</v>
      </c>
    </row>
    <row r="66" spans="1:14" x14ac:dyDescent="0.25">
      <c r="A66">
        <v>2.4982709999999999</v>
      </c>
      <c r="B66" s="1">
        <f>DATE(2010,5,3) + TIME(11,57,30)</f>
        <v>40301.498263888891</v>
      </c>
      <c r="C66">
        <v>80</v>
      </c>
      <c r="D66">
        <v>59.805240630999997</v>
      </c>
      <c r="E66">
        <v>60</v>
      </c>
      <c r="F66">
        <v>14.999874115000001</v>
      </c>
      <c r="G66">
        <v>1333.4207764</v>
      </c>
      <c r="H66">
        <v>1332.3399658000001</v>
      </c>
      <c r="I66">
        <v>1327.9195557</v>
      </c>
      <c r="J66">
        <v>1326.9836425999999</v>
      </c>
      <c r="K66">
        <v>550</v>
      </c>
      <c r="L66">
        <v>0</v>
      </c>
      <c r="M66">
        <v>0</v>
      </c>
      <c r="N66">
        <v>550</v>
      </c>
    </row>
    <row r="67" spans="1:14" x14ac:dyDescent="0.25">
      <c r="A67">
        <v>2.5618789999999998</v>
      </c>
      <c r="B67" s="1">
        <f>DATE(2010,5,3) + TIME(13,29,6)</f>
        <v>40301.561874999999</v>
      </c>
      <c r="C67">
        <v>80</v>
      </c>
      <c r="D67">
        <v>60.777336120999998</v>
      </c>
      <c r="E67">
        <v>60</v>
      </c>
      <c r="F67">
        <v>14.999874115000001</v>
      </c>
      <c r="G67">
        <v>1333.4681396000001</v>
      </c>
      <c r="H67">
        <v>1332.3789062000001</v>
      </c>
      <c r="I67">
        <v>1327.9204102000001</v>
      </c>
      <c r="J67">
        <v>1326.9836425999999</v>
      </c>
      <c r="K67">
        <v>550</v>
      </c>
      <c r="L67">
        <v>0</v>
      </c>
      <c r="M67">
        <v>0</v>
      </c>
      <c r="N67">
        <v>550</v>
      </c>
    </row>
    <row r="68" spans="1:14" x14ac:dyDescent="0.25">
      <c r="A68">
        <v>2.6273119999999999</v>
      </c>
      <c r="B68" s="1">
        <f>DATE(2010,5,3) + TIME(15,3,19)</f>
        <v>40301.627303240741</v>
      </c>
      <c r="C68">
        <v>80</v>
      </c>
      <c r="D68">
        <v>61.747261047000002</v>
      </c>
      <c r="E68">
        <v>60</v>
      </c>
      <c r="F68">
        <v>14.999875069</v>
      </c>
      <c r="G68">
        <v>1333.5158690999999</v>
      </c>
      <c r="H68">
        <v>1332.4179687999999</v>
      </c>
      <c r="I68">
        <v>1327.9213867000001</v>
      </c>
      <c r="J68">
        <v>1326.9836425999999</v>
      </c>
      <c r="K68">
        <v>550</v>
      </c>
      <c r="L68">
        <v>0</v>
      </c>
      <c r="M68">
        <v>0</v>
      </c>
      <c r="N68">
        <v>550</v>
      </c>
    </row>
    <row r="69" spans="1:14" x14ac:dyDescent="0.25">
      <c r="A69">
        <v>2.6947749999999999</v>
      </c>
      <c r="B69" s="1">
        <f>DATE(2010,5,3) + TIME(16,40,28)</f>
        <v>40301.694768518515</v>
      </c>
      <c r="C69">
        <v>80</v>
      </c>
      <c r="D69">
        <v>62.713897705000001</v>
      </c>
      <c r="E69">
        <v>60</v>
      </c>
      <c r="F69">
        <v>14.999876022</v>
      </c>
      <c r="G69">
        <v>1333.5607910000001</v>
      </c>
      <c r="H69">
        <v>1332.4549560999999</v>
      </c>
      <c r="I69">
        <v>1327.9221190999999</v>
      </c>
      <c r="J69">
        <v>1326.9837646000001</v>
      </c>
      <c r="K69">
        <v>550</v>
      </c>
      <c r="L69">
        <v>0</v>
      </c>
      <c r="M69">
        <v>0</v>
      </c>
      <c r="N69">
        <v>550</v>
      </c>
    </row>
    <row r="70" spans="1:14" x14ac:dyDescent="0.25">
      <c r="A70">
        <v>2.7645659999999999</v>
      </c>
      <c r="B70" s="1">
        <f>DATE(2010,5,3) + TIME(18,20,58)</f>
        <v>40301.764560185184</v>
      </c>
      <c r="C70">
        <v>80</v>
      </c>
      <c r="D70">
        <v>63.677398682000003</v>
      </c>
      <c r="E70">
        <v>60</v>
      </c>
      <c r="F70">
        <v>14.999876022</v>
      </c>
      <c r="G70">
        <v>1333.6057129000001</v>
      </c>
      <c r="H70">
        <v>1332.4915771000001</v>
      </c>
      <c r="I70">
        <v>1327.9229736</v>
      </c>
      <c r="J70">
        <v>1326.9837646000001</v>
      </c>
      <c r="K70">
        <v>550</v>
      </c>
      <c r="L70">
        <v>0</v>
      </c>
      <c r="M70">
        <v>0</v>
      </c>
      <c r="N70">
        <v>550</v>
      </c>
    </row>
    <row r="71" spans="1:14" x14ac:dyDescent="0.25">
      <c r="A71">
        <v>2.8370009999999999</v>
      </c>
      <c r="B71" s="1">
        <f>DATE(2010,5,3) + TIME(20,5,16)</f>
        <v>40301.83699074074</v>
      </c>
      <c r="C71">
        <v>80</v>
      </c>
      <c r="D71">
        <v>64.637550353999998</v>
      </c>
      <c r="E71">
        <v>60</v>
      </c>
      <c r="F71">
        <v>14.999876975999999</v>
      </c>
      <c r="G71">
        <v>1333.651001</v>
      </c>
      <c r="H71">
        <v>1332.5284423999999</v>
      </c>
      <c r="I71">
        <v>1327.9238281</v>
      </c>
      <c r="J71">
        <v>1326.9837646000001</v>
      </c>
      <c r="K71">
        <v>550</v>
      </c>
      <c r="L71">
        <v>0</v>
      </c>
      <c r="M71">
        <v>0</v>
      </c>
      <c r="N71">
        <v>550</v>
      </c>
    </row>
    <row r="72" spans="1:14" x14ac:dyDescent="0.25">
      <c r="A72">
        <v>2.912442</v>
      </c>
      <c r="B72" s="1">
        <f>DATE(2010,5,3) + TIME(21,53,55)</f>
        <v>40301.912442129629</v>
      </c>
      <c r="C72">
        <v>80</v>
      </c>
      <c r="D72">
        <v>65.594139099000003</v>
      </c>
      <c r="E72">
        <v>60</v>
      </c>
      <c r="F72">
        <v>14.99987793</v>
      </c>
      <c r="G72">
        <v>1333.6966553</v>
      </c>
      <c r="H72">
        <v>1332.5654297000001</v>
      </c>
      <c r="I72">
        <v>1327.9246826000001</v>
      </c>
      <c r="J72">
        <v>1326.9837646000001</v>
      </c>
      <c r="K72">
        <v>550</v>
      </c>
      <c r="L72">
        <v>0</v>
      </c>
      <c r="M72">
        <v>0</v>
      </c>
      <c r="N72">
        <v>550</v>
      </c>
    </row>
    <row r="73" spans="1:14" x14ac:dyDescent="0.25">
      <c r="A73">
        <v>2.9913069999999999</v>
      </c>
      <c r="B73" s="1">
        <f>DATE(2010,5,3) + TIME(23,47,28)</f>
        <v>40301.991296296299</v>
      </c>
      <c r="C73">
        <v>80</v>
      </c>
      <c r="D73">
        <v>66.546554564999994</v>
      </c>
      <c r="E73">
        <v>60</v>
      </c>
      <c r="F73">
        <v>14.99987793</v>
      </c>
      <c r="G73">
        <v>1333.7429199000001</v>
      </c>
      <c r="H73">
        <v>1332.6027832</v>
      </c>
      <c r="I73">
        <v>1327.9255370999999</v>
      </c>
      <c r="J73">
        <v>1326.9838867000001</v>
      </c>
      <c r="K73">
        <v>550</v>
      </c>
      <c r="L73">
        <v>0</v>
      </c>
      <c r="M73">
        <v>0</v>
      </c>
      <c r="N73">
        <v>550</v>
      </c>
    </row>
    <row r="74" spans="1:14" x14ac:dyDescent="0.25">
      <c r="A74">
        <v>3.0309059999999999</v>
      </c>
      <c r="B74" s="1">
        <f>DATE(2010,5,4) + TIME(0,44,30)</f>
        <v>40302.030902777777</v>
      </c>
      <c r="C74">
        <v>80</v>
      </c>
      <c r="D74">
        <v>67.017295837000006</v>
      </c>
      <c r="E74">
        <v>60</v>
      </c>
      <c r="F74">
        <v>14.999878882999999</v>
      </c>
      <c r="G74">
        <v>1333.7915039</v>
      </c>
      <c r="H74">
        <v>1332.6359863</v>
      </c>
      <c r="I74">
        <v>1327.9262695</v>
      </c>
      <c r="J74">
        <v>1326.9838867000001</v>
      </c>
      <c r="K74">
        <v>550</v>
      </c>
      <c r="L74">
        <v>0</v>
      </c>
      <c r="M74">
        <v>0</v>
      </c>
      <c r="N74">
        <v>550</v>
      </c>
    </row>
    <row r="75" spans="1:14" x14ac:dyDescent="0.25">
      <c r="A75">
        <v>3.0705049999999998</v>
      </c>
      <c r="B75" s="1">
        <f>DATE(2010,5,4) + TIME(1,41,31)</f>
        <v>40302.070497685185</v>
      </c>
      <c r="C75">
        <v>80</v>
      </c>
      <c r="D75">
        <v>67.475517272999994</v>
      </c>
      <c r="E75">
        <v>60</v>
      </c>
      <c r="F75">
        <v>14.999878882999999</v>
      </c>
      <c r="G75">
        <v>1333.8123779</v>
      </c>
      <c r="H75">
        <v>1332.6525879000001</v>
      </c>
      <c r="I75">
        <v>1327.9266356999999</v>
      </c>
      <c r="J75">
        <v>1326.9838867000001</v>
      </c>
      <c r="K75">
        <v>550</v>
      </c>
      <c r="L75">
        <v>0</v>
      </c>
      <c r="M75">
        <v>0</v>
      </c>
      <c r="N75">
        <v>550</v>
      </c>
    </row>
    <row r="76" spans="1:14" x14ac:dyDescent="0.25">
      <c r="A76">
        <v>3.1100110000000001</v>
      </c>
      <c r="B76" s="1">
        <f>DATE(2010,5,4) + TIME(2,38,24)</f>
        <v>40302.11</v>
      </c>
      <c r="C76">
        <v>80</v>
      </c>
      <c r="D76">
        <v>67.920303344999994</v>
      </c>
      <c r="E76">
        <v>60</v>
      </c>
      <c r="F76">
        <v>14.999879837</v>
      </c>
      <c r="G76">
        <v>1333.8328856999999</v>
      </c>
      <c r="H76">
        <v>1332.6689452999999</v>
      </c>
      <c r="I76">
        <v>1327.9270019999999</v>
      </c>
      <c r="J76">
        <v>1326.9840088000001</v>
      </c>
      <c r="K76">
        <v>550</v>
      </c>
      <c r="L76">
        <v>0</v>
      </c>
      <c r="M76">
        <v>0</v>
      </c>
      <c r="N76">
        <v>550</v>
      </c>
    </row>
    <row r="77" spans="1:14" x14ac:dyDescent="0.25">
      <c r="A77">
        <v>3.1491730000000002</v>
      </c>
      <c r="B77" s="1">
        <f>DATE(2010,5,4) + TIME(3,34,48)</f>
        <v>40302.14916666667</v>
      </c>
      <c r="C77">
        <v>80</v>
      </c>
      <c r="D77">
        <v>68.349174500000004</v>
      </c>
      <c r="E77">
        <v>60</v>
      </c>
      <c r="F77">
        <v>14.999879837</v>
      </c>
      <c r="G77">
        <v>1333.8529053</v>
      </c>
      <c r="H77">
        <v>1332.6848144999999</v>
      </c>
      <c r="I77">
        <v>1327.9273682</v>
      </c>
      <c r="J77">
        <v>1326.9840088000001</v>
      </c>
      <c r="K77">
        <v>550</v>
      </c>
      <c r="L77">
        <v>0</v>
      </c>
      <c r="M77">
        <v>0</v>
      </c>
      <c r="N77">
        <v>550</v>
      </c>
    </row>
    <row r="78" spans="1:14" x14ac:dyDescent="0.25">
      <c r="A78">
        <v>3.188024</v>
      </c>
      <c r="B78" s="1">
        <f>DATE(2010,5,4) + TIME(4,30,45)</f>
        <v>40302.188020833331</v>
      </c>
      <c r="C78">
        <v>80</v>
      </c>
      <c r="D78">
        <v>68.762870789000004</v>
      </c>
      <c r="E78">
        <v>60</v>
      </c>
      <c r="F78">
        <v>14.999879837</v>
      </c>
      <c r="G78">
        <v>1333.8725586</v>
      </c>
      <c r="H78">
        <v>1332.7003173999999</v>
      </c>
      <c r="I78">
        <v>1327.9277344</v>
      </c>
      <c r="J78">
        <v>1326.9840088000001</v>
      </c>
      <c r="K78">
        <v>550</v>
      </c>
      <c r="L78">
        <v>0</v>
      </c>
      <c r="M78">
        <v>0</v>
      </c>
      <c r="N78">
        <v>550</v>
      </c>
    </row>
    <row r="79" spans="1:14" x14ac:dyDescent="0.25">
      <c r="A79">
        <v>3.226594</v>
      </c>
      <c r="B79" s="1">
        <f>DATE(2010,5,4) + TIME(5,26,17)</f>
        <v>40302.226585648146</v>
      </c>
      <c r="C79">
        <v>80</v>
      </c>
      <c r="D79">
        <v>69.162094116000006</v>
      </c>
      <c r="E79">
        <v>60</v>
      </c>
      <c r="F79">
        <v>14.999880791000001</v>
      </c>
      <c r="G79">
        <v>1333.8916016000001</v>
      </c>
      <c r="H79">
        <v>1332.715332</v>
      </c>
      <c r="I79">
        <v>1327.9281006000001</v>
      </c>
      <c r="J79">
        <v>1326.9840088000001</v>
      </c>
      <c r="K79">
        <v>550</v>
      </c>
      <c r="L79">
        <v>0</v>
      </c>
      <c r="M79">
        <v>0</v>
      </c>
      <c r="N79">
        <v>550</v>
      </c>
    </row>
    <row r="80" spans="1:14" x14ac:dyDescent="0.25">
      <c r="A80">
        <v>3.2649140000000001</v>
      </c>
      <c r="B80" s="1">
        <f>DATE(2010,5,4) + TIME(6,21,28)</f>
        <v>40302.264907407407</v>
      </c>
      <c r="C80">
        <v>80</v>
      </c>
      <c r="D80">
        <v>69.547485351999995</v>
      </c>
      <c r="E80">
        <v>60</v>
      </c>
      <c r="F80">
        <v>14.999880791000001</v>
      </c>
      <c r="G80">
        <v>1333.9101562000001</v>
      </c>
      <c r="H80">
        <v>1332.7298584</v>
      </c>
      <c r="I80">
        <v>1327.9284668</v>
      </c>
      <c r="J80">
        <v>1326.9840088000001</v>
      </c>
      <c r="K80">
        <v>550</v>
      </c>
      <c r="L80">
        <v>0</v>
      </c>
      <c r="M80">
        <v>0</v>
      </c>
      <c r="N80">
        <v>550</v>
      </c>
    </row>
    <row r="81" spans="1:14" x14ac:dyDescent="0.25">
      <c r="A81">
        <v>3.3030110000000001</v>
      </c>
      <c r="B81" s="1">
        <f>DATE(2010,5,4) + TIME(7,16,20)</f>
        <v>40302.30300925926</v>
      </c>
      <c r="C81">
        <v>80</v>
      </c>
      <c r="D81">
        <v>69.919647217000005</v>
      </c>
      <c r="E81">
        <v>60</v>
      </c>
      <c r="F81">
        <v>14.999880791000001</v>
      </c>
      <c r="G81">
        <v>1333.9282227000001</v>
      </c>
      <c r="H81">
        <v>1332.7438964999999</v>
      </c>
      <c r="I81">
        <v>1327.9288329999999</v>
      </c>
      <c r="J81">
        <v>1326.9840088000001</v>
      </c>
      <c r="K81">
        <v>550</v>
      </c>
      <c r="L81">
        <v>0</v>
      </c>
      <c r="M81">
        <v>0</v>
      </c>
      <c r="N81">
        <v>550</v>
      </c>
    </row>
    <row r="82" spans="1:14" x14ac:dyDescent="0.25">
      <c r="A82">
        <v>3.3409119999999999</v>
      </c>
      <c r="B82" s="1">
        <f>DATE(2010,5,4) + TIME(8,10,54)</f>
        <v>40302.340902777774</v>
      </c>
      <c r="C82">
        <v>80</v>
      </c>
      <c r="D82">
        <v>70.278961182000003</v>
      </c>
      <c r="E82">
        <v>60</v>
      </c>
      <c r="F82">
        <v>14.999881744</v>
      </c>
      <c r="G82">
        <v>1333.9456786999999</v>
      </c>
      <c r="H82">
        <v>1332.7575684000001</v>
      </c>
      <c r="I82">
        <v>1327.9290771000001</v>
      </c>
      <c r="J82">
        <v>1326.9841309000001</v>
      </c>
      <c r="K82">
        <v>550</v>
      </c>
      <c r="L82">
        <v>0</v>
      </c>
      <c r="M82">
        <v>0</v>
      </c>
      <c r="N82">
        <v>550</v>
      </c>
    </row>
    <row r="83" spans="1:14" x14ac:dyDescent="0.25">
      <c r="A83">
        <v>3.3786420000000001</v>
      </c>
      <c r="B83" s="1">
        <f>DATE(2010,5,4) + TIME(9,5,14)</f>
        <v>40302.378634259258</v>
      </c>
      <c r="C83">
        <v>80</v>
      </c>
      <c r="D83">
        <v>70.626091002999999</v>
      </c>
      <c r="E83">
        <v>60</v>
      </c>
      <c r="F83">
        <v>14.999881744</v>
      </c>
      <c r="G83">
        <v>1333.9628906</v>
      </c>
      <c r="H83">
        <v>1332.770874</v>
      </c>
      <c r="I83">
        <v>1327.9294434000001</v>
      </c>
      <c r="J83">
        <v>1326.9841309000001</v>
      </c>
      <c r="K83">
        <v>550</v>
      </c>
      <c r="L83">
        <v>0</v>
      </c>
      <c r="M83">
        <v>0</v>
      </c>
      <c r="N83">
        <v>550</v>
      </c>
    </row>
    <row r="84" spans="1:14" x14ac:dyDescent="0.25">
      <c r="A84">
        <v>3.4162249999999998</v>
      </c>
      <c r="B84" s="1">
        <f>DATE(2010,5,4) + TIME(9,59,21)</f>
        <v>40302.416215277779</v>
      </c>
      <c r="C84">
        <v>80</v>
      </c>
      <c r="D84">
        <v>70.961585998999993</v>
      </c>
      <c r="E84">
        <v>60</v>
      </c>
      <c r="F84">
        <v>14.999881744</v>
      </c>
      <c r="G84">
        <v>1333.9796143000001</v>
      </c>
      <c r="H84">
        <v>1332.7836914</v>
      </c>
      <c r="I84">
        <v>1327.9298096</v>
      </c>
      <c r="J84">
        <v>1326.9841309000001</v>
      </c>
      <c r="K84">
        <v>550</v>
      </c>
      <c r="L84">
        <v>0</v>
      </c>
      <c r="M84">
        <v>0</v>
      </c>
      <c r="N84">
        <v>550</v>
      </c>
    </row>
    <row r="85" spans="1:14" x14ac:dyDescent="0.25">
      <c r="A85">
        <v>3.453684</v>
      </c>
      <c r="B85" s="1">
        <f>DATE(2010,5,4) + TIME(10,53,18)</f>
        <v>40302.453680555554</v>
      </c>
      <c r="C85">
        <v>80</v>
      </c>
      <c r="D85">
        <v>71.285919188999998</v>
      </c>
      <c r="E85">
        <v>60</v>
      </c>
      <c r="F85">
        <v>14.999882698</v>
      </c>
      <c r="G85">
        <v>1333.9958495999999</v>
      </c>
      <c r="H85">
        <v>1332.7962646000001</v>
      </c>
      <c r="I85">
        <v>1327.9300536999999</v>
      </c>
      <c r="J85">
        <v>1326.9841309000001</v>
      </c>
      <c r="K85">
        <v>550</v>
      </c>
      <c r="L85">
        <v>0</v>
      </c>
      <c r="M85">
        <v>0</v>
      </c>
      <c r="N85">
        <v>550</v>
      </c>
    </row>
    <row r="86" spans="1:14" x14ac:dyDescent="0.25">
      <c r="A86">
        <v>3.4910399999999999</v>
      </c>
      <c r="B86" s="1">
        <f>DATE(2010,5,4) + TIME(11,47,5)</f>
        <v>40302.491030092591</v>
      </c>
      <c r="C86">
        <v>80</v>
      </c>
      <c r="D86">
        <v>71.599517821999996</v>
      </c>
      <c r="E86">
        <v>60</v>
      </c>
      <c r="F86">
        <v>14.999882698</v>
      </c>
      <c r="G86">
        <v>1334.0115966999999</v>
      </c>
      <c r="H86">
        <v>1332.8083495999999</v>
      </c>
      <c r="I86">
        <v>1327.9304199000001</v>
      </c>
      <c r="J86">
        <v>1326.9841309000001</v>
      </c>
      <c r="K86">
        <v>550</v>
      </c>
      <c r="L86">
        <v>0</v>
      </c>
      <c r="M86">
        <v>0</v>
      </c>
      <c r="N86">
        <v>550</v>
      </c>
    </row>
    <row r="87" spans="1:14" x14ac:dyDescent="0.25">
      <c r="A87">
        <v>3.5283159999999998</v>
      </c>
      <c r="B87" s="1">
        <f>DATE(2010,5,4) + TIME(12,40,46)</f>
        <v>40302.528310185182</v>
      </c>
      <c r="C87">
        <v>80</v>
      </c>
      <c r="D87">
        <v>71.902671814000001</v>
      </c>
      <c r="E87">
        <v>60</v>
      </c>
      <c r="F87">
        <v>14.999882698</v>
      </c>
      <c r="G87">
        <v>1334.0249022999999</v>
      </c>
      <c r="H87">
        <v>1332.8186035000001</v>
      </c>
      <c r="I87">
        <v>1327.9306641000001</v>
      </c>
      <c r="J87">
        <v>1326.9841309000001</v>
      </c>
      <c r="K87">
        <v>550</v>
      </c>
      <c r="L87">
        <v>0</v>
      </c>
      <c r="M87">
        <v>0</v>
      </c>
      <c r="N87">
        <v>550</v>
      </c>
    </row>
    <row r="88" spans="1:14" x14ac:dyDescent="0.25">
      <c r="A88">
        <v>3.565547</v>
      </c>
      <c r="B88" s="1">
        <f>DATE(2010,5,4) + TIME(13,34,23)</f>
        <v>40302.56554398148</v>
      </c>
      <c r="C88">
        <v>80</v>
      </c>
      <c r="D88">
        <v>72.195915221999996</v>
      </c>
      <c r="E88">
        <v>60</v>
      </c>
      <c r="F88">
        <v>14.999883651999999</v>
      </c>
      <c r="G88">
        <v>1334.0378418</v>
      </c>
      <c r="H88">
        <v>1332.8283690999999</v>
      </c>
      <c r="I88">
        <v>1327.9309082</v>
      </c>
      <c r="J88">
        <v>1326.9842529</v>
      </c>
      <c r="K88">
        <v>550</v>
      </c>
      <c r="L88">
        <v>0</v>
      </c>
      <c r="M88">
        <v>0</v>
      </c>
      <c r="N88">
        <v>550</v>
      </c>
    </row>
    <row r="89" spans="1:14" x14ac:dyDescent="0.25">
      <c r="A89">
        <v>3.6027529999999999</v>
      </c>
      <c r="B89" s="1">
        <f>DATE(2010,5,4) + TIME(14,27,57)</f>
        <v>40302.602743055555</v>
      </c>
      <c r="C89">
        <v>80</v>
      </c>
      <c r="D89">
        <v>72.479598999000004</v>
      </c>
      <c r="E89">
        <v>60</v>
      </c>
      <c r="F89">
        <v>14.999883651999999</v>
      </c>
      <c r="G89">
        <v>1334.0505370999999</v>
      </c>
      <c r="H89">
        <v>1332.8380127</v>
      </c>
      <c r="I89">
        <v>1327.9311522999999</v>
      </c>
      <c r="J89">
        <v>1326.9842529</v>
      </c>
      <c r="K89">
        <v>550</v>
      </c>
      <c r="L89">
        <v>0</v>
      </c>
      <c r="M89">
        <v>0</v>
      </c>
      <c r="N89">
        <v>550</v>
      </c>
    </row>
    <row r="90" spans="1:14" x14ac:dyDescent="0.25">
      <c r="A90">
        <v>3.6399530000000002</v>
      </c>
      <c r="B90" s="1">
        <f>DATE(2010,5,4) + TIME(15,21,31)</f>
        <v>40302.63994212963</v>
      </c>
      <c r="C90">
        <v>80</v>
      </c>
      <c r="D90">
        <v>72.754089355000005</v>
      </c>
      <c r="E90">
        <v>60</v>
      </c>
      <c r="F90">
        <v>14.999883651999999</v>
      </c>
      <c r="G90">
        <v>1334.0628661999999</v>
      </c>
      <c r="H90">
        <v>1332.8474120999999</v>
      </c>
      <c r="I90">
        <v>1327.9313964999999</v>
      </c>
      <c r="J90">
        <v>1326.9842529</v>
      </c>
      <c r="K90">
        <v>550</v>
      </c>
      <c r="L90">
        <v>0</v>
      </c>
      <c r="M90">
        <v>0</v>
      </c>
      <c r="N90">
        <v>550</v>
      </c>
    </row>
    <row r="91" spans="1:14" x14ac:dyDescent="0.25">
      <c r="A91">
        <v>3.6771530000000001</v>
      </c>
      <c r="B91" s="1">
        <f>DATE(2010,5,4) + TIME(16,15,6)</f>
        <v>40302.677152777775</v>
      </c>
      <c r="C91">
        <v>80</v>
      </c>
      <c r="D91">
        <v>73.019622803000004</v>
      </c>
      <c r="E91">
        <v>60</v>
      </c>
      <c r="F91">
        <v>14.999884605</v>
      </c>
      <c r="G91">
        <v>1334.0749512</v>
      </c>
      <c r="H91">
        <v>1332.8564452999999</v>
      </c>
      <c r="I91">
        <v>1327.9316406</v>
      </c>
      <c r="J91">
        <v>1326.9842529</v>
      </c>
      <c r="K91">
        <v>550</v>
      </c>
      <c r="L91">
        <v>0</v>
      </c>
      <c r="M91">
        <v>0</v>
      </c>
      <c r="N91">
        <v>550</v>
      </c>
    </row>
    <row r="92" spans="1:14" x14ac:dyDescent="0.25">
      <c r="A92">
        <v>3.714353</v>
      </c>
      <c r="B92" s="1">
        <f>DATE(2010,5,4) + TIME(17,8,40)</f>
        <v>40302.71435185185</v>
      </c>
      <c r="C92">
        <v>80</v>
      </c>
      <c r="D92">
        <v>73.276397704999994</v>
      </c>
      <c r="E92">
        <v>60</v>
      </c>
      <c r="F92">
        <v>14.999884605</v>
      </c>
      <c r="G92">
        <v>1334.0867920000001</v>
      </c>
      <c r="H92">
        <v>1332.8653564000001</v>
      </c>
      <c r="I92">
        <v>1327.9318848</v>
      </c>
      <c r="J92">
        <v>1326.9842529</v>
      </c>
      <c r="K92">
        <v>550</v>
      </c>
      <c r="L92">
        <v>0</v>
      </c>
      <c r="M92">
        <v>0</v>
      </c>
      <c r="N92">
        <v>550</v>
      </c>
    </row>
    <row r="93" spans="1:14" x14ac:dyDescent="0.25">
      <c r="A93">
        <v>3.7515520000000002</v>
      </c>
      <c r="B93" s="1">
        <f>DATE(2010,5,4) + TIME(18,2,14)</f>
        <v>40302.751550925925</v>
      </c>
      <c r="C93">
        <v>80</v>
      </c>
      <c r="D93">
        <v>73.524627686000002</v>
      </c>
      <c r="E93">
        <v>60</v>
      </c>
      <c r="F93">
        <v>14.999884605</v>
      </c>
      <c r="G93">
        <v>1334.0982666</v>
      </c>
      <c r="H93">
        <v>1332.8739014</v>
      </c>
      <c r="I93">
        <v>1327.9321289</v>
      </c>
      <c r="J93">
        <v>1326.9842529</v>
      </c>
      <c r="K93">
        <v>550</v>
      </c>
      <c r="L93">
        <v>0</v>
      </c>
      <c r="M93">
        <v>0</v>
      </c>
      <c r="N93">
        <v>550</v>
      </c>
    </row>
    <row r="94" spans="1:14" x14ac:dyDescent="0.25">
      <c r="A94">
        <v>3.7887520000000001</v>
      </c>
      <c r="B94" s="1">
        <f>DATE(2010,5,4) + TIME(18,55,48)</f>
        <v>40302.78875</v>
      </c>
      <c r="C94">
        <v>80</v>
      </c>
      <c r="D94">
        <v>73.764511107999994</v>
      </c>
      <c r="E94">
        <v>60</v>
      </c>
      <c r="F94">
        <v>14.999884605</v>
      </c>
      <c r="G94">
        <v>1334.1096190999999</v>
      </c>
      <c r="H94">
        <v>1332.8823242000001</v>
      </c>
      <c r="I94">
        <v>1327.932251</v>
      </c>
      <c r="J94">
        <v>1326.984375</v>
      </c>
      <c r="K94">
        <v>550</v>
      </c>
      <c r="L94">
        <v>0</v>
      </c>
      <c r="M94">
        <v>0</v>
      </c>
      <c r="N94">
        <v>550</v>
      </c>
    </row>
    <row r="95" spans="1:14" x14ac:dyDescent="0.25">
      <c r="A95">
        <v>3.825952</v>
      </c>
      <c r="B95" s="1">
        <f>DATE(2010,5,4) + TIME(19,49,22)</f>
        <v>40302.825949074075</v>
      </c>
      <c r="C95">
        <v>80</v>
      </c>
      <c r="D95">
        <v>73.996246338000006</v>
      </c>
      <c r="E95">
        <v>60</v>
      </c>
      <c r="F95">
        <v>14.999885559000001</v>
      </c>
      <c r="G95">
        <v>1334.1206055</v>
      </c>
      <c r="H95">
        <v>1332.8903809000001</v>
      </c>
      <c r="I95">
        <v>1327.9324951000001</v>
      </c>
      <c r="J95">
        <v>1326.984375</v>
      </c>
      <c r="K95">
        <v>550</v>
      </c>
      <c r="L95">
        <v>0</v>
      </c>
      <c r="M95">
        <v>0</v>
      </c>
      <c r="N95">
        <v>550</v>
      </c>
    </row>
    <row r="96" spans="1:14" x14ac:dyDescent="0.25">
      <c r="A96">
        <v>3.8631519999999999</v>
      </c>
      <c r="B96" s="1">
        <f>DATE(2010,5,4) + TIME(20,42,56)</f>
        <v>40302.86314814815</v>
      </c>
      <c r="C96">
        <v>80</v>
      </c>
      <c r="D96">
        <v>74.220054626000007</v>
      </c>
      <c r="E96">
        <v>60</v>
      </c>
      <c r="F96">
        <v>14.999885559000001</v>
      </c>
      <c r="G96">
        <v>1334.1313477000001</v>
      </c>
      <c r="H96">
        <v>1332.8983154</v>
      </c>
      <c r="I96">
        <v>1327.9327393000001</v>
      </c>
      <c r="J96">
        <v>1326.984375</v>
      </c>
      <c r="K96">
        <v>550</v>
      </c>
      <c r="L96">
        <v>0</v>
      </c>
      <c r="M96">
        <v>0</v>
      </c>
      <c r="N96">
        <v>550</v>
      </c>
    </row>
    <row r="97" spans="1:14" x14ac:dyDescent="0.25">
      <c r="A97">
        <v>3.9003519999999998</v>
      </c>
      <c r="B97" s="1">
        <f>DATE(2010,5,4) + TIME(21,36,30)</f>
        <v>40302.900347222225</v>
      </c>
      <c r="C97">
        <v>80</v>
      </c>
      <c r="D97">
        <v>74.436126709000007</v>
      </c>
      <c r="E97">
        <v>60</v>
      </c>
      <c r="F97">
        <v>14.999885559000001</v>
      </c>
      <c r="G97">
        <v>1334.1418457</v>
      </c>
      <c r="H97">
        <v>1332.9060059000001</v>
      </c>
      <c r="I97">
        <v>1327.9329834</v>
      </c>
      <c r="J97">
        <v>1326.984375</v>
      </c>
      <c r="K97">
        <v>550</v>
      </c>
      <c r="L97">
        <v>0</v>
      </c>
      <c r="M97">
        <v>0</v>
      </c>
      <c r="N97">
        <v>550</v>
      </c>
    </row>
    <row r="98" spans="1:14" x14ac:dyDescent="0.25">
      <c r="A98">
        <v>3.9375520000000002</v>
      </c>
      <c r="B98" s="1">
        <f>DATE(2010,5,4) + TIME(22,30,4)</f>
        <v>40302.9375462963</v>
      </c>
      <c r="C98">
        <v>80</v>
      </c>
      <c r="D98">
        <v>74.644668578999998</v>
      </c>
      <c r="E98">
        <v>60</v>
      </c>
      <c r="F98">
        <v>14.999886513</v>
      </c>
      <c r="G98">
        <v>1334.1520995999999</v>
      </c>
      <c r="H98">
        <v>1332.9134521000001</v>
      </c>
      <c r="I98">
        <v>1327.9332274999999</v>
      </c>
      <c r="J98">
        <v>1326.984375</v>
      </c>
      <c r="K98">
        <v>550</v>
      </c>
      <c r="L98">
        <v>0</v>
      </c>
      <c r="M98">
        <v>0</v>
      </c>
      <c r="N98">
        <v>550</v>
      </c>
    </row>
    <row r="99" spans="1:14" x14ac:dyDescent="0.25">
      <c r="A99">
        <v>4.0119509999999998</v>
      </c>
      <c r="B99" s="1">
        <f>DATE(2010,5,5) + TIME(0,17,12)</f>
        <v>40303.011944444443</v>
      </c>
      <c r="C99">
        <v>80</v>
      </c>
      <c r="D99">
        <v>75.031425475999995</v>
      </c>
      <c r="E99">
        <v>60</v>
      </c>
      <c r="F99">
        <v>14.999886513</v>
      </c>
      <c r="G99">
        <v>1334.1600341999999</v>
      </c>
      <c r="H99">
        <v>1332.9217529</v>
      </c>
      <c r="I99">
        <v>1327.9334716999999</v>
      </c>
      <c r="J99">
        <v>1326.9844971</v>
      </c>
      <c r="K99">
        <v>550</v>
      </c>
      <c r="L99">
        <v>0</v>
      </c>
      <c r="M99">
        <v>0</v>
      </c>
      <c r="N99">
        <v>550</v>
      </c>
    </row>
    <row r="100" spans="1:14" x14ac:dyDescent="0.25">
      <c r="A100">
        <v>4.0864940000000001</v>
      </c>
      <c r="B100" s="1">
        <f>DATE(2010,5,5) + TIME(2,4,33)</f>
        <v>40303.086493055554</v>
      </c>
      <c r="C100">
        <v>80</v>
      </c>
      <c r="D100">
        <v>75.392097473000007</v>
      </c>
      <c r="E100">
        <v>60</v>
      </c>
      <c r="F100">
        <v>14.999887466000001</v>
      </c>
      <c r="G100">
        <v>1334.1789550999999</v>
      </c>
      <c r="H100">
        <v>1332.9351807</v>
      </c>
      <c r="I100">
        <v>1327.9338379000001</v>
      </c>
      <c r="J100">
        <v>1326.9844971</v>
      </c>
      <c r="K100">
        <v>550</v>
      </c>
      <c r="L100">
        <v>0</v>
      </c>
      <c r="M100">
        <v>0</v>
      </c>
      <c r="N100">
        <v>550</v>
      </c>
    </row>
    <row r="101" spans="1:14" x14ac:dyDescent="0.25">
      <c r="A101">
        <v>4.1618659999999998</v>
      </c>
      <c r="B101" s="1">
        <f>DATE(2010,5,5) + TIME(3,53,5)</f>
        <v>40303.161863425928</v>
      </c>
      <c r="C101">
        <v>80</v>
      </c>
      <c r="D101">
        <v>75.731109618999994</v>
      </c>
      <c r="E101">
        <v>60</v>
      </c>
      <c r="F101">
        <v>14.999887466000001</v>
      </c>
      <c r="G101">
        <v>1334.1968993999999</v>
      </c>
      <c r="H101">
        <v>1332.947876</v>
      </c>
      <c r="I101">
        <v>1327.9342041</v>
      </c>
      <c r="J101">
        <v>1326.9844971</v>
      </c>
      <c r="K101">
        <v>550</v>
      </c>
      <c r="L101">
        <v>0</v>
      </c>
      <c r="M101">
        <v>0</v>
      </c>
      <c r="N101">
        <v>550</v>
      </c>
    </row>
    <row r="102" spans="1:14" x14ac:dyDescent="0.25">
      <c r="A102">
        <v>4.238181</v>
      </c>
      <c r="B102" s="1">
        <f>DATE(2010,5,5) + TIME(5,42,58)</f>
        <v>40303.238171296296</v>
      </c>
      <c r="C102">
        <v>80</v>
      </c>
      <c r="D102">
        <v>76.049606323000006</v>
      </c>
      <c r="E102">
        <v>60</v>
      </c>
      <c r="F102">
        <v>14.99988842</v>
      </c>
      <c r="G102">
        <v>1334.2141113</v>
      </c>
      <c r="H102">
        <v>1332.9599608999999</v>
      </c>
      <c r="I102">
        <v>1327.9345702999999</v>
      </c>
      <c r="J102">
        <v>1326.9846190999999</v>
      </c>
      <c r="K102">
        <v>550</v>
      </c>
      <c r="L102">
        <v>0</v>
      </c>
      <c r="M102">
        <v>0</v>
      </c>
      <c r="N102">
        <v>550</v>
      </c>
    </row>
    <row r="103" spans="1:14" x14ac:dyDescent="0.25">
      <c r="A103">
        <v>4.3155710000000003</v>
      </c>
      <c r="B103" s="1">
        <f>DATE(2010,5,5) + TIME(7,34,25)</f>
        <v>40303.315567129626</v>
      </c>
      <c r="C103">
        <v>80</v>
      </c>
      <c r="D103">
        <v>76.348648071</v>
      </c>
      <c r="E103">
        <v>60</v>
      </c>
      <c r="F103">
        <v>14.99988842</v>
      </c>
      <c r="G103">
        <v>1334.2293701000001</v>
      </c>
      <c r="H103">
        <v>1332.9704589999999</v>
      </c>
      <c r="I103">
        <v>1327.9349365</v>
      </c>
      <c r="J103">
        <v>1326.9846190999999</v>
      </c>
      <c r="K103">
        <v>550</v>
      </c>
      <c r="L103">
        <v>0</v>
      </c>
      <c r="M103">
        <v>0</v>
      </c>
      <c r="N103">
        <v>550</v>
      </c>
    </row>
    <row r="104" spans="1:14" x14ac:dyDescent="0.25">
      <c r="A104">
        <v>4.3941929999999996</v>
      </c>
      <c r="B104" s="1">
        <f>DATE(2010,5,5) + TIME(9,27,38)</f>
        <v>40303.394189814811</v>
      </c>
      <c r="C104">
        <v>80</v>
      </c>
      <c r="D104">
        <v>76.629196167000003</v>
      </c>
      <c r="E104">
        <v>60</v>
      </c>
      <c r="F104">
        <v>14.999889374</v>
      </c>
      <c r="G104">
        <v>1334.2413329999999</v>
      </c>
      <c r="H104">
        <v>1332.9783935999999</v>
      </c>
      <c r="I104">
        <v>1327.9353027</v>
      </c>
      <c r="J104">
        <v>1326.9846190999999</v>
      </c>
      <c r="K104">
        <v>550</v>
      </c>
      <c r="L104">
        <v>0</v>
      </c>
      <c r="M104">
        <v>0</v>
      </c>
      <c r="N104">
        <v>550</v>
      </c>
    </row>
    <row r="105" spans="1:14" x14ac:dyDescent="0.25">
      <c r="A105">
        <v>4.4742329999999999</v>
      </c>
      <c r="B105" s="1">
        <f>DATE(2010,5,5) + TIME(11,22,53)</f>
        <v>40303.474224537036</v>
      </c>
      <c r="C105">
        <v>80</v>
      </c>
      <c r="D105">
        <v>76.892387389999996</v>
      </c>
      <c r="E105">
        <v>60</v>
      </c>
      <c r="F105">
        <v>14.999890326999999</v>
      </c>
      <c r="G105">
        <v>1334.2526855000001</v>
      </c>
      <c r="H105">
        <v>1332.9858397999999</v>
      </c>
      <c r="I105">
        <v>1327.9355469</v>
      </c>
      <c r="J105">
        <v>1326.9847411999999</v>
      </c>
      <c r="K105">
        <v>550</v>
      </c>
      <c r="L105">
        <v>0</v>
      </c>
      <c r="M105">
        <v>0</v>
      </c>
      <c r="N105">
        <v>550</v>
      </c>
    </row>
    <row r="106" spans="1:14" x14ac:dyDescent="0.25">
      <c r="A106">
        <v>4.5558639999999997</v>
      </c>
      <c r="B106" s="1">
        <f>DATE(2010,5,5) + TIME(13,20,26)</f>
        <v>40303.555856481478</v>
      </c>
      <c r="C106">
        <v>80</v>
      </c>
      <c r="D106">
        <v>77.139175414999997</v>
      </c>
      <c r="E106">
        <v>60</v>
      </c>
      <c r="F106">
        <v>14.999890326999999</v>
      </c>
      <c r="G106">
        <v>1334.2635498</v>
      </c>
      <c r="H106">
        <v>1332.9929199000001</v>
      </c>
      <c r="I106">
        <v>1327.9359131000001</v>
      </c>
      <c r="J106">
        <v>1326.9847411999999</v>
      </c>
      <c r="K106">
        <v>550</v>
      </c>
      <c r="L106">
        <v>0</v>
      </c>
      <c r="M106">
        <v>0</v>
      </c>
      <c r="N106">
        <v>550</v>
      </c>
    </row>
    <row r="107" spans="1:14" x14ac:dyDescent="0.25">
      <c r="A107">
        <v>4.6392490000000004</v>
      </c>
      <c r="B107" s="1">
        <f>DATE(2010,5,5) + TIME(15,20,31)</f>
        <v>40303.639247685183</v>
      </c>
      <c r="C107">
        <v>80</v>
      </c>
      <c r="D107">
        <v>77.370399474999999</v>
      </c>
      <c r="E107">
        <v>60</v>
      </c>
      <c r="F107">
        <v>14.999891281</v>
      </c>
      <c r="G107">
        <v>1334.2739257999999</v>
      </c>
      <c r="H107">
        <v>1332.9995117000001</v>
      </c>
      <c r="I107">
        <v>1327.9361572</v>
      </c>
      <c r="J107">
        <v>1326.9848632999999</v>
      </c>
      <c r="K107">
        <v>550</v>
      </c>
      <c r="L107">
        <v>0</v>
      </c>
      <c r="M107">
        <v>0</v>
      </c>
      <c r="N107">
        <v>550</v>
      </c>
    </row>
    <row r="108" spans="1:14" x14ac:dyDescent="0.25">
      <c r="A108">
        <v>4.7245509999999999</v>
      </c>
      <c r="B108" s="1">
        <f>DATE(2010,5,5) + TIME(17,23,21)</f>
        <v>40303.724548611113</v>
      </c>
      <c r="C108">
        <v>80</v>
      </c>
      <c r="D108">
        <v>77.586814880000006</v>
      </c>
      <c r="E108">
        <v>60</v>
      </c>
      <c r="F108">
        <v>14.999891281</v>
      </c>
      <c r="G108">
        <v>1334.2836914</v>
      </c>
      <c r="H108">
        <v>1333.0056152</v>
      </c>
      <c r="I108">
        <v>1327.9365233999999</v>
      </c>
      <c r="J108">
        <v>1326.9848632999999</v>
      </c>
      <c r="K108">
        <v>550</v>
      </c>
      <c r="L108">
        <v>0</v>
      </c>
      <c r="M108">
        <v>0</v>
      </c>
      <c r="N108">
        <v>550</v>
      </c>
    </row>
    <row r="109" spans="1:14" x14ac:dyDescent="0.25">
      <c r="A109">
        <v>4.8119610000000002</v>
      </c>
      <c r="B109" s="1">
        <f>DATE(2010,5,5) + TIME(19,29,13)</f>
        <v>40303.811956018515</v>
      </c>
      <c r="C109">
        <v>80</v>
      </c>
      <c r="D109">
        <v>77.789161682</v>
      </c>
      <c r="E109">
        <v>60</v>
      </c>
      <c r="F109">
        <v>14.999892235000001</v>
      </c>
      <c r="G109">
        <v>1334.2930908000001</v>
      </c>
      <c r="H109">
        <v>1333.0113524999999</v>
      </c>
      <c r="I109">
        <v>1327.9367675999999</v>
      </c>
      <c r="J109">
        <v>1326.9849853999999</v>
      </c>
      <c r="K109">
        <v>550</v>
      </c>
      <c r="L109">
        <v>0</v>
      </c>
      <c r="M109">
        <v>0</v>
      </c>
      <c r="N109">
        <v>550</v>
      </c>
    </row>
    <row r="110" spans="1:14" x14ac:dyDescent="0.25">
      <c r="A110">
        <v>4.9016890000000002</v>
      </c>
      <c r="B110" s="1">
        <f>DATE(2010,5,5) + TIME(21,38,25)</f>
        <v>40303.901678240742</v>
      </c>
      <c r="C110">
        <v>80</v>
      </c>
      <c r="D110">
        <v>77.978157042999996</v>
      </c>
      <c r="E110">
        <v>60</v>
      </c>
      <c r="F110">
        <v>14.999892235000001</v>
      </c>
      <c r="G110">
        <v>1334.3020019999999</v>
      </c>
      <c r="H110">
        <v>1333.0167236</v>
      </c>
      <c r="I110">
        <v>1327.9371338000001</v>
      </c>
      <c r="J110">
        <v>1326.9849853999999</v>
      </c>
      <c r="K110">
        <v>550</v>
      </c>
      <c r="L110">
        <v>0</v>
      </c>
      <c r="M110">
        <v>0</v>
      </c>
      <c r="N110">
        <v>550</v>
      </c>
    </row>
    <row r="111" spans="1:14" x14ac:dyDescent="0.25">
      <c r="A111">
        <v>4.9939660000000003</v>
      </c>
      <c r="B111" s="1">
        <f>DATE(2010,5,5) + TIME(23,51,18)</f>
        <v>40303.993958333333</v>
      </c>
      <c r="C111">
        <v>80</v>
      </c>
      <c r="D111">
        <v>78.154472350999995</v>
      </c>
      <c r="E111">
        <v>60</v>
      </c>
      <c r="F111">
        <v>14.999893188</v>
      </c>
      <c r="G111">
        <v>1334.3104248</v>
      </c>
      <c r="H111">
        <v>1333.0217285000001</v>
      </c>
      <c r="I111">
        <v>1327.9373779</v>
      </c>
      <c r="J111">
        <v>1326.9849853999999</v>
      </c>
      <c r="K111">
        <v>550</v>
      </c>
      <c r="L111">
        <v>0</v>
      </c>
      <c r="M111">
        <v>0</v>
      </c>
      <c r="N111">
        <v>550</v>
      </c>
    </row>
    <row r="112" spans="1:14" x14ac:dyDescent="0.25">
      <c r="A112">
        <v>5.0890469999999999</v>
      </c>
      <c r="B112" s="1">
        <f>DATE(2010,5,6) + TIME(2,8,13)</f>
        <v>40304.089039351849</v>
      </c>
      <c r="C112">
        <v>80</v>
      </c>
      <c r="D112">
        <v>78.318725585999999</v>
      </c>
      <c r="E112">
        <v>60</v>
      </c>
      <c r="F112">
        <v>14.999894142</v>
      </c>
      <c r="G112">
        <v>1334.3183594</v>
      </c>
      <c r="H112">
        <v>1333.0262451000001</v>
      </c>
      <c r="I112">
        <v>1327.9377440999999</v>
      </c>
      <c r="J112">
        <v>1326.9851074000001</v>
      </c>
      <c r="K112">
        <v>550</v>
      </c>
      <c r="L112">
        <v>0</v>
      </c>
      <c r="M112">
        <v>0</v>
      </c>
      <c r="N112">
        <v>550</v>
      </c>
    </row>
    <row r="113" spans="1:14" x14ac:dyDescent="0.25">
      <c r="A113">
        <v>5.1872109999999996</v>
      </c>
      <c r="B113" s="1">
        <f>DATE(2010,5,6) + TIME(4,29,35)</f>
        <v>40304.187210648146</v>
      </c>
      <c r="C113">
        <v>80</v>
      </c>
      <c r="D113">
        <v>78.471534728999998</v>
      </c>
      <c r="E113">
        <v>60</v>
      </c>
      <c r="F113">
        <v>14.999894142</v>
      </c>
      <c r="G113">
        <v>1334.3258057</v>
      </c>
      <c r="H113">
        <v>1333.0303954999999</v>
      </c>
      <c r="I113">
        <v>1327.9379882999999</v>
      </c>
      <c r="J113">
        <v>1326.9851074000001</v>
      </c>
      <c r="K113">
        <v>550</v>
      </c>
      <c r="L113">
        <v>0</v>
      </c>
      <c r="M113">
        <v>0</v>
      </c>
      <c r="N113">
        <v>550</v>
      </c>
    </row>
    <row r="114" spans="1:14" x14ac:dyDescent="0.25">
      <c r="A114">
        <v>5.2884349999999998</v>
      </c>
      <c r="B114" s="1">
        <f>DATE(2010,5,6) + TIME(6,55,20)</f>
        <v>40304.288425925923</v>
      </c>
      <c r="C114">
        <v>80</v>
      </c>
      <c r="D114">
        <v>78.613044739000003</v>
      </c>
      <c r="E114">
        <v>60</v>
      </c>
      <c r="F114">
        <v>14.999895095999999</v>
      </c>
      <c r="G114">
        <v>1334.3327637</v>
      </c>
      <c r="H114">
        <v>1333.0341797000001</v>
      </c>
      <c r="I114">
        <v>1327.9383545000001</v>
      </c>
      <c r="J114">
        <v>1326.9852295000001</v>
      </c>
      <c r="K114">
        <v>550</v>
      </c>
      <c r="L114">
        <v>0</v>
      </c>
      <c r="M114">
        <v>0</v>
      </c>
      <c r="N114">
        <v>550</v>
      </c>
    </row>
    <row r="115" spans="1:14" x14ac:dyDescent="0.25">
      <c r="A115">
        <v>5.3924599999999998</v>
      </c>
      <c r="B115" s="1">
        <f>DATE(2010,5,6) + TIME(9,25,8)</f>
        <v>40304.392453703702</v>
      </c>
      <c r="C115">
        <v>80</v>
      </c>
      <c r="D115">
        <v>78.743232727000006</v>
      </c>
      <c r="E115">
        <v>60</v>
      </c>
      <c r="F115">
        <v>14.999895095999999</v>
      </c>
      <c r="G115">
        <v>1334.3392334</v>
      </c>
      <c r="H115">
        <v>1333.0374756000001</v>
      </c>
      <c r="I115">
        <v>1327.9385986</v>
      </c>
      <c r="J115">
        <v>1326.9852295000001</v>
      </c>
      <c r="K115">
        <v>550</v>
      </c>
      <c r="L115">
        <v>0</v>
      </c>
      <c r="M115">
        <v>0</v>
      </c>
      <c r="N115">
        <v>550</v>
      </c>
    </row>
    <row r="116" spans="1:14" x14ac:dyDescent="0.25">
      <c r="A116">
        <v>5.4995760000000002</v>
      </c>
      <c r="B116" s="1">
        <f>DATE(2010,5,6) + TIME(11,59,23)</f>
        <v>40304.499571759261</v>
      </c>
      <c r="C116">
        <v>80</v>
      </c>
      <c r="D116">
        <v>78.862861632999994</v>
      </c>
      <c r="E116">
        <v>60</v>
      </c>
      <c r="F116">
        <v>14.999896049</v>
      </c>
      <c r="G116">
        <v>1334.3449707</v>
      </c>
      <c r="H116">
        <v>1333.0402832</v>
      </c>
      <c r="I116">
        <v>1327.9388428</v>
      </c>
      <c r="J116">
        <v>1326.9853516000001</v>
      </c>
      <c r="K116">
        <v>550</v>
      </c>
      <c r="L116">
        <v>0</v>
      </c>
      <c r="M116">
        <v>0</v>
      </c>
      <c r="N116">
        <v>550</v>
      </c>
    </row>
    <row r="117" spans="1:14" x14ac:dyDescent="0.25">
      <c r="A117">
        <v>5.610087</v>
      </c>
      <c r="B117" s="1">
        <f>DATE(2010,5,6) + TIME(14,38,31)</f>
        <v>40304.610081018516</v>
      </c>
      <c r="C117">
        <v>80</v>
      </c>
      <c r="D117">
        <v>78.972602843999994</v>
      </c>
      <c r="E117">
        <v>60</v>
      </c>
      <c r="F117">
        <v>14.999897002999999</v>
      </c>
      <c r="G117">
        <v>1334.3503418</v>
      </c>
      <c r="H117">
        <v>1333.0427245999999</v>
      </c>
      <c r="I117">
        <v>1327.9392089999999</v>
      </c>
      <c r="J117">
        <v>1326.9853516000001</v>
      </c>
      <c r="K117">
        <v>550</v>
      </c>
      <c r="L117">
        <v>0</v>
      </c>
      <c r="M117">
        <v>0</v>
      </c>
      <c r="N117">
        <v>550</v>
      </c>
    </row>
    <row r="118" spans="1:14" x14ac:dyDescent="0.25">
      <c r="A118">
        <v>5.7243269999999997</v>
      </c>
      <c r="B118" s="1">
        <f>DATE(2010,5,6) + TIME(17,23,1)</f>
        <v>40304.724317129629</v>
      </c>
      <c r="C118">
        <v>80</v>
      </c>
      <c r="D118">
        <v>79.073097228999998</v>
      </c>
      <c r="E118">
        <v>60</v>
      </c>
      <c r="F118">
        <v>14.999897002999999</v>
      </c>
      <c r="G118">
        <v>1334.3551024999999</v>
      </c>
      <c r="H118">
        <v>1333.0447998</v>
      </c>
      <c r="I118">
        <v>1327.9394531</v>
      </c>
      <c r="J118">
        <v>1326.9854736</v>
      </c>
      <c r="K118">
        <v>550</v>
      </c>
      <c r="L118">
        <v>0</v>
      </c>
      <c r="M118">
        <v>0</v>
      </c>
      <c r="N118">
        <v>550</v>
      </c>
    </row>
    <row r="119" spans="1:14" x14ac:dyDescent="0.25">
      <c r="A119">
        <v>5.84267</v>
      </c>
      <c r="B119" s="1">
        <f>DATE(2010,5,6) + TIME(20,13,26)</f>
        <v>40304.842662037037</v>
      </c>
      <c r="C119">
        <v>80</v>
      </c>
      <c r="D119">
        <v>79.164955139</v>
      </c>
      <c r="E119">
        <v>60</v>
      </c>
      <c r="F119">
        <v>14.999897957</v>
      </c>
      <c r="G119">
        <v>1334.3592529</v>
      </c>
      <c r="H119">
        <v>1333.0463867000001</v>
      </c>
      <c r="I119">
        <v>1327.9398193</v>
      </c>
      <c r="J119">
        <v>1326.9854736</v>
      </c>
      <c r="K119">
        <v>550</v>
      </c>
      <c r="L119">
        <v>0</v>
      </c>
      <c r="M119">
        <v>0</v>
      </c>
      <c r="N119">
        <v>550</v>
      </c>
    </row>
    <row r="120" spans="1:14" x14ac:dyDescent="0.25">
      <c r="A120">
        <v>5.9655399999999998</v>
      </c>
      <c r="B120" s="1">
        <f>DATE(2010,5,6) + TIME(23,10,22)</f>
        <v>40304.965532407405</v>
      </c>
      <c r="C120">
        <v>80</v>
      </c>
      <c r="D120">
        <v>79.248748778999996</v>
      </c>
      <c r="E120">
        <v>60</v>
      </c>
      <c r="F120">
        <v>14.999898911000001</v>
      </c>
      <c r="G120">
        <v>1334.3630370999999</v>
      </c>
      <c r="H120">
        <v>1333.0476074000001</v>
      </c>
      <c r="I120">
        <v>1327.9400635</v>
      </c>
      <c r="J120">
        <v>1326.9855957</v>
      </c>
      <c r="K120">
        <v>550</v>
      </c>
      <c r="L120">
        <v>0</v>
      </c>
      <c r="M120">
        <v>0</v>
      </c>
      <c r="N120">
        <v>550</v>
      </c>
    </row>
    <row r="121" spans="1:14" x14ac:dyDescent="0.25">
      <c r="A121">
        <v>6.0269950000000003</v>
      </c>
      <c r="B121" s="1">
        <f>DATE(2010,5,7) + TIME(0,38,52)</f>
        <v>40305.026990740742</v>
      </c>
      <c r="C121">
        <v>80</v>
      </c>
      <c r="D121">
        <v>79.288047790999997</v>
      </c>
      <c r="E121">
        <v>60</v>
      </c>
      <c r="F121">
        <v>14.999898911000001</v>
      </c>
      <c r="G121">
        <v>1334.3660889</v>
      </c>
      <c r="H121">
        <v>1333.0473632999999</v>
      </c>
      <c r="I121">
        <v>1327.9403076000001</v>
      </c>
      <c r="J121">
        <v>1326.9855957</v>
      </c>
      <c r="K121">
        <v>550</v>
      </c>
      <c r="L121">
        <v>0</v>
      </c>
      <c r="M121">
        <v>0</v>
      </c>
      <c r="N121">
        <v>550</v>
      </c>
    </row>
    <row r="122" spans="1:14" x14ac:dyDescent="0.25">
      <c r="A122">
        <v>6.0884489999999998</v>
      </c>
      <c r="B122" s="1">
        <f>DATE(2010,5,7) + TIME(2,7,22)</f>
        <v>40305.088449074072</v>
      </c>
      <c r="C122">
        <v>80</v>
      </c>
      <c r="D122">
        <v>79.324783324999999</v>
      </c>
      <c r="E122">
        <v>60</v>
      </c>
      <c r="F122">
        <v>14.999898911000001</v>
      </c>
      <c r="G122">
        <v>1334.3658447</v>
      </c>
      <c r="H122">
        <v>1333.0465088000001</v>
      </c>
      <c r="I122">
        <v>1327.9404297000001</v>
      </c>
      <c r="J122">
        <v>1326.9857178</v>
      </c>
      <c r="K122">
        <v>550</v>
      </c>
      <c r="L122">
        <v>0</v>
      </c>
      <c r="M122">
        <v>0</v>
      </c>
      <c r="N122">
        <v>550</v>
      </c>
    </row>
    <row r="123" spans="1:14" x14ac:dyDescent="0.25">
      <c r="A123">
        <v>6.1499040000000003</v>
      </c>
      <c r="B123" s="1">
        <f>DATE(2010,5,7) + TIME(3,35,51)</f>
        <v>40305.149895833332</v>
      </c>
      <c r="C123">
        <v>80</v>
      </c>
      <c r="D123">
        <v>79.359123229999994</v>
      </c>
      <c r="E123">
        <v>60</v>
      </c>
      <c r="F123">
        <v>14.999899864</v>
      </c>
      <c r="G123">
        <v>1334.3656006000001</v>
      </c>
      <c r="H123">
        <v>1333.0455322</v>
      </c>
      <c r="I123">
        <v>1327.9406738</v>
      </c>
      <c r="J123">
        <v>1326.9857178</v>
      </c>
      <c r="K123">
        <v>550</v>
      </c>
      <c r="L123">
        <v>0</v>
      </c>
      <c r="M123">
        <v>0</v>
      </c>
      <c r="N123">
        <v>550</v>
      </c>
    </row>
    <row r="124" spans="1:14" x14ac:dyDescent="0.25">
      <c r="A124">
        <v>6.2113589999999999</v>
      </c>
      <c r="B124" s="1">
        <f>DATE(2010,5,7) + TIME(5,4,21)</f>
        <v>40305.211354166669</v>
      </c>
      <c r="C124">
        <v>80</v>
      </c>
      <c r="D124">
        <v>79.391235351999995</v>
      </c>
      <c r="E124">
        <v>60</v>
      </c>
      <c r="F124">
        <v>14.999899864</v>
      </c>
      <c r="G124">
        <v>1334.3651123</v>
      </c>
      <c r="H124">
        <v>1333.0445557</v>
      </c>
      <c r="I124">
        <v>1327.9407959</v>
      </c>
      <c r="J124">
        <v>1326.9857178</v>
      </c>
      <c r="K124">
        <v>550</v>
      </c>
      <c r="L124">
        <v>0</v>
      </c>
      <c r="M124">
        <v>0</v>
      </c>
      <c r="N124">
        <v>550</v>
      </c>
    </row>
    <row r="125" spans="1:14" x14ac:dyDescent="0.25">
      <c r="A125">
        <v>6.2728130000000002</v>
      </c>
      <c r="B125" s="1">
        <f>DATE(2010,5,7) + TIME(6,32,51)</f>
        <v>40305.272812499999</v>
      </c>
      <c r="C125">
        <v>80</v>
      </c>
      <c r="D125">
        <v>79.421264648000005</v>
      </c>
      <c r="E125">
        <v>60</v>
      </c>
      <c r="F125">
        <v>14.999899864</v>
      </c>
      <c r="G125">
        <v>1334.364624</v>
      </c>
      <c r="H125">
        <v>1333.043457</v>
      </c>
      <c r="I125">
        <v>1327.940918</v>
      </c>
      <c r="J125">
        <v>1326.9858397999999</v>
      </c>
      <c r="K125">
        <v>550</v>
      </c>
      <c r="L125">
        <v>0</v>
      </c>
      <c r="M125">
        <v>0</v>
      </c>
      <c r="N125">
        <v>550</v>
      </c>
    </row>
    <row r="126" spans="1:14" x14ac:dyDescent="0.25">
      <c r="A126">
        <v>6.3342679999999998</v>
      </c>
      <c r="B126" s="1">
        <f>DATE(2010,5,7) + TIME(8,1,20)</f>
        <v>40305.33425925926</v>
      </c>
      <c r="C126">
        <v>80</v>
      </c>
      <c r="D126">
        <v>79.449348450000002</v>
      </c>
      <c r="E126">
        <v>60</v>
      </c>
      <c r="F126">
        <v>14.999900818</v>
      </c>
      <c r="G126">
        <v>1334.3641356999999</v>
      </c>
      <c r="H126">
        <v>1333.0423584</v>
      </c>
      <c r="I126">
        <v>1327.9410399999999</v>
      </c>
      <c r="J126">
        <v>1326.9858397999999</v>
      </c>
      <c r="K126">
        <v>550</v>
      </c>
      <c r="L126">
        <v>0</v>
      </c>
      <c r="M126">
        <v>0</v>
      </c>
      <c r="N126">
        <v>550</v>
      </c>
    </row>
    <row r="127" spans="1:14" x14ac:dyDescent="0.25">
      <c r="A127">
        <v>6.3957230000000003</v>
      </c>
      <c r="B127" s="1">
        <f>DATE(2010,5,7) + TIME(9,29,50)</f>
        <v>40305.39571759259</v>
      </c>
      <c r="C127">
        <v>80</v>
      </c>
      <c r="D127">
        <v>79.475624084000003</v>
      </c>
      <c r="E127">
        <v>60</v>
      </c>
      <c r="F127">
        <v>14.999900818</v>
      </c>
      <c r="G127">
        <v>1334.3635254000001</v>
      </c>
      <c r="H127">
        <v>1333.0412598</v>
      </c>
      <c r="I127">
        <v>1327.9411620999999</v>
      </c>
      <c r="J127">
        <v>1326.9858397999999</v>
      </c>
      <c r="K127">
        <v>550</v>
      </c>
      <c r="L127">
        <v>0</v>
      </c>
      <c r="M127">
        <v>0</v>
      </c>
      <c r="N127">
        <v>550</v>
      </c>
    </row>
    <row r="128" spans="1:14" x14ac:dyDescent="0.25">
      <c r="A128">
        <v>6.4571769999999997</v>
      </c>
      <c r="B128" s="1">
        <f>DATE(2010,5,7) + TIME(10,58,20)</f>
        <v>40305.457175925927</v>
      </c>
      <c r="C128">
        <v>80</v>
      </c>
      <c r="D128">
        <v>79.500213622999993</v>
      </c>
      <c r="E128">
        <v>60</v>
      </c>
      <c r="F128">
        <v>14.999900818</v>
      </c>
      <c r="G128">
        <v>1334.362793</v>
      </c>
      <c r="H128">
        <v>1333.0401611</v>
      </c>
      <c r="I128">
        <v>1327.9412841999999</v>
      </c>
      <c r="J128">
        <v>1326.9859618999999</v>
      </c>
      <c r="K128">
        <v>550</v>
      </c>
      <c r="L128">
        <v>0</v>
      </c>
      <c r="M128">
        <v>0</v>
      </c>
      <c r="N128">
        <v>550</v>
      </c>
    </row>
    <row r="129" spans="1:14" x14ac:dyDescent="0.25">
      <c r="A129">
        <v>6.5186320000000002</v>
      </c>
      <c r="B129" s="1">
        <f>DATE(2010,5,7) + TIME(12,26,49)</f>
        <v>40305.518622685187</v>
      </c>
      <c r="C129">
        <v>80</v>
      </c>
      <c r="D129">
        <v>79.523216247999997</v>
      </c>
      <c r="E129">
        <v>60</v>
      </c>
      <c r="F129">
        <v>14.999900818</v>
      </c>
      <c r="G129">
        <v>1334.3620605000001</v>
      </c>
      <c r="H129">
        <v>1333.0389404</v>
      </c>
      <c r="I129">
        <v>1327.9414062000001</v>
      </c>
      <c r="J129">
        <v>1326.9859618999999</v>
      </c>
      <c r="K129">
        <v>550</v>
      </c>
      <c r="L129">
        <v>0</v>
      </c>
      <c r="M129">
        <v>0</v>
      </c>
      <c r="N129">
        <v>550</v>
      </c>
    </row>
    <row r="130" spans="1:14" x14ac:dyDescent="0.25">
      <c r="A130">
        <v>6.5800869999999998</v>
      </c>
      <c r="B130" s="1">
        <f>DATE(2010,5,7) + TIME(13,55,19)</f>
        <v>40305.580081018517</v>
      </c>
      <c r="C130">
        <v>80</v>
      </c>
      <c r="D130">
        <v>79.544754028</v>
      </c>
      <c r="E130">
        <v>60</v>
      </c>
      <c r="F130">
        <v>14.999901771999999</v>
      </c>
      <c r="G130">
        <v>1334.3612060999999</v>
      </c>
      <c r="H130">
        <v>1333.0377197</v>
      </c>
      <c r="I130">
        <v>1327.9415283000001</v>
      </c>
      <c r="J130">
        <v>1326.9859618999999</v>
      </c>
      <c r="K130">
        <v>550</v>
      </c>
      <c r="L130">
        <v>0</v>
      </c>
      <c r="M130">
        <v>0</v>
      </c>
      <c r="N130">
        <v>550</v>
      </c>
    </row>
    <row r="131" spans="1:14" x14ac:dyDescent="0.25">
      <c r="A131">
        <v>6.7029959999999997</v>
      </c>
      <c r="B131" s="1">
        <f>DATE(2010,5,7) + TIME(16,52,18)</f>
        <v>40305.702986111108</v>
      </c>
      <c r="C131">
        <v>80</v>
      </c>
      <c r="D131">
        <v>79.582618713000002</v>
      </c>
      <c r="E131">
        <v>60</v>
      </c>
      <c r="F131">
        <v>14.999901771999999</v>
      </c>
      <c r="G131">
        <v>1334.3598632999999</v>
      </c>
      <c r="H131">
        <v>1333.0367432</v>
      </c>
      <c r="I131">
        <v>1327.9416504000001</v>
      </c>
      <c r="J131">
        <v>1326.9860839999999</v>
      </c>
      <c r="K131">
        <v>550</v>
      </c>
      <c r="L131">
        <v>0</v>
      </c>
      <c r="M131">
        <v>0</v>
      </c>
      <c r="N131">
        <v>550</v>
      </c>
    </row>
    <row r="132" spans="1:14" x14ac:dyDescent="0.25">
      <c r="A132">
        <v>6.8260019999999999</v>
      </c>
      <c r="B132" s="1">
        <f>DATE(2010,5,7) + TIME(19,49,26)</f>
        <v>40305.825995370367</v>
      </c>
      <c r="C132">
        <v>80</v>
      </c>
      <c r="D132">
        <v>79.616020203000005</v>
      </c>
      <c r="E132">
        <v>60</v>
      </c>
      <c r="F132">
        <v>14.999902725</v>
      </c>
      <c r="G132">
        <v>1334.3579102000001</v>
      </c>
      <c r="H132">
        <v>1333.0341797000001</v>
      </c>
      <c r="I132">
        <v>1327.9418945</v>
      </c>
      <c r="J132">
        <v>1326.9860839999999</v>
      </c>
      <c r="K132">
        <v>550</v>
      </c>
      <c r="L132">
        <v>0</v>
      </c>
      <c r="M132">
        <v>0</v>
      </c>
      <c r="N132">
        <v>550</v>
      </c>
    </row>
    <row r="133" spans="1:14" x14ac:dyDescent="0.25">
      <c r="A133">
        <v>6.9497949999999999</v>
      </c>
      <c r="B133" s="1">
        <f>DATE(2010,5,7) + TIME(22,47,42)</f>
        <v>40305.949791666666</v>
      </c>
      <c r="C133">
        <v>80</v>
      </c>
      <c r="D133">
        <v>79.645652771000002</v>
      </c>
      <c r="E133">
        <v>60</v>
      </c>
      <c r="F133">
        <v>14.999902725</v>
      </c>
      <c r="G133">
        <v>1334.3557129000001</v>
      </c>
      <c r="H133">
        <v>1333.0314940999999</v>
      </c>
      <c r="I133">
        <v>1327.9420166</v>
      </c>
      <c r="J133">
        <v>1326.9862060999999</v>
      </c>
      <c r="K133">
        <v>550</v>
      </c>
      <c r="L133">
        <v>0</v>
      </c>
      <c r="M133">
        <v>0</v>
      </c>
      <c r="N133">
        <v>550</v>
      </c>
    </row>
    <row r="134" spans="1:14" x14ac:dyDescent="0.25">
      <c r="A134">
        <v>7.0745849999999999</v>
      </c>
      <c r="B134" s="1">
        <f>DATE(2010,5,8) + TIME(1,47,24)</f>
        <v>40306.074583333335</v>
      </c>
      <c r="C134">
        <v>80</v>
      </c>
      <c r="D134">
        <v>79.671989440999994</v>
      </c>
      <c r="E134">
        <v>60</v>
      </c>
      <c r="F134">
        <v>14.999903679000001</v>
      </c>
      <c r="G134">
        <v>1334.3532714999999</v>
      </c>
      <c r="H134">
        <v>1333.0288086</v>
      </c>
      <c r="I134">
        <v>1327.9422606999999</v>
      </c>
      <c r="J134">
        <v>1326.9862060999999</v>
      </c>
      <c r="K134">
        <v>550</v>
      </c>
      <c r="L134">
        <v>0</v>
      </c>
      <c r="M134">
        <v>0</v>
      </c>
      <c r="N134">
        <v>550</v>
      </c>
    </row>
    <row r="135" spans="1:14" x14ac:dyDescent="0.25">
      <c r="A135">
        <v>7.2005710000000001</v>
      </c>
      <c r="B135" s="1">
        <f>DATE(2010,5,8) + TIME(4,48,49)</f>
        <v>40306.200567129628</v>
      </c>
      <c r="C135">
        <v>80</v>
      </c>
      <c r="D135">
        <v>79.695426940999994</v>
      </c>
      <c r="E135">
        <v>60</v>
      </c>
      <c r="F135">
        <v>14.999904633</v>
      </c>
      <c r="G135">
        <v>1334.3507079999999</v>
      </c>
      <c r="H135">
        <v>1333.026001</v>
      </c>
      <c r="I135">
        <v>1327.9425048999999</v>
      </c>
      <c r="J135">
        <v>1326.9863281</v>
      </c>
      <c r="K135">
        <v>550</v>
      </c>
      <c r="L135">
        <v>0</v>
      </c>
      <c r="M135">
        <v>0</v>
      </c>
      <c r="N135">
        <v>550</v>
      </c>
    </row>
    <row r="136" spans="1:14" x14ac:dyDescent="0.25">
      <c r="A136">
        <v>7.3279610000000002</v>
      </c>
      <c r="B136" s="1">
        <f>DATE(2010,5,8) + TIME(7,52,15)</f>
        <v>40306.327951388892</v>
      </c>
      <c r="C136">
        <v>80</v>
      </c>
      <c r="D136">
        <v>79.716308593999997</v>
      </c>
      <c r="E136">
        <v>60</v>
      </c>
      <c r="F136">
        <v>14.999904633</v>
      </c>
      <c r="G136">
        <v>1334.3480225000001</v>
      </c>
      <c r="H136">
        <v>1333.0230713000001</v>
      </c>
      <c r="I136">
        <v>1327.942749</v>
      </c>
      <c r="J136">
        <v>1326.9864502</v>
      </c>
      <c r="K136">
        <v>550</v>
      </c>
      <c r="L136">
        <v>0</v>
      </c>
      <c r="M136">
        <v>0</v>
      </c>
      <c r="N136">
        <v>550</v>
      </c>
    </row>
    <row r="137" spans="1:14" x14ac:dyDescent="0.25">
      <c r="A137">
        <v>7.4569619999999999</v>
      </c>
      <c r="B137" s="1">
        <f>DATE(2010,5,8) + TIME(10,58,1)</f>
        <v>40306.456956018519</v>
      </c>
      <c r="C137">
        <v>80</v>
      </c>
      <c r="D137">
        <v>79.734931946000003</v>
      </c>
      <c r="E137">
        <v>60</v>
      </c>
      <c r="F137">
        <v>14.999905586000001</v>
      </c>
      <c r="G137">
        <v>1334.3450928</v>
      </c>
      <c r="H137">
        <v>1333.0201416</v>
      </c>
      <c r="I137">
        <v>1327.9429932</v>
      </c>
      <c r="J137">
        <v>1326.9864502</v>
      </c>
      <c r="K137">
        <v>550</v>
      </c>
      <c r="L137">
        <v>0</v>
      </c>
      <c r="M137">
        <v>0</v>
      </c>
      <c r="N137">
        <v>550</v>
      </c>
    </row>
    <row r="138" spans="1:14" x14ac:dyDescent="0.25">
      <c r="A138">
        <v>7.5877929999999996</v>
      </c>
      <c r="B138" s="1">
        <f>DATE(2010,5,8) + TIME(14,6,25)</f>
        <v>40306.587789351855</v>
      </c>
      <c r="C138">
        <v>80</v>
      </c>
      <c r="D138">
        <v>79.751564025999997</v>
      </c>
      <c r="E138">
        <v>60</v>
      </c>
      <c r="F138">
        <v>14.999905586000001</v>
      </c>
      <c r="G138">
        <v>1334.3420410000001</v>
      </c>
      <c r="H138">
        <v>1333.0172118999999</v>
      </c>
      <c r="I138">
        <v>1327.9432373</v>
      </c>
      <c r="J138">
        <v>1326.9865723</v>
      </c>
      <c r="K138">
        <v>550</v>
      </c>
      <c r="L138">
        <v>0</v>
      </c>
      <c r="M138">
        <v>0</v>
      </c>
      <c r="N138">
        <v>550</v>
      </c>
    </row>
    <row r="139" spans="1:14" x14ac:dyDescent="0.25">
      <c r="A139">
        <v>7.7206780000000004</v>
      </c>
      <c r="B139" s="1">
        <f>DATE(2010,5,8) + TIME(17,17,46)</f>
        <v>40306.720671296294</v>
      </c>
      <c r="C139">
        <v>80</v>
      </c>
      <c r="D139">
        <v>79.766418457</v>
      </c>
      <c r="E139">
        <v>60</v>
      </c>
      <c r="F139">
        <v>14.99990654</v>
      </c>
      <c r="G139">
        <v>1334.3388672000001</v>
      </c>
      <c r="H139">
        <v>1333.0141602000001</v>
      </c>
      <c r="I139">
        <v>1327.9434814000001</v>
      </c>
      <c r="J139">
        <v>1326.9866943</v>
      </c>
      <c r="K139">
        <v>550</v>
      </c>
      <c r="L139">
        <v>0</v>
      </c>
      <c r="M139">
        <v>0</v>
      </c>
      <c r="N139">
        <v>550</v>
      </c>
    </row>
    <row r="140" spans="1:14" x14ac:dyDescent="0.25">
      <c r="A140">
        <v>7.8558529999999998</v>
      </c>
      <c r="B140" s="1">
        <f>DATE(2010,5,8) + TIME(20,32,25)</f>
        <v>40306.855844907404</v>
      </c>
      <c r="C140">
        <v>80</v>
      </c>
      <c r="D140">
        <v>79.779716492000006</v>
      </c>
      <c r="E140">
        <v>60</v>
      </c>
      <c r="F140">
        <v>14.99990654</v>
      </c>
      <c r="G140">
        <v>1334.3354492000001</v>
      </c>
      <c r="H140">
        <v>1333.0111084</v>
      </c>
      <c r="I140">
        <v>1327.9437256000001</v>
      </c>
      <c r="J140">
        <v>1326.9866943</v>
      </c>
      <c r="K140">
        <v>550</v>
      </c>
      <c r="L140">
        <v>0</v>
      </c>
      <c r="M140">
        <v>0</v>
      </c>
      <c r="N140">
        <v>550</v>
      </c>
    </row>
    <row r="141" spans="1:14" x14ac:dyDescent="0.25">
      <c r="A141">
        <v>7.9935679999999998</v>
      </c>
      <c r="B141" s="1">
        <f>DATE(2010,5,8) + TIME(23,50,44)</f>
        <v>40306.993564814817</v>
      </c>
      <c r="C141">
        <v>80</v>
      </c>
      <c r="D141">
        <v>79.791610718000001</v>
      </c>
      <c r="E141">
        <v>60</v>
      </c>
      <c r="F141">
        <v>14.999907494</v>
      </c>
      <c r="G141">
        <v>1334.3320312000001</v>
      </c>
      <c r="H141">
        <v>1333.0079346</v>
      </c>
      <c r="I141">
        <v>1327.9439697</v>
      </c>
      <c r="J141">
        <v>1326.9868164</v>
      </c>
      <c r="K141">
        <v>550</v>
      </c>
      <c r="L141">
        <v>0</v>
      </c>
      <c r="M141">
        <v>0</v>
      </c>
      <c r="N141">
        <v>550</v>
      </c>
    </row>
    <row r="142" spans="1:14" x14ac:dyDescent="0.25">
      <c r="A142">
        <v>8.1341300000000007</v>
      </c>
      <c r="B142" s="1">
        <f>DATE(2010,5,9) + TIME(3,13,8)</f>
        <v>40307.134120370371</v>
      </c>
      <c r="C142">
        <v>80</v>
      </c>
      <c r="D142">
        <v>79.802268982000001</v>
      </c>
      <c r="E142">
        <v>60</v>
      </c>
      <c r="F142">
        <v>14.999907494</v>
      </c>
      <c r="G142">
        <v>1334.3283690999999</v>
      </c>
      <c r="H142">
        <v>1333.0047606999999</v>
      </c>
      <c r="I142">
        <v>1327.9442139</v>
      </c>
      <c r="J142">
        <v>1326.9869385</v>
      </c>
      <c r="K142">
        <v>550</v>
      </c>
      <c r="L142">
        <v>0</v>
      </c>
      <c r="M142">
        <v>0</v>
      </c>
      <c r="N142">
        <v>550</v>
      </c>
    </row>
    <row r="143" spans="1:14" x14ac:dyDescent="0.25">
      <c r="A143">
        <v>8.2778170000000006</v>
      </c>
      <c r="B143" s="1">
        <f>DATE(2010,5,9) + TIME(6,40,3)</f>
        <v>40307.277812499997</v>
      </c>
      <c r="C143">
        <v>80</v>
      </c>
      <c r="D143">
        <v>79.811820983999993</v>
      </c>
      <c r="E143">
        <v>60</v>
      </c>
      <c r="F143">
        <v>14.999908446999999</v>
      </c>
      <c r="G143">
        <v>1334.3245850000001</v>
      </c>
      <c r="H143">
        <v>1333.0014647999999</v>
      </c>
      <c r="I143">
        <v>1327.9444579999999</v>
      </c>
      <c r="J143">
        <v>1326.9869385</v>
      </c>
      <c r="K143">
        <v>550</v>
      </c>
      <c r="L143">
        <v>0</v>
      </c>
      <c r="M143">
        <v>0</v>
      </c>
      <c r="N143">
        <v>550</v>
      </c>
    </row>
    <row r="144" spans="1:14" x14ac:dyDescent="0.25">
      <c r="A144">
        <v>8.4249159999999996</v>
      </c>
      <c r="B144" s="1">
        <f>DATE(2010,5,9) + TIME(10,11,52)</f>
        <v>40307.424907407411</v>
      </c>
      <c r="C144">
        <v>80</v>
      </c>
      <c r="D144">
        <v>79.820388793999996</v>
      </c>
      <c r="E144">
        <v>60</v>
      </c>
      <c r="F144">
        <v>14.999909401</v>
      </c>
      <c r="G144">
        <v>1334.3206786999999</v>
      </c>
      <c r="H144">
        <v>1332.9981689000001</v>
      </c>
      <c r="I144">
        <v>1327.9447021000001</v>
      </c>
      <c r="J144">
        <v>1326.9870605000001</v>
      </c>
      <c r="K144">
        <v>550</v>
      </c>
      <c r="L144">
        <v>0</v>
      </c>
      <c r="M144">
        <v>0</v>
      </c>
      <c r="N144">
        <v>550</v>
      </c>
    </row>
    <row r="145" spans="1:14" x14ac:dyDescent="0.25">
      <c r="A145">
        <v>8.5757670000000008</v>
      </c>
      <c r="B145" s="1">
        <f>DATE(2010,5,9) + TIME(13,49,6)</f>
        <v>40307.57576388889</v>
      </c>
      <c r="C145">
        <v>80</v>
      </c>
      <c r="D145">
        <v>79.828071593999994</v>
      </c>
      <c r="E145">
        <v>60</v>
      </c>
      <c r="F145">
        <v>14.999909401</v>
      </c>
      <c r="G145">
        <v>1334.3166504000001</v>
      </c>
      <c r="H145">
        <v>1332.9948730000001</v>
      </c>
      <c r="I145">
        <v>1327.9449463000001</v>
      </c>
      <c r="J145">
        <v>1326.9871826000001</v>
      </c>
      <c r="K145">
        <v>550</v>
      </c>
      <c r="L145">
        <v>0</v>
      </c>
      <c r="M145">
        <v>0</v>
      </c>
      <c r="N145">
        <v>550</v>
      </c>
    </row>
    <row r="146" spans="1:14" x14ac:dyDescent="0.25">
      <c r="A146">
        <v>8.7307439999999996</v>
      </c>
      <c r="B146" s="1">
        <f>DATE(2010,5,9) + TIME(17,32,16)</f>
        <v>40307.730740740742</v>
      </c>
      <c r="C146">
        <v>80</v>
      </c>
      <c r="D146">
        <v>79.834960937999995</v>
      </c>
      <c r="E146">
        <v>60</v>
      </c>
      <c r="F146">
        <v>14.999910355000001</v>
      </c>
      <c r="G146">
        <v>1334.3123779</v>
      </c>
      <c r="H146">
        <v>1332.9914550999999</v>
      </c>
      <c r="I146">
        <v>1327.9451904</v>
      </c>
      <c r="J146">
        <v>1326.9871826000001</v>
      </c>
      <c r="K146">
        <v>550</v>
      </c>
      <c r="L146">
        <v>0</v>
      </c>
      <c r="M146">
        <v>0</v>
      </c>
      <c r="N146">
        <v>550</v>
      </c>
    </row>
    <row r="147" spans="1:14" x14ac:dyDescent="0.25">
      <c r="A147">
        <v>8.889659</v>
      </c>
      <c r="B147" s="1">
        <f>DATE(2010,5,9) + TIME(21,21,6)</f>
        <v>40307.889652777776</v>
      </c>
      <c r="C147">
        <v>80</v>
      </c>
      <c r="D147">
        <v>79.841117858999993</v>
      </c>
      <c r="E147">
        <v>60</v>
      </c>
      <c r="F147">
        <v>14.999910355000001</v>
      </c>
      <c r="G147">
        <v>1334.3081055</v>
      </c>
      <c r="H147">
        <v>1332.9879149999999</v>
      </c>
      <c r="I147">
        <v>1327.9454346</v>
      </c>
      <c r="J147">
        <v>1326.9873047000001</v>
      </c>
      <c r="K147">
        <v>550</v>
      </c>
      <c r="L147">
        <v>0</v>
      </c>
      <c r="M147">
        <v>0</v>
      </c>
      <c r="N147">
        <v>550</v>
      </c>
    </row>
    <row r="148" spans="1:14" x14ac:dyDescent="0.25">
      <c r="A148">
        <v>9.0528969999999997</v>
      </c>
      <c r="B148" s="1">
        <f>DATE(2010,5,10) + TIME(1,16,10)</f>
        <v>40308.052893518521</v>
      </c>
      <c r="C148">
        <v>80</v>
      </c>
      <c r="D148">
        <v>79.846633910999998</v>
      </c>
      <c r="E148">
        <v>60</v>
      </c>
      <c r="F148">
        <v>14.999911308</v>
      </c>
      <c r="G148">
        <v>1334.3035889</v>
      </c>
      <c r="H148">
        <v>1332.984375</v>
      </c>
      <c r="I148">
        <v>1327.9458007999999</v>
      </c>
      <c r="J148">
        <v>1326.9874268000001</v>
      </c>
      <c r="K148">
        <v>550</v>
      </c>
      <c r="L148">
        <v>0</v>
      </c>
      <c r="M148">
        <v>0</v>
      </c>
      <c r="N148">
        <v>550</v>
      </c>
    </row>
    <row r="149" spans="1:14" x14ac:dyDescent="0.25">
      <c r="A149">
        <v>9.2208850000000009</v>
      </c>
      <c r="B149" s="1">
        <f>DATE(2010,5,10) + TIME(5,18,4)</f>
        <v>40308.220879629633</v>
      </c>
      <c r="C149">
        <v>80</v>
      </c>
      <c r="D149">
        <v>79.851570128999995</v>
      </c>
      <c r="E149">
        <v>60</v>
      </c>
      <c r="F149">
        <v>14.999911308</v>
      </c>
      <c r="G149">
        <v>1334.2989502</v>
      </c>
      <c r="H149">
        <v>1332.9808350000001</v>
      </c>
      <c r="I149">
        <v>1327.9460449000001</v>
      </c>
      <c r="J149">
        <v>1326.9875488</v>
      </c>
      <c r="K149">
        <v>550</v>
      </c>
      <c r="L149">
        <v>0</v>
      </c>
      <c r="M149">
        <v>0</v>
      </c>
      <c r="N149">
        <v>550</v>
      </c>
    </row>
    <row r="150" spans="1:14" x14ac:dyDescent="0.25">
      <c r="A150">
        <v>9.3940979999999996</v>
      </c>
      <c r="B150" s="1">
        <f>DATE(2010,5,10) + TIME(9,27,30)</f>
        <v>40308.394097222219</v>
      </c>
      <c r="C150">
        <v>80</v>
      </c>
      <c r="D150">
        <v>79.855987549000005</v>
      </c>
      <c r="E150">
        <v>60</v>
      </c>
      <c r="F150">
        <v>14.999912262</v>
      </c>
      <c r="G150">
        <v>1334.2941894999999</v>
      </c>
      <c r="H150">
        <v>1332.9771728999999</v>
      </c>
      <c r="I150">
        <v>1327.9462891000001</v>
      </c>
      <c r="J150">
        <v>1326.9876709</v>
      </c>
      <c r="K150">
        <v>550</v>
      </c>
      <c r="L150">
        <v>0</v>
      </c>
      <c r="M150">
        <v>0</v>
      </c>
      <c r="N150">
        <v>550</v>
      </c>
    </row>
    <row r="151" spans="1:14" x14ac:dyDescent="0.25">
      <c r="A151">
        <v>9.5726449999999996</v>
      </c>
      <c r="B151" s="1">
        <f>DATE(2010,5,10) + TIME(13,44,36)</f>
        <v>40308.572638888887</v>
      </c>
      <c r="C151">
        <v>80</v>
      </c>
      <c r="D151">
        <v>79.859931946000003</v>
      </c>
      <c r="E151">
        <v>60</v>
      </c>
      <c r="F151">
        <v>14.999913215999999</v>
      </c>
      <c r="G151">
        <v>1334.2893065999999</v>
      </c>
      <c r="H151">
        <v>1332.9733887</v>
      </c>
      <c r="I151">
        <v>1327.9466553</v>
      </c>
      <c r="J151">
        <v>1326.987793</v>
      </c>
      <c r="K151">
        <v>550</v>
      </c>
      <c r="L151">
        <v>0</v>
      </c>
      <c r="M151">
        <v>0</v>
      </c>
      <c r="N151">
        <v>550</v>
      </c>
    </row>
    <row r="152" spans="1:14" x14ac:dyDescent="0.25">
      <c r="A152">
        <v>9.6632809999999996</v>
      </c>
      <c r="B152" s="1">
        <f>DATE(2010,5,10) + TIME(15,55,7)</f>
        <v>40308.663275462961</v>
      </c>
      <c r="C152">
        <v>80</v>
      </c>
      <c r="D152">
        <v>79.861793517999999</v>
      </c>
      <c r="E152">
        <v>60</v>
      </c>
      <c r="F152">
        <v>14.999913215999999</v>
      </c>
      <c r="G152">
        <v>1334.2843018000001</v>
      </c>
      <c r="H152">
        <v>1332.9693603999999</v>
      </c>
      <c r="I152">
        <v>1327.9468993999999</v>
      </c>
      <c r="J152">
        <v>1326.987793</v>
      </c>
      <c r="K152">
        <v>550</v>
      </c>
      <c r="L152">
        <v>0</v>
      </c>
      <c r="M152">
        <v>0</v>
      </c>
      <c r="N152">
        <v>550</v>
      </c>
    </row>
    <row r="153" spans="1:14" x14ac:dyDescent="0.25">
      <c r="A153">
        <v>9.7539180000000005</v>
      </c>
      <c r="B153" s="1">
        <f>DATE(2010,5,10) + TIME(18,5,38)</f>
        <v>40308.753912037035</v>
      </c>
      <c r="C153">
        <v>80</v>
      </c>
      <c r="D153">
        <v>79.863510132000002</v>
      </c>
      <c r="E153">
        <v>60</v>
      </c>
      <c r="F153">
        <v>14.999913215999999</v>
      </c>
      <c r="G153">
        <v>1334.2817382999999</v>
      </c>
      <c r="H153">
        <v>1332.9675293</v>
      </c>
      <c r="I153">
        <v>1327.9471435999999</v>
      </c>
      <c r="J153">
        <v>1326.9879149999999</v>
      </c>
      <c r="K153">
        <v>550</v>
      </c>
      <c r="L153">
        <v>0</v>
      </c>
      <c r="M153">
        <v>0</v>
      </c>
      <c r="N153">
        <v>550</v>
      </c>
    </row>
    <row r="154" spans="1:14" x14ac:dyDescent="0.25">
      <c r="A154">
        <v>9.8445540000000005</v>
      </c>
      <c r="B154" s="1">
        <f>DATE(2010,5,10) + TIME(20,16,9)</f>
        <v>40308.844548611109</v>
      </c>
      <c r="C154">
        <v>80</v>
      </c>
      <c r="D154">
        <v>79.865112304999997</v>
      </c>
      <c r="E154">
        <v>60</v>
      </c>
      <c r="F154">
        <v>14.999914169</v>
      </c>
      <c r="G154">
        <v>1334.2791748</v>
      </c>
      <c r="H154">
        <v>1332.9655762</v>
      </c>
      <c r="I154">
        <v>1327.9472656</v>
      </c>
      <c r="J154">
        <v>1326.9879149999999</v>
      </c>
      <c r="K154">
        <v>550</v>
      </c>
      <c r="L154">
        <v>0</v>
      </c>
      <c r="M154">
        <v>0</v>
      </c>
      <c r="N154">
        <v>550</v>
      </c>
    </row>
    <row r="155" spans="1:14" x14ac:dyDescent="0.25">
      <c r="A155">
        <v>9.9351909999999997</v>
      </c>
      <c r="B155" s="1">
        <f>DATE(2010,5,10) + TIME(22,26,40)</f>
        <v>40308.935185185182</v>
      </c>
      <c r="C155">
        <v>80</v>
      </c>
      <c r="D155">
        <v>79.866607665999993</v>
      </c>
      <c r="E155">
        <v>60</v>
      </c>
      <c r="F155">
        <v>14.999914169</v>
      </c>
      <c r="G155">
        <v>1334.2766113</v>
      </c>
      <c r="H155">
        <v>1332.9637451000001</v>
      </c>
      <c r="I155">
        <v>1327.9473877</v>
      </c>
      <c r="J155">
        <v>1326.9880370999999</v>
      </c>
      <c r="K155">
        <v>550</v>
      </c>
      <c r="L155">
        <v>0</v>
      </c>
      <c r="M155">
        <v>0</v>
      </c>
      <c r="N155">
        <v>550</v>
      </c>
    </row>
    <row r="156" spans="1:14" x14ac:dyDescent="0.25">
      <c r="A156">
        <v>10.025827</v>
      </c>
      <c r="B156" s="1">
        <f>DATE(2010,5,11) + TIME(0,37,11)</f>
        <v>40309.025821759256</v>
      </c>
      <c r="C156">
        <v>80</v>
      </c>
      <c r="D156">
        <v>79.867988585999996</v>
      </c>
      <c r="E156">
        <v>60</v>
      </c>
      <c r="F156">
        <v>14.999914169</v>
      </c>
      <c r="G156">
        <v>1334.2740478999999</v>
      </c>
      <c r="H156">
        <v>1332.9617920000001</v>
      </c>
      <c r="I156">
        <v>1327.9475098</v>
      </c>
      <c r="J156">
        <v>1326.9880370999999</v>
      </c>
      <c r="K156">
        <v>550</v>
      </c>
      <c r="L156">
        <v>0</v>
      </c>
      <c r="M156">
        <v>0</v>
      </c>
      <c r="N156">
        <v>550</v>
      </c>
    </row>
    <row r="157" spans="1:14" x14ac:dyDescent="0.25">
      <c r="A157">
        <v>10.116464000000001</v>
      </c>
      <c r="B157" s="1">
        <f>DATE(2010,5,11) + TIME(2,47,42)</f>
        <v>40309.11645833333</v>
      </c>
      <c r="C157">
        <v>80</v>
      </c>
      <c r="D157">
        <v>79.869277953999998</v>
      </c>
      <c r="E157">
        <v>60</v>
      </c>
      <c r="F157">
        <v>14.999914169</v>
      </c>
      <c r="G157">
        <v>1334.2716064000001</v>
      </c>
      <c r="H157">
        <v>1332.9599608999999</v>
      </c>
      <c r="I157">
        <v>1327.9477539</v>
      </c>
      <c r="J157">
        <v>1326.9881591999999</v>
      </c>
      <c r="K157">
        <v>550</v>
      </c>
      <c r="L157">
        <v>0</v>
      </c>
      <c r="M157">
        <v>0</v>
      </c>
      <c r="N157">
        <v>550</v>
      </c>
    </row>
    <row r="158" spans="1:14" x14ac:dyDescent="0.25">
      <c r="A158">
        <v>10.207100000000001</v>
      </c>
      <c r="B158" s="1">
        <f>DATE(2010,5,11) + TIME(4,58,13)</f>
        <v>40309.207094907404</v>
      </c>
      <c r="C158">
        <v>80</v>
      </c>
      <c r="D158">
        <v>79.870483398000005</v>
      </c>
      <c r="E158">
        <v>60</v>
      </c>
      <c r="F158">
        <v>14.999915122999999</v>
      </c>
      <c r="G158">
        <v>1334.269043</v>
      </c>
      <c r="H158">
        <v>1332.9581298999999</v>
      </c>
      <c r="I158">
        <v>1327.947876</v>
      </c>
      <c r="J158">
        <v>1326.9881591999999</v>
      </c>
      <c r="K158">
        <v>550</v>
      </c>
      <c r="L158">
        <v>0</v>
      </c>
      <c r="M158">
        <v>0</v>
      </c>
      <c r="N158">
        <v>550</v>
      </c>
    </row>
    <row r="159" spans="1:14" x14ac:dyDescent="0.25">
      <c r="A159">
        <v>10.297737</v>
      </c>
      <c r="B159" s="1">
        <f>DATE(2010,5,11) + TIME(7,8,44)</f>
        <v>40309.297731481478</v>
      </c>
      <c r="C159">
        <v>80</v>
      </c>
      <c r="D159">
        <v>79.871604919000006</v>
      </c>
      <c r="E159">
        <v>60</v>
      </c>
      <c r="F159">
        <v>14.999915122999999</v>
      </c>
      <c r="G159">
        <v>1334.2666016000001</v>
      </c>
      <c r="H159">
        <v>1332.9562988</v>
      </c>
      <c r="I159">
        <v>1327.9479980000001</v>
      </c>
      <c r="J159">
        <v>1326.9881591999999</v>
      </c>
      <c r="K159">
        <v>550</v>
      </c>
      <c r="L159">
        <v>0</v>
      </c>
      <c r="M159">
        <v>0</v>
      </c>
      <c r="N159">
        <v>550</v>
      </c>
    </row>
    <row r="160" spans="1:14" x14ac:dyDescent="0.25">
      <c r="A160">
        <v>10.388373</v>
      </c>
      <c r="B160" s="1">
        <f>DATE(2010,5,11) + TIME(9,19,15)</f>
        <v>40309.388368055559</v>
      </c>
      <c r="C160">
        <v>80</v>
      </c>
      <c r="D160">
        <v>79.872650145999998</v>
      </c>
      <c r="E160">
        <v>60</v>
      </c>
      <c r="F160">
        <v>14.999915122999999</v>
      </c>
      <c r="G160">
        <v>1334.2640381000001</v>
      </c>
      <c r="H160">
        <v>1332.9544678</v>
      </c>
      <c r="I160">
        <v>1327.9481201000001</v>
      </c>
      <c r="J160">
        <v>1326.9882812000001</v>
      </c>
      <c r="K160">
        <v>550</v>
      </c>
      <c r="L160">
        <v>0</v>
      </c>
      <c r="M160">
        <v>0</v>
      </c>
      <c r="N160">
        <v>550</v>
      </c>
    </row>
    <row r="161" spans="1:14" x14ac:dyDescent="0.25">
      <c r="A161">
        <v>10.479010000000001</v>
      </c>
      <c r="B161" s="1">
        <f>DATE(2010,5,11) + TIME(11,29,46)</f>
        <v>40309.479004629633</v>
      </c>
      <c r="C161">
        <v>80</v>
      </c>
      <c r="D161">
        <v>79.873626709000007</v>
      </c>
      <c r="E161">
        <v>60</v>
      </c>
      <c r="F161">
        <v>14.999916077</v>
      </c>
      <c r="G161">
        <v>1334.2615966999999</v>
      </c>
      <c r="H161">
        <v>1332.9526367000001</v>
      </c>
      <c r="I161">
        <v>1327.9483643000001</v>
      </c>
      <c r="J161">
        <v>1326.9882812000001</v>
      </c>
      <c r="K161">
        <v>550</v>
      </c>
      <c r="L161">
        <v>0</v>
      </c>
      <c r="M161">
        <v>0</v>
      </c>
      <c r="N161">
        <v>550</v>
      </c>
    </row>
    <row r="162" spans="1:14" x14ac:dyDescent="0.25">
      <c r="A162">
        <v>10.569646000000001</v>
      </c>
      <c r="B162" s="1">
        <f>DATE(2010,5,11) + TIME(13,40,17)</f>
        <v>40309.569641203707</v>
      </c>
      <c r="C162">
        <v>80</v>
      </c>
      <c r="D162">
        <v>79.874542235999996</v>
      </c>
      <c r="E162">
        <v>60</v>
      </c>
      <c r="F162">
        <v>14.999916077</v>
      </c>
      <c r="G162">
        <v>1334.2590332</v>
      </c>
      <c r="H162">
        <v>1332.9506836</v>
      </c>
      <c r="I162">
        <v>1327.9484863</v>
      </c>
      <c r="J162">
        <v>1326.9884033000001</v>
      </c>
      <c r="K162">
        <v>550</v>
      </c>
      <c r="L162">
        <v>0</v>
      </c>
      <c r="M162">
        <v>0</v>
      </c>
      <c r="N162">
        <v>550</v>
      </c>
    </row>
    <row r="163" spans="1:14" x14ac:dyDescent="0.25">
      <c r="A163">
        <v>10.660283</v>
      </c>
      <c r="B163" s="1">
        <f>DATE(2010,5,11) + TIME(15,50,48)</f>
        <v>40309.660277777781</v>
      </c>
      <c r="C163">
        <v>80</v>
      </c>
      <c r="D163">
        <v>79.875396729000002</v>
      </c>
      <c r="E163">
        <v>60</v>
      </c>
      <c r="F163">
        <v>14.999916077</v>
      </c>
      <c r="G163">
        <v>1334.2565918</v>
      </c>
      <c r="H163">
        <v>1332.9488524999999</v>
      </c>
      <c r="I163">
        <v>1327.9486084</v>
      </c>
      <c r="J163">
        <v>1326.9884033000001</v>
      </c>
      <c r="K163">
        <v>550</v>
      </c>
      <c r="L163">
        <v>0</v>
      </c>
      <c r="M163">
        <v>0</v>
      </c>
      <c r="N163">
        <v>550</v>
      </c>
    </row>
    <row r="164" spans="1:14" x14ac:dyDescent="0.25">
      <c r="A164">
        <v>10.750920000000001</v>
      </c>
      <c r="B164" s="1">
        <f>DATE(2010,5,11) + TIME(18,1,19)</f>
        <v>40309.750914351855</v>
      </c>
      <c r="C164">
        <v>80</v>
      </c>
      <c r="D164">
        <v>79.876190186000002</v>
      </c>
      <c r="E164">
        <v>60</v>
      </c>
      <c r="F164">
        <v>14.999916077</v>
      </c>
      <c r="G164">
        <v>1334.2541504000001</v>
      </c>
      <c r="H164">
        <v>1332.9471435999999</v>
      </c>
      <c r="I164">
        <v>1327.9487305</v>
      </c>
      <c r="J164">
        <v>1326.9885254000001</v>
      </c>
      <c r="K164">
        <v>550</v>
      </c>
      <c r="L164">
        <v>0</v>
      </c>
      <c r="M164">
        <v>0</v>
      </c>
      <c r="N164">
        <v>550</v>
      </c>
    </row>
    <row r="165" spans="1:14" x14ac:dyDescent="0.25">
      <c r="A165">
        <v>10.932193</v>
      </c>
      <c r="B165" s="1">
        <f>DATE(2010,5,11) + TIME(22,22,21)</f>
        <v>40309.932187500002</v>
      </c>
      <c r="C165">
        <v>80</v>
      </c>
      <c r="D165">
        <v>79.877609253000003</v>
      </c>
      <c r="E165">
        <v>60</v>
      </c>
      <c r="F165">
        <v>14.999917030000001</v>
      </c>
      <c r="G165">
        <v>1334.2517089999999</v>
      </c>
      <c r="H165">
        <v>1332.9454346</v>
      </c>
      <c r="I165">
        <v>1327.9489745999999</v>
      </c>
      <c r="J165">
        <v>1326.9885254000001</v>
      </c>
      <c r="K165">
        <v>550</v>
      </c>
      <c r="L165">
        <v>0</v>
      </c>
      <c r="M165">
        <v>0</v>
      </c>
      <c r="N165">
        <v>550</v>
      </c>
    </row>
    <row r="166" spans="1:14" x14ac:dyDescent="0.25">
      <c r="A166">
        <v>11.113524</v>
      </c>
      <c r="B166" s="1">
        <f>DATE(2010,5,12) + TIME(2,43,28)</f>
        <v>40310.113518518519</v>
      </c>
      <c r="C166">
        <v>80</v>
      </c>
      <c r="D166">
        <v>79.878868103000002</v>
      </c>
      <c r="E166">
        <v>60</v>
      </c>
      <c r="F166">
        <v>14.999917030000001</v>
      </c>
      <c r="G166">
        <v>1334.2468262</v>
      </c>
      <c r="H166">
        <v>1332.9420166</v>
      </c>
      <c r="I166">
        <v>1327.9492187999999</v>
      </c>
      <c r="J166">
        <v>1326.9886475000001</v>
      </c>
      <c r="K166">
        <v>550</v>
      </c>
      <c r="L166">
        <v>0</v>
      </c>
      <c r="M166">
        <v>0</v>
      </c>
      <c r="N166">
        <v>550</v>
      </c>
    </row>
    <row r="167" spans="1:14" x14ac:dyDescent="0.25">
      <c r="A167">
        <v>11.296381</v>
      </c>
      <c r="B167" s="1">
        <f>DATE(2010,5,12) + TIME(7,6,47)</f>
        <v>40310.296377314815</v>
      </c>
      <c r="C167">
        <v>80</v>
      </c>
      <c r="D167">
        <v>79.879981994999994</v>
      </c>
      <c r="E167">
        <v>60</v>
      </c>
      <c r="F167">
        <v>14.999917984</v>
      </c>
      <c r="G167">
        <v>1334.2420654</v>
      </c>
      <c r="H167">
        <v>1332.9384766000001</v>
      </c>
      <c r="I167">
        <v>1327.9495850000001</v>
      </c>
      <c r="J167">
        <v>1326.9887695</v>
      </c>
      <c r="K167">
        <v>550</v>
      </c>
      <c r="L167">
        <v>0</v>
      </c>
      <c r="M167">
        <v>0</v>
      </c>
      <c r="N167">
        <v>550</v>
      </c>
    </row>
    <row r="168" spans="1:14" x14ac:dyDescent="0.25">
      <c r="A168">
        <v>11.481081</v>
      </c>
      <c r="B168" s="1">
        <f>DATE(2010,5,12) + TIME(11,32,45)</f>
        <v>40310.481076388889</v>
      </c>
      <c r="C168">
        <v>80</v>
      </c>
      <c r="D168">
        <v>79.880981445000003</v>
      </c>
      <c r="E168">
        <v>60</v>
      </c>
      <c r="F168">
        <v>14.999917984</v>
      </c>
      <c r="G168">
        <v>1334.2371826000001</v>
      </c>
      <c r="H168">
        <v>1332.9350586</v>
      </c>
      <c r="I168">
        <v>1327.9498291</v>
      </c>
      <c r="J168">
        <v>1326.9888916</v>
      </c>
      <c r="K168">
        <v>550</v>
      </c>
      <c r="L168">
        <v>0</v>
      </c>
      <c r="M168">
        <v>0</v>
      </c>
      <c r="N168">
        <v>550</v>
      </c>
    </row>
    <row r="169" spans="1:14" x14ac:dyDescent="0.25">
      <c r="A169">
        <v>11.667954</v>
      </c>
      <c r="B169" s="1">
        <f>DATE(2010,5,12) + TIME(16,1,51)</f>
        <v>40310.667951388888</v>
      </c>
      <c r="C169">
        <v>80</v>
      </c>
      <c r="D169">
        <v>79.881881714000002</v>
      </c>
      <c r="E169">
        <v>60</v>
      </c>
      <c r="F169">
        <v>14.999918938</v>
      </c>
      <c r="G169">
        <v>1334.2322998</v>
      </c>
      <c r="H169">
        <v>1332.9316406</v>
      </c>
      <c r="I169">
        <v>1327.9501952999999</v>
      </c>
      <c r="J169">
        <v>1326.9890137</v>
      </c>
      <c r="K169">
        <v>550</v>
      </c>
      <c r="L169">
        <v>0</v>
      </c>
      <c r="M169">
        <v>0</v>
      </c>
      <c r="N169">
        <v>550</v>
      </c>
    </row>
    <row r="170" spans="1:14" x14ac:dyDescent="0.25">
      <c r="A170">
        <v>11.857339</v>
      </c>
      <c r="B170" s="1">
        <f>DATE(2010,5,12) + TIME(20,34,34)</f>
        <v>40310.85733796296</v>
      </c>
      <c r="C170">
        <v>80</v>
      </c>
      <c r="D170">
        <v>79.882682799999998</v>
      </c>
      <c r="E170">
        <v>60</v>
      </c>
      <c r="F170">
        <v>14.999919890999999</v>
      </c>
      <c r="G170">
        <v>1334.2275391000001</v>
      </c>
      <c r="H170">
        <v>1332.9282227000001</v>
      </c>
      <c r="I170">
        <v>1327.9504394999999</v>
      </c>
      <c r="J170">
        <v>1326.9891356999999</v>
      </c>
      <c r="K170">
        <v>550</v>
      </c>
      <c r="L170">
        <v>0</v>
      </c>
      <c r="M170">
        <v>0</v>
      </c>
      <c r="N170">
        <v>550</v>
      </c>
    </row>
    <row r="171" spans="1:14" x14ac:dyDescent="0.25">
      <c r="A171">
        <v>12.049588999999999</v>
      </c>
      <c r="B171" s="1">
        <f>DATE(2010,5,13) + TIME(1,11,24)</f>
        <v>40311.049583333333</v>
      </c>
      <c r="C171">
        <v>80</v>
      </c>
      <c r="D171">
        <v>79.883399963000002</v>
      </c>
      <c r="E171">
        <v>60</v>
      </c>
      <c r="F171">
        <v>14.999919890999999</v>
      </c>
      <c r="G171">
        <v>1334.2226562000001</v>
      </c>
      <c r="H171">
        <v>1332.9249268000001</v>
      </c>
      <c r="I171">
        <v>1327.9508057</v>
      </c>
      <c r="J171">
        <v>1326.9892577999999</v>
      </c>
      <c r="K171">
        <v>550</v>
      </c>
      <c r="L171">
        <v>0</v>
      </c>
      <c r="M171">
        <v>0</v>
      </c>
      <c r="N171">
        <v>550</v>
      </c>
    </row>
    <row r="172" spans="1:14" x14ac:dyDescent="0.25">
      <c r="A172">
        <v>12.245074000000001</v>
      </c>
      <c r="B172" s="1">
        <f>DATE(2010,5,13) + TIME(5,52,54)</f>
        <v>40311.245069444441</v>
      </c>
      <c r="C172">
        <v>80</v>
      </c>
      <c r="D172">
        <v>79.884048461999996</v>
      </c>
      <c r="E172">
        <v>60</v>
      </c>
      <c r="F172">
        <v>14.999920845</v>
      </c>
      <c r="G172">
        <v>1334.2177733999999</v>
      </c>
      <c r="H172">
        <v>1332.9216309000001</v>
      </c>
      <c r="I172">
        <v>1327.9511719</v>
      </c>
      <c r="J172">
        <v>1326.9893798999999</v>
      </c>
      <c r="K172">
        <v>550</v>
      </c>
      <c r="L172">
        <v>0</v>
      </c>
      <c r="M172">
        <v>0</v>
      </c>
      <c r="N172">
        <v>550</v>
      </c>
    </row>
    <row r="173" spans="1:14" x14ac:dyDescent="0.25">
      <c r="A173">
        <v>12.444189</v>
      </c>
      <c r="B173" s="1">
        <f>DATE(2010,5,13) + TIME(10,39,37)</f>
        <v>40311.444178240738</v>
      </c>
      <c r="C173">
        <v>80</v>
      </c>
      <c r="D173">
        <v>79.884628296000002</v>
      </c>
      <c r="E173">
        <v>60</v>
      </c>
      <c r="F173">
        <v>14.999920845</v>
      </c>
      <c r="G173">
        <v>1334.2128906</v>
      </c>
      <c r="H173">
        <v>1332.9183350000001</v>
      </c>
      <c r="I173">
        <v>1327.9514160000001</v>
      </c>
      <c r="J173">
        <v>1326.9893798999999</v>
      </c>
      <c r="K173">
        <v>550</v>
      </c>
      <c r="L173">
        <v>0</v>
      </c>
      <c r="M173">
        <v>0</v>
      </c>
      <c r="N173">
        <v>550</v>
      </c>
    </row>
    <row r="174" spans="1:14" x14ac:dyDescent="0.25">
      <c r="A174">
        <v>12.647404</v>
      </c>
      <c r="B174" s="1">
        <f>DATE(2010,5,13) + TIME(15,32,15)</f>
        <v>40311.64739583333</v>
      </c>
      <c r="C174">
        <v>80</v>
      </c>
      <c r="D174">
        <v>79.885154724000003</v>
      </c>
      <c r="E174">
        <v>60</v>
      </c>
      <c r="F174">
        <v>14.999921798999999</v>
      </c>
      <c r="G174">
        <v>1334.2080077999999</v>
      </c>
      <c r="H174">
        <v>1332.9151611</v>
      </c>
      <c r="I174">
        <v>1327.9517822</v>
      </c>
      <c r="J174">
        <v>1326.9895019999999</v>
      </c>
      <c r="K174">
        <v>550</v>
      </c>
      <c r="L174">
        <v>0</v>
      </c>
      <c r="M174">
        <v>0</v>
      </c>
      <c r="N174">
        <v>550</v>
      </c>
    </row>
    <row r="175" spans="1:14" x14ac:dyDescent="0.25">
      <c r="A175">
        <v>12.855162999999999</v>
      </c>
      <c r="B175" s="1">
        <f>DATE(2010,5,13) + TIME(20,31,26)</f>
        <v>40311.855162037034</v>
      </c>
      <c r="C175">
        <v>80</v>
      </c>
      <c r="D175">
        <v>79.885620117000002</v>
      </c>
      <c r="E175">
        <v>60</v>
      </c>
      <c r="F175">
        <v>14.999921798999999</v>
      </c>
      <c r="G175">
        <v>1334.203125</v>
      </c>
      <c r="H175">
        <v>1332.9118652</v>
      </c>
      <c r="I175">
        <v>1327.9521483999999</v>
      </c>
      <c r="J175">
        <v>1326.989624</v>
      </c>
      <c r="K175">
        <v>550</v>
      </c>
      <c r="L175">
        <v>0</v>
      </c>
      <c r="M175">
        <v>0</v>
      </c>
      <c r="N175">
        <v>550</v>
      </c>
    </row>
    <row r="176" spans="1:14" x14ac:dyDescent="0.25">
      <c r="A176">
        <v>13.067919</v>
      </c>
      <c r="B176" s="1">
        <f>DATE(2010,5,14) + TIME(1,37,48)</f>
        <v>40312.067916666667</v>
      </c>
      <c r="C176">
        <v>80</v>
      </c>
      <c r="D176">
        <v>79.886039733999993</v>
      </c>
      <c r="E176">
        <v>60</v>
      </c>
      <c r="F176">
        <v>14.999922752</v>
      </c>
      <c r="G176">
        <v>1334.1981201000001</v>
      </c>
      <c r="H176">
        <v>1332.9086914</v>
      </c>
      <c r="I176">
        <v>1327.9525146000001</v>
      </c>
      <c r="J176">
        <v>1326.9898682</v>
      </c>
      <c r="K176">
        <v>550</v>
      </c>
      <c r="L176">
        <v>0</v>
      </c>
      <c r="M176">
        <v>0</v>
      </c>
      <c r="N176">
        <v>550</v>
      </c>
    </row>
    <row r="177" spans="1:14" x14ac:dyDescent="0.25">
      <c r="A177">
        <v>13.285482999999999</v>
      </c>
      <c r="B177" s="1">
        <f>DATE(2010,5,14) + TIME(6,51,5)</f>
        <v>40312.285474537035</v>
      </c>
      <c r="C177">
        <v>80</v>
      </c>
      <c r="D177">
        <v>79.886413574000002</v>
      </c>
      <c r="E177">
        <v>60</v>
      </c>
      <c r="F177">
        <v>14.999922752</v>
      </c>
      <c r="G177">
        <v>1334.1931152</v>
      </c>
      <c r="H177">
        <v>1332.9053954999999</v>
      </c>
      <c r="I177">
        <v>1327.9528809000001</v>
      </c>
      <c r="J177">
        <v>1326.9899902</v>
      </c>
      <c r="K177">
        <v>550</v>
      </c>
      <c r="L177">
        <v>0</v>
      </c>
      <c r="M177">
        <v>0</v>
      </c>
      <c r="N177">
        <v>550</v>
      </c>
    </row>
    <row r="178" spans="1:14" x14ac:dyDescent="0.25">
      <c r="A178">
        <v>13.507637000000001</v>
      </c>
      <c r="B178" s="1">
        <f>DATE(2010,5,14) + TIME(12,10,59)</f>
        <v>40312.507627314815</v>
      </c>
      <c r="C178">
        <v>80</v>
      </c>
      <c r="D178">
        <v>79.886749268000003</v>
      </c>
      <c r="E178">
        <v>60</v>
      </c>
      <c r="F178">
        <v>14.999923706000001</v>
      </c>
      <c r="G178">
        <v>1334.1879882999999</v>
      </c>
      <c r="H178">
        <v>1332.9022216999999</v>
      </c>
      <c r="I178">
        <v>1327.9532471</v>
      </c>
      <c r="J178">
        <v>1326.9901123</v>
      </c>
      <c r="K178">
        <v>550</v>
      </c>
      <c r="L178">
        <v>0</v>
      </c>
      <c r="M178">
        <v>0</v>
      </c>
      <c r="N178">
        <v>550</v>
      </c>
    </row>
    <row r="179" spans="1:14" x14ac:dyDescent="0.25">
      <c r="A179">
        <v>13.734876</v>
      </c>
      <c r="B179" s="1">
        <f>DATE(2010,5,14) + TIME(17,38,13)</f>
        <v>40312.734872685185</v>
      </c>
      <c r="C179">
        <v>80</v>
      </c>
      <c r="D179">
        <v>79.887039185000006</v>
      </c>
      <c r="E179">
        <v>60</v>
      </c>
      <c r="F179">
        <v>14.999923706000001</v>
      </c>
      <c r="G179">
        <v>1334.1829834</v>
      </c>
      <c r="H179">
        <v>1332.8990478999999</v>
      </c>
      <c r="I179">
        <v>1327.9536132999999</v>
      </c>
      <c r="J179">
        <v>1326.9902344</v>
      </c>
      <c r="K179">
        <v>550</v>
      </c>
      <c r="L179">
        <v>0</v>
      </c>
      <c r="M179">
        <v>0</v>
      </c>
      <c r="N179">
        <v>550</v>
      </c>
    </row>
    <row r="180" spans="1:14" x14ac:dyDescent="0.25">
      <c r="A180">
        <v>13.967724</v>
      </c>
      <c r="B180" s="1">
        <f>DATE(2010,5,14) + TIME(23,13,31)</f>
        <v>40312.967719907407</v>
      </c>
      <c r="C180">
        <v>80</v>
      </c>
      <c r="D180">
        <v>79.887298584000007</v>
      </c>
      <c r="E180">
        <v>60</v>
      </c>
      <c r="F180">
        <v>14.99992466</v>
      </c>
      <c r="G180">
        <v>1334.1777344</v>
      </c>
      <c r="H180">
        <v>1332.8957519999999</v>
      </c>
      <c r="I180">
        <v>1327.9539795000001</v>
      </c>
      <c r="J180">
        <v>1326.9903564000001</v>
      </c>
      <c r="K180">
        <v>550</v>
      </c>
      <c r="L180">
        <v>0</v>
      </c>
      <c r="M180">
        <v>0</v>
      </c>
      <c r="N180">
        <v>550</v>
      </c>
    </row>
    <row r="181" spans="1:14" x14ac:dyDescent="0.25">
      <c r="A181">
        <v>14.086466</v>
      </c>
      <c r="B181" s="1">
        <f>DATE(2010,5,15) + TIME(2,4,30)</f>
        <v>40313.086458333331</v>
      </c>
      <c r="C181">
        <v>80</v>
      </c>
      <c r="D181">
        <v>79.887405396000005</v>
      </c>
      <c r="E181">
        <v>60</v>
      </c>
      <c r="F181">
        <v>14.99992466</v>
      </c>
      <c r="G181">
        <v>1334.1726074000001</v>
      </c>
      <c r="H181">
        <v>1332.8923339999999</v>
      </c>
      <c r="I181">
        <v>1327.9544678</v>
      </c>
      <c r="J181">
        <v>1326.9904785000001</v>
      </c>
      <c r="K181">
        <v>550</v>
      </c>
      <c r="L181">
        <v>0</v>
      </c>
      <c r="M181">
        <v>0</v>
      </c>
      <c r="N181">
        <v>550</v>
      </c>
    </row>
    <row r="182" spans="1:14" x14ac:dyDescent="0.25">
      <c r="A182">
        <v>14.205208000000001</v>
      </c>
      <c r="B182" s="1">
        <f>DATE(2010,5,15) + TIME(4,55,29)</f>
        <v>40313.205196759256</v>
      </c>
      <c r="C182">
        <v>80</v>
      </c>
      <c r="D182">
        <v>79.887512207</v>
      </c>
      <c r="E182">
        <v>60</v>
      </c>
      <c r="F182">
        <v>14.99992466</v>
      </c>
      <c r="G182">
        <v>1334.1699219</v>
      </c>
      <c r="H182">
        <v>1332.8907471</v>
      </c>
      <c r="I182">
        <v>1327.9545897999999</v>
      </c>
      <c r="J182">
        <v>1326.9906006000001</v>
      </c>
      <c r="K182">
        <v>550</v>
      </c>
      <c r="L182">
        <v>0</v>
      </c>
      <c r="M182">
        <v>0</v>
      </c>
      <c r="N182">
        <v>550</v>
      </c>
    </row>
    <row r="183" spans="1:14" x14ac:dyDescent="0.25">
      <c r="A183">
        <v>14.32395</v>
      </c>
      <c r="B183" s="1">
        <f>DATE(2010,5,15) + TIME(7,46,29)</f>
        <v>40313.323946759258</v>
      </c>
      <c r="C183">
        <v>80</v>
      </c>
      <c r="D183">
        <v>79.887603760000005</v>
      </c>
      <c r="E183">
        <v>60</v>
      </c>
      <c r="F183">
        <v>14.999925613</v>
      </c>
      <c r="G183">
        <v>1334.1673584</v>
      </c>
      <c r="H183">
        <v>1332.8891602000001</v>
      </c>
      <c r="I183">
        <v>1327.9548339999999</v>
      </c>
      <c r="J183">
        <v>1326.9906006000001</v>
      </c>
      <c r="K183">
        <v>550</v>
      </c>
      <c r="L183">
        <v>0</v>
      </c>
      <c r="M183">
        <v>0</v>
      </c>
      <c r="N183">
        <v>550</v>
      </c>
    </row>
    <row r="184" spans="1:14" x14ac:dyDescent="0.25">
      <c r="A184">
        <v>14.442691999999999</v>
      </c>
      <c r="B184" s="1">
        <f>DATE(2010,5,15) + TIME(10,37,28)</f>
        <v>40313.442685185182</v>
      </c>
      <c r="C184">
        <v>80</v>
      </c>
      <c r="D184">
        <v>79.887687682999996</v>
      </c>
      <c r="E184">
        <v>60</v>
      </c>
      <c r="F184">
        <v>14.999925613</v>
      </c>
      <c r="G184">
        <v>1334.1647949000001</v>
      </c>
      <c r="H184">
        <v>1332.8875731999999</v>
      </c>
      <c r="I184">
        <v>1327.9550781</v>
      </c>
      <c r="J184">
        <v>1326.9907227000001</v>
      </c>
      <c r="K184">
        <v>550</v>
      </c>
      <c r="L184">
        <v>0</v>
      </c>
      <c r="M184">
        <v>0</v>
      </c>
      <c r="N184">
        <v>550</v>
      </c>
    </row>
    <row r="185" spans="1:14" x14ac:dyDescent="0.25">
      <c r="A185">
        <v>14.561434</v>
      </c>
      <c r="B185" s="1">
        <f>DATE(2010,5,15) + TIME(13,28,27)</f>
        <v>40313.561423611114</v>
      </c>
      <c r="C185">
        <v>80</v>
      </c>
      <c r="D185">
        <v>79.887771606000001</v>
      </c>
      <c r="E185">
        <v>60</v>
      </c>
      <c r="F185">
        <v>14.999925613</v>
      </c>
      <c r="G185">
        <v>1334.1622314000001</v>
      </c>
      <c r="H185">
        <v>1332.8859863</v>
      </c>
      <c r="I185">
        <v>1327.9553223</v>
      </c>
      <c r="J185">
        <v>1326.9907227000001</v>
      </c>
      <c r="K185">
        <v>550</v>
      </c>
      <c r="L185">
        <v>0</v>
      </c>
      <c r="M185">
        <v>0</v>
      </c>
      <c r="N185">
        <v>550</v>
      </c>
    </row>
    <row r="186" spans="1:14" x14ac:dyDescent="0.25">
      <c r="A186">
        <v>14.680175999999999</v>
      </c>
      <c r="B186" s="1">
        <f>DATE(2010,5,15) + TIME(16,19,27)</f>
        <v>40313.680173611108</v>
      </c>
      <c r="C186">
        <v>80</v>
      </c>
      <c r="D186">
        <v>79.887847899999997</v>
      </c>
      <c r="E186">
        <v>60</v>
      </c>
      <c r="F186">
        <v>14.999926566999999</v>
      </c>
      <c r="G186">
        <v>1334.159668</v>
      </c>
      <c r="H186">
        <v>1332.8843993999999</v>
      </c>
      <c r="I186">
        <v>1327.9554443</v>
      </c>
      <c r="J186">
        <v>1326.9908447</v>
      </c>
      <c r="K186">
        <v>550</v>
      </c>
      <c r="L186">
        <v>0</v>
      </c>
      <c r="M186">
        <v>0</v>
      </c>
      <c r="N186">
        <v>550</v>
      </c>
    </row>
    <row r="187" spans="1:14" x14ac:dyDescent="0.25">
      <c r="A187">
        <v>14.798918</v>
      </c>
      <c r="B187" s="1">
        <f>DATE(2010,5,15) + TIME(19,10,26)</f>
        <v>40313.79891203704</v>
      </c>
      <c r="C187">
        <v>80</v>
      </c>
      <c r="D187">
        <v>79.887908936000002</v>
      </c>
      <c r="E187">
        <v>60</v>
      </c>
      <c r="F187">
        <v>14.999926566999999</v>
      </c>
      <c r="G187">
        <v>1334.1572266000001</v>
      </c>
      <c r="H187">
        <v>1332.8828125</v>
      </c>
      <c r="I187">
        <v>1327.9556885</v>
      </c>
      <c r="J187">
        <v>1326.9909668</v>
      </c>
      <c r="K187">
        <v>550</v>
      </c>
      <c r="L187">
        <v>0</v>
      </c>
      <c r="M187">
        <v>0</v>
      </c>
      <c r="N187">
        <v>550</v>
      </c>
    </row>
    <row r="188" spans="1:14" x14ac:dyDescent="0.25">
      <c r="A188">
        <v>14.91766</v>
      </c>
      <c r="B188" s="1">
        <f>DATE(2010,5,15) + TIME(22,1,25)</f>
        <v>40313.917650462965</v>
      </c>
      <c r="C188">
        <v>80</v>
      </c>
      <c r="D188">
        <v>79.887969971000004</v>
      </c>
      <c r="E188">
        <v>60</v>
      </c>
      <c r="F188">
        <v>14.999926566999999</v>
      </c>
      <c r="G188">
        <v>1334.1546631000001</v>
      </c>
      <c r="H188">
        <v>1332.8813477000001</v>
      </c>
      <c r="I188">
        <v>1327.9559326000001</v>
      </c>
      <c r="J188">
        <v>1326.9909668</v>
      </c>
      <c r="K188">
        <v>550</v>
      </c>
      <c r="L188">
        <v>0</v>
      </c>
      <c r="M188">
        <v>0</v>
      </c>
      <c r="N188">
        <v>550</v>
      </c>
    </row>
    <row r="189" spans="1:14" x14ac:dyDescent="0.25">
      <c r="A189">
        <v>15.036402000000001</v>
      </c>
      <c r="B189" s="1">
        <f>DATE(2010,5,16) + TIME(0,52,25)</f>
        <v>40314.036400462966</v>
      </c>
      <c r="C189">
        <v>80</v>
      </c>
      <c r="D189">
        <v>79.888031006000006</v>
      </c>
      <c r="E189">
        <v>60</v>
      </c>
      <c r="F189">
        <v>14.999926566999999</v>
      </c>
      <c r="G189">
        <v>1334.1522216999999</v>
      </c>
      <c r="H189">
        <v>1332.8797606999999</v>
      </c>
      <c r="I189">
        <v>1327.9560547000001</v>
      </c>
      <c r="J189">
        <v>1326.9910889</v>
      </c>
      <c r="K189">
        <v>550</v>
      </c>
      <c r="L189">
        <v>0</v>
      </c>
      <c r="M189">
        <v>0</v>
      </c>
      <c r="N189">
        <v>550</v>
      </c>
    </row>
    <row r="190" spans="1:14" x14ac:dyDescent="0.25">
      <c r="A190">
        <v>15.155144</v>
      </c>
      <c r="B190" s="1">
        <f>DATE(2010,5,16) + TIME(3,43,24)</f>
        <v>40314.155138888891</v>
      </c>
      <c r="C190">
        <v>80</v>
      </c>
      <c r="D190">
        <v>79.888076781999999</v>
      </c>
      <c r="E190">
        <v>60</v>
      </c>
      <c r="F190">
        <v>14.999927521</v>
      </c>
      <c r="G190">
        <v>1334.1497803</v>
      </c>
      <c r="H190">
        <v>1332.8782959</v>
      </c>
      <c r="I190">
        <v>1327.9562988</v>
      </c>
      <c r="J190">
        <v>1326.9910889</v>
      </c>
      <c r="K190">
        <v>550</v>
      </c>
      <c r="L190">
        <v>0</v>
      </c>
      <c r="M190">
        <v>0</v>
      </c>
      <c r="N190">
        <v>550</v>
      </c>
    </row>
    <row r="191" spans="1:14" x14ac:dyDescent="0.25">
      <c r="A191">
        <v>15.273885</v>
      </c>
      <c r="B191" s="1">
        <f>DATE(2010,5,16) + TIME(6,34,23)</f>
        <v>40314.273877314816</v>
      </c>
      <c r="C191">
        <v>80</v>
      </c>
      <c r="D191">
        <v>79.888122558999996</v>
      </c>
      <c r="E191">
        <v>60</v>
      </c>
      <c r="F191">
        <v>14.999927521</v>
      </c>
      <c r="G191">
        <v>1334.1473389</v>
      </c>
      <c r="H191">
        <v>1332.8768310999999</v>
      </c>
      <c r="I191">
        <v>1327.956543</v>
      </c>
      <c r="J191">
        <v>1326.9912108999999</v>
      </c>
      <c r="K191">
        <v>550</v>
      </c>
      <c r="L191">
        <v>0</v>
      </c>
      <c r="M191">
        <v>0</v>
      </c>
      <c r="N191">
        <v>550</v>
      </c>
    </row>
    <row r="192" spans="1:14" x14ac:dyDescent="0.25">
      <c r="A192">
        <v>15.392626999999999</v>
      </c>
      <c r="B192" s="1">
        <f>DATE(2010,5,16) + TIME(9,25,23)</f>
        <v>40314.392627314817</v>
      </c>
      <c r="C192">
        <v>80</v>
      </c>
      <c r="D192">
        <v>79.888168335000003</v>
      </c>
      <c r="E192">
        <v>60</v>
      </c>
      <c r="F192">
        <v>14.999927521</v>
      </c>
      <c r="G192">
        <v>1334.1450195</v>
      </c>
      <c r="H192">
        <v>1332.8753661999999</v>
      </c>
      <c r="I192">
        <v>1327.9566649999999</v>
      </c>
      <c r="J192">
        <v>1326.9913329999999</v>
      </c>
      <c r="K192">
        <v>550</v>
      </c>
      <c r="L192">
        <v>0</v>
      </c>
      <c r="M192">
        <v>0</v>
      </c>
      <c r="N192">
        <v>550</v>
      </c>
    </row>
    <row r="193" spans="1:14" x14ac:dyDescent="0.25">
      <c r="A193">
        <v>15.511369</v>
      </c>
      <c r="B193" s="1">
        <f>DATE(2010,5,16) + TIME(12,16,22)</f>
        <v>40314.511365740742</v>
      </c>
      <c r="C193">
        <v>80</v>
      </c>
      <c r="D193">
        <v>79.888198853000006</v>
      </c>
      <c r="E193">
        <v>60</v>
      </c>
      <c r="F193">
        <v>14.999927521</v>
      </c>
      <c r="G193">
        <v>1334.1425781</v>
      </c>
      <c r="H193">
        <v>1332.8739014</v>
      </c>
      <c r="I193">
        <v>1327.9569091999999</v>
      </c>
      <c r="J193">
        <v>1326.9913329999999</v>
      </c>
      <c r="K193">
        <v>550</v>
      </c>
      <c r="L193">
        <v>0</v>
      </c>
      <c r="M193">
        <v>0</v>
      </c>
      <c r="N193">
        <v>550</v>
      </c>
    </row>
    <row r="194" spans="1:14" x14ac:dyDescent="0.25">
      <c r="A194">
        <v>15.630110999999999</v>
      </c>
      <c r="B194" s="1">
        <f>DATE(2010,5,16) + TIME(15,7,21)</f>
        <v>40314.630104166667</v>
      </c>
      <c r="C194">
        <v>80</v>
      </c>
      <c r="D194">
        <v>79.888237000000004</v>
      </c>
      <c r="E194">
        <v>60</v>
      </c>
      <c r="F194">
        <v>14.999928474000001</v>
      </c>
      <c r="G194">
        <v>1334.1402588000001</v>
      </c>
      <c r="H194">
        <v>1332.8724365</v>
      </c>
      <c r="I194">
        <v>1327.9571533000001</v>
      </c>
      <c r="J194">
        <v>1326.9914550999999</v>
      </c>
      <c r="K194">
        <v>550</v>
      </c>
      <c r="L194">
        <v>0</v>
      </c>
      <c r="M194">
        <v>0</v>
      </c>
      <c r="N194">
        <v>550</v>
      </c>
    </row>
    <row r="195" spans="1:14" x14ac:dyDescent="0.25">
      <c r="A195">
        <v>15.748853</v>
      </c>
      <c r="B195" s="1">
        <f>DATE(2010,5,16) + TIME(17,58,20)</f>
        <v>40314.748842592591</v>
      </c>
      <c r="C195">
        <v>80</v>
      </c>
      <c r="D195">
        <v>79.888259887999993</v>
      </c>
      <c r="E195">
        <v>60</v>
      </c>
      <c r="F195">
        <v>14.999928474000001</v>
      </c>
      <c r="G195">
        <v>1334.1378173999999</v>
      </c>
      <c r="H195">
        <v>1332.8709716999999</v>
      </c>
      <c r="I195">
        <v>1327.9573975000001</v>
      </c>
      <c r="J195">
        <v>1326.9914550999999</v>
      </c>
      <c r="K195">
        <v>550</v>
      </c>
      <c r="L195">
        <v>0</v>
      </c>
      <c r="M195">
        <v>0</v>
      </c>
      <c r="N195">
        <v>550</v>
      </c>
    </row>
    <row r="196" spans="1:14" x14ac:dyDescent="0.25">
      <c r="A196">
        <v>15.986337000000001</v>
      </c>
      <c r="B196" s="1">
        <f>DATE(2010,5,16) + TIME(23,40,19)</f>
        <v>40314.986331018517</v>
      </c>
      <c r="C196">
        <v>80</v>
      </c>
      <c r="D196">
        <v>79.888328552000004</v>
      </c>
      <c r="E196">
        <v>60</v>
      </c>
      <c r="F196">
        <v>14.999929428</v>
      </c>
      <c r="G196">
        <v>1334.1356201000001</v>
      </c>
      <c r="H196">
        <v>1332.8696289</v>
      </c>
      <c r="I196">
        <v>1327.9575195</v>
      </c>
      <c r="J196">
        <v>1326.9915771000001</v>
      </c>
      <c r="K196">
        <v>550</v>
      </c>
      <c r="L196">
        <v>0</v>
      </c>
      <c r="M196">
        <v>0</v>
      </c>
      <c r="N196">
        <v>550</v>
      </c>
    </row>
    <row r="197" spans="1:14" x14ac:dyDescent="0.25">
      <c r="A197">
        <v>16.224525</v>
      </c>
      <c r="B197" s="1">
        <f>DATE(2010,5,17) + TIME(5,23,18)</f>
        <v>40315.22451388889</v>
      </c>
      <c r="C197">
        <v>80</v>
      </c>
      <c r="D197">
        <v>79.888374329000001</v>
      </c>
      <c r="E197">
        <v>60</v>
      </c>
      <c r="F197">
        <v>14.999929428</v>
      </c>
      <c r="G197">
        <v>1334.1309814000001</v>
      </c>
      <c r="H197">
        <v>1332.8668213000001</v>
      </c>
      <c r="I197">
        <v>1327.9580077999999</v>
      </c>
      <c r="J197">
        <v>1326.9916992000001</v>
      </c>
      <c r="K197">
        <v>550</v>
      </c>
      <c r="L197">
        <v>0</v>
      </c>
      <c r="M197">
        <v>0</v>
      </c>
      <c r="N197">
        <v>550</v>
      </c>
    </row>
    <row r="198" spans="1:14" x14ac:dyDescent="0.25">
      <c r="A198">
        <v>16.465143000000001</v>
      </c>
      <c r="B198" s="1">
        <f>DATE(2010,5,17) + TIME(11,9,48)</f>
        <v>40315.465138888889</v>
      </c>
      <c r="C198">
        <v>80</v>
      </c>
      <c r="D198">
        <v>79.888404846</v>
      </c>
      <c r="E198">
        <v>60</v>
      </c>
      <c r="F198">
        <v>14.999930382000001</v>
      </c>
      <c r="G198">
        <v>1334.1264647999999</v>
      </c>
      <c r="H198">
        <v>1332.8640137</v>
      </c>
      <c r="I198">
        <v>1327.958374</v>
      </c>
      <c r="J198">
        <v>1326.9918213000001</v>
      </c>
      <c r="K198">
        <v>550</v>
      </c>
      <c r="L198">
        <v>0</v>
      </c>
      <c r="M198">
        <v>0</v>
      </c>
      <c r="N198">
        <v>550</v>
      </c>
    </row>
    <row r="199" spans="1:14" x14ac:dyDescent="0.25">
      <c r="A199">
        <v>16.708666999999998</v>
      </c>
      <c r="B199" s="1">
        <f>DATE(2010,5,17) + TIME(17,0,28)</f>
        <v>40315.708657407406</v>
      </c>
      <c r="C199">
        <v>80</v>
      </c>
      <c r="D199">
        <v>79.888435364000003</v>
      </c>
      <c r="E199">
        <v>60</v>
      </c>
      <c r="F199">
        <v>14.999930382000001</v>
      </c>
      <c r="G199">
        <v>1334.1219481999999</v>
      </c>
      <c r="H199">
        <v>1332.8613281</v>
      </c>
      <c r="I199">
        <v>1327.9588623</v>
      </c>
      <c r="J199">
        <v>1326.9920654</v>
      </c>
      <c r="K199">
        <v>550</v>
      </c>
      <c r="L199">
        <v>0</v>
      </c>
      <c r="M199">
        <v>0</v>
      </c>
      <c r="N199">
        <v>550</v>
      </c>
    </row>
    <row r="200" spans="1:14" x14ac:dyDescent="0.25">
      <c r="A200">
        <v>16.955603</v>
      </c>
      <c r="B200" s="1">
        <f>DATE(2010,5,17) + TIME(22,56,4)</f>
        <v>40315.955601851849</v>
      </c>
      <c r="C200">
        <v>80</v>
      </c>
      <c r="D200">
        <v>79.888442992999998</v>
      </c>
      <c r="E200">
        <v>60</v>
      </c>
      <c r="F200">
        <v>14.999931334999999</v>
      </c>
      <c r="G200">
        <v>1334.1174315999999</v>
      </c>
      <c r="H200">
        <v>1332.8585204999999</v>
      </c>
      <c r="I200">
        <v>1327.9592285000001</v>
      </c>
      <c r="J200">
        <v>1326.9921875</v>
      </c>
      <c r="K200">
        <v>550</v>
      </c>
      <c r="L200">
        <v>0</v>
      </c>
      <c r="M200">
        <v>0</v>
      </c>
      <c r="N200">
        <v>550</v>
      </c>
    </row>
    <row r="201" spans="1:14" x14ac:dyDescent="0.25">
      <c r="A201">
        <v>17.206486999999999</v>
      </c>
      <c r="B201" s="1">
        <f>DATE(2010,5,18) + TIME(4,57,20)</f>
        <v>40316.20648148148</v>
      </c>
      <c r="C201">
        <v>80</v>
      </c>
      <c r="D201">
        <v>79.888450622999997</v>
      </c>
      <c r="E201">
        <v>60</v>
      </c>
      <c r="F201">
        <v>14.999931334999999</v>
      </c>
      <c r="G201">
        <v>1334.1129149999999</v>
      </c>
      <c r="H201">
        <v>1332.8558350000001</v>
      </c>
      <c r="I201">
        <v>1327.9597168</v>
      </c>
      <c r="J201">
        <v>1326.9923096</v>
      </c>
      <c r="K201">
        <v>550</v>
      </c>
      <c r="L201">
        <v>0</v>
      </c>
      <c r="M201">
        <v>0</v>
      </c>
      <c r="N201">
        <v>550</v>
      </c>
    </row>
    <row r="202" spans="1:14" x14ac:dyDescent="0.25">
      <c r="A202">
        <v>17.461877000000001</v>
      </c>
      <c r="B202" s="1">
        <f>DATE(2010,5,18) + TIME(11,5,6)</f>
        <v>40316.461875000001</v>
      </c>
      <c r="C202">
        <v>80</v>
      </c>
      <c r="D202">
        <v>79.888450622999997</v>
      </c>
      <c r="E202">
        <v>60</v>
      </c>
      <c r="F202">
        <v>14.999932289</v>
      </c>
      <c r="G202">
        <v>1334.1085204999999</v>
      </c>
      <c r="H202">
        <v>1332.8530272999999</v>
      </c>
      <c r="I202">
        <v>1327.9602050999999</v>
      </c>
      <c r="J202">
        <v>1326.9924315999999</v>
      </c>
      <c r="K202">
        <v>550</v>
      </c>
      <c r="L202">
        <v>0</v>
      </c>
      <c r="M202">
        <v>0</v>
      </c>
      <c r="N202">
        <v>550</v>
      </c>
    </row>
    <row r="203" spans="1:14" x14ac:dyDescent="0.25">
      <c r="A203">
        <v>17.722404999999998</v>
      </c>
      <c r="B203" s="1">
        <f>DATE(2010,5,18) + TIME(17,20,15)</f>
        <v>40316.722395833334</v>
      </c>
      <c r="C203">
        <v>80</v>
      </c>
      <c r="D203">
        <v>79.888442992999998</v>
      </c>
      <c r="E203">
        <v>60</v>
      </c>
      <c r="F203">
        <v>14.999933242999999</v>
      </c>
      <c r="G203">
        <v>1334.1040039</v>
      </c>
      <c r="H203">
        <v>1332.8502197</v>
      </c>
      <c r="I203">
        <v>1327.9605713000001</v>
      </c>
      <c r="J203">
        <v>1326.9926757999999</v>
      </c>
      <c r="K203">
        <v>550</v>
      </c>
      <c r="L203">
        <v>0</v>
      </c>
      <c r="M203">
        <v>0</v>
      </c>
      <c r="N203">
        <v>550</v>
      </c>
    </row>
    <row r="204" spans="1:14" x14ac:dyDescent="0.25">
      <c r="A204">
        <v>17.988776000000001</v>
      </c>
      <c r="B204" s="1">
        <f>DATE(2010,5,18) + TIME(23,43,50)</f>
        <v>40316.98877314815</v>
      </c>
      <c r="C204">
        <v>80</v>
      </c>
      <c r="D204">
        <v>79.888427734000004</v>
      </c>
      <c r="E204">
        <v>60</v>
      </c>
      <c r="F204">
        <v>14.999933242999999</v>
      </c>
      <c r="G204">
        <v>1334.0994873</v>
      </c>
      <c r="H204">
        <v>1332.8475341999999</v>
      </c>
      <c r="I204">
        <v>1327.9610596</v>
      </c>
      <c r="J204">
        <v>1326.9927978999999</v>
      </c>
      <c r="K204">
        <v>550</v>
      </c>
      <c r="L204">
        <v>0</v>
      </c>
      <c r="M204">
        <v>0</v>
      </c>
      <c r="N204">
        <v>550</v>
      </c>
    </row>
    <row r="205" spans="1:14" x14ac:dyDescent="0.25">
      <c r="A205">
        <v>18.260297999999999</v>
      </c>
      <c r="B205" s="1">
        <f>DATE(2010,5,19) + TIME(6,14,49)</f>
        <v>40317.260289351849</v>
      </c>
      <c r="C205">
        <v>80</v>
      </c>
      <c r="D205">
        <v>79.888404846</v>
      </c>
      <c r="E205">
        <v>60</v>
      </c>
      <c r="F205">
        <v>14.999934196</v>
      </c>
      <c r="G205">
        <v>1334.0948486</v>
      </c>
      <c r="H205">
        <v>1332.8447266000001</v>
      </c>
      <c r="I205">
        <v>1327.9615478999999</v>
      </c>
      <c r="J205">
        <v>1326.9929199000001</v>
      </c>
      <c r="K205">
        <v>550</v>
      </c>
      <c r="L205">
        <v>0</v>
      </c>
      <c r="M205">
        <v>0</v>
      </c>
      <c r="N205">
        <v>550</v>
      </c>
    </row>
    <row r="206" spans="1:14" x14ac:dyDescent="0.25">
      <c r="A206">
        <v>18.536377999999999</v>
      </c>
      <c r="B206" s="1">
        <f>DATE(2010,5,19) + TIME(12,52,23)</f>
        <v>40317.536377314813</v>
      </c>
      <c r="C206">
        <v>80</v>
      </c>
      <c r="D206">
        <v>79.888374329000001</v>
      </c>
      <c r="E206">
        <v>60</v>
      </c>
      <c r="F206">
        <v>14.999935150000001</v>
      </c>
      <c r="G206">
        <v>1334.090332</v>
      </c>
      <c r="H206">
        <v>1332.8420410000001</v>
      </c>
      <c r="I206">
        <v>1327.9620361</v>
      </c>
      <c r="J206">
        <v>1326.9931641000001</v>
      </c>
      <c r="K206">
        <v>550</v>
      </c>
      <c r="L206">
        <v>0</v>
      </c>
      <c r="M206">
        <v>0</v>
      </c>
      <c r="N206">
        <v>550</v>
      </c>
    </row>
    <row r="207" spans="1:14" x14ac:dyDescent="0.25">
      <c r="A207">
        <v>18.817677</v>
      </c>
      <c r="B207" s="1">
        <f>DATE(2010,5,19) + TIME(19,37,27)</f>
        <v>40317.817673611113</v>
      </c>
      <c r="C207">
        <v>80</v>
      </c>
      <c r="D207">
        <v>79.888343810999999</v>
      </c>
      <c r="E207">
        <v>60</v>
      </c>
      <c r="F207">
        <v>14.999936104</v>
      </c>
      <c r="G207">
        <v>1334.0858154</v>
      </c>
      <c r="H207">
        <v>1332.8392334</v>
      </c>
      <c r="I207">
        <v>1327.9626464999999</v>
      </c>
      <c r="J207">
        <v>1326.9932861</v>
      </c>
      <c r="K207">
        <v>550</v>
      </c>
      <c r="L207">
        <v>0</v>
      </c>
      <c r="M207">
        <v>0</v>
      </c>
      <c r="N207">
        <v>550</v>
      </c>
    </row>
    <row r="208" spans="1:14" x14ac:dyDescent="0.25">
      <c r="A208">
        <v>19.104984000000002</v>
      </c>
      <c r="B208" s="1">
        <f>DATE(2010,5,20) + TIME(2,31,10)</f>
        <v>40318.10497685185</v>
      </c>
      <c r="C208">
        <v>80</v>
      </c>
      <c r="D208">
        <v>79.888305664000001</v>
      </c>
      <c r="E208">
        <v>60</v>
      </c>
      <c r="F208">
        <v>14.999937057</v>
      </c>
      <c r="G208">
        <v>1334.0812988</v>
      </c>
      <c r="H208">
        <v>1332.8365478999999</v>
      </c>
      <c r="I208">
        <v>1327.9631348</v>
      </c>
      <c r="J208">
        <v>1326.9935303</v>
      </c>
      <c r="K208">
        <v>550</v>
      </c>
      <c r="L208">
        <v>0</v>
      </c>
      <c r="M208">
        <v>0</v>
      </c>
      <c r="N208">
        <v>550</v>
      </c>
    </row>
    <row r="209" spans="1:14" x14ac:dyDescent="0.25">
      <c r="A209">
        <v>19.251988000000001</v>
      </c>
      <c r="B209" s="1">
        <f>DATE(2010,5,20) + TIME(6,2,51)</f>
        <v>40318.251979166664</v>
      </c>
      <c r="C209">
        <v>80</v>
      </c>
      <c r="D209">
        <v>79.888267517000003</v>
      </c>
      <c r="E209">
        <v>60</v>
      </c>
      <c r="F209">
        <v>14.999937057</v>
      </c>
      <c r="G209">
        <v>1334.0766602000001</v>
      </c>
      <c r="H209">
        <v>1332.8338623</v>
      </c>
      <c r="I209">
        <v>1327.9636230000001</v>
      </c>
      <c r="J209">
        <v>1326.9936522999999</v>
      </c>
      <c r="K209">
        <v>550</v>
      </c>
      <c r="L209">
        <v>0</v>
      </c>
      <c r="M209">
        <v>0</v>
      </c>
      <c r="N209">
        <v>550</v>
      </c>
    </row>
    <row r="210" spans="1:14" x14ac:dyDescent="0.25">
      <c r="A210">
        <v>19.398992</v>
      </c>
      <c r="B210" s="1">
        <f>DATE(2010,5,20) + TIME(9,34,32)</f>
        <v>40318.398981481485</v>
      </c>
      <c r="C210">
        <v>80</v>
      </c>
      <c r="D210">
        <v>79.888237000000004</v>
      </c>
      <c r="E210">
        <v>60</v>
      </c>
      <c r="F210">
        <v>14.999938010999999</v>
      </c>
      <c r="G210">
        <v>1334.0744629000001</v>
      </c>
      <c r="H210">
        <v>1332.8325195</v>
      </c>
      <c r="I210">
        <v>1327.9639893000001</v>
      </c>
      <c r="J210">
        <v>1326.9937743999999</v>
      </c>
      <c r="K210">
        <v>550</v>
      </c>
      <c r="L210">
        <v>0</v>
      </c>
      <c r="M210">
        <v>0</v>
      </c>
      <c r="N210">
        <v>550</v>
      </c>
    </row>
    <row r="211" spans="1:14" x14ac:dyDescent="0.25">
      <c r="A211">
        <v>19.545997</v>
      </c>
      <c r="B211" s="1">
        <f>DATE(2010,5,20) + TIME(13,6,14)</f>
        <v>40318.545995370368</v>
      </c>
      <c r="C211">
        <v>80</v>
      </c>
      <c r="D211">
        <v>79.888198853000006</v>
      </c>
      <c r="E211">
        <v>60</v>
      </c>
      <c r="F211">
        <v>14.999938010999999</v>
      </c>
      <c r="G211">
        <v>1334.0721435999999</v>
      </c>
      <c r="H211">
        <v>1332.8311768000001</v>
      </c>
      <c r="I211">
        <v>1327.9642334</v>
      </c>
      <c r="J211">
        <v>1326.9938964999999</v>
      </c>
      <c r="K211">
        <v>550</v>
      </c>
      <c r="L211">
        <v>0</v>
      </c>
      <c r="M211">
        <v>0</v>
      </c>
      <c r="N211">
        <v>550</v>
      </c>
    </row>
    <row r="212" spans="1:14" x14ac:dyDescent="0.25">
      <c r="A212">
        <v>19.693000999999999</v>
      </c>
      <c r="B212" s="1">
        <f>DATE(2010,5,20) + TIME(16,37,55)</f>
        <v>40318.692997685182</v>
      </c>
      <c r="C212">
        <v>80</v>
      </c>
      <c r="D212">
        <v>79.888168335000003</v>
      </c>
      <c r="E212">
        <v>60</v>
      </c>
      <c r="F212">
        <v>14.999938965</v>
      </c>
      <c r="G212">
        <v>1334.0699463000001</v>
      </c>
      <c r="H212">
        <v>1332.8298339999999</v>
      </c>
      <c r="I212">
        <v>1327.9644774999999</v>
      </c>
      <c r="J212">
        <v>1326.9940185999999</v>
      </c>
      <c r="K212">
        <v>550</v>
      </c>
      <c r="L212">
        <v>0</v>
      </c>
      <c r="M212">
        <v>0</v>
      </c>
      <c r="N212">
        <v>550</v>
      </c>
    </row>
    <row r="213" spans="1:14" x14ac:dyDescent="0.25">
      <c r="A213">
        <v>19.840005000000001</v>
      </c>
      <c r="B213" s="1">
        <f>DATE(2010,5,20) + TIME(20,9,36)</f>
        <v>40318.839999999997</v>
      </c>
      <c r="C213">
        <v>80</v>
      </c>
      <c r="D213">
        <v>79.888137817</v>
      </c>
      <c r="E213">
        <v>60</v>
      </c>
      <c r="F213">
        <v>14.999938965</v>
      </c>
      <c r="G213">
        <v>1334.067749</v>
      </c>
      <c r="H213">
        <v>1332.8284911999999</v>
      </c>
      <c r="I213">
        <v>1327.9647216999999</v>
      </c>
      <c r="J213">
        <v>1326.9940185999999</v>
      </c>
      <c r="K213">
        <v>550</v>
      </c>
      <c r="L213">
        <v>0</v>
      </c>
      <c r="M213">
        <v>0</v>
      </c>
      <c r="N213">
        <v>550</v>
      </c>
    </row>
    <row r="214" spans="1:14" x14ac:dyDescent="0.25">
      <c r="A214">
        <v>19.987009</v>
      </c>
      <c r="B214" s="1">
        <f>DATE(2010,5,20) + TIME(23,41,17)</f>
        <v>40318.987002314818</v>
      </c>
      <c r="C214">
        <v>80</v>
      </c>
      <c r="D214">
        <v>79.888107300000001</v>
      </c>
      <c r="E214">
        <v>60</v>
      </c>
      <c r="F214">
        <v>14.999939918999999</v>
      </c>
      <c r="G214">
        <v>1334.0655518000001</v>
      </c>
      <c r="H214">
        <v>1332.8272704999999</v>
      </c>
      <c r="I214">
        <v>1327.9650879000001</v>
      </c>
      <c r="J214">
        <v>1326.9941406</v>
      </c>
      <c r="K214">
        <v>550</v>
      </c>
      <c r="L214">
        <v>0</v>
      </c>
      <c r="M214">
        <v>0</v>
      </c>
      <c r="N214">
        <v>550</v>
      </c>
    </row>
    <row r="215" spans="1:14" x14ac:dyDescent="0.25">
      <c r="A215">
        <v>20.134012999999999</v>
      </c>
      <c r="B215" s="1">
        <f>DATE(2010,5,21) + TIME(3,12,58)</f>
        <v>40319.134004629632</v>
      </c>
      <c r="C215">
        <v>80</v>
      </c>
      <c r="D215">
        <v>79.888076781999999</v>
      </c>
      <c r="E215">
        <v>60</v>
      </c>
      <c r="F215">
        <v>14.999940872</v>
      </c>
      <c r="G215">
        <v>1334.0633545000001</v>
      </c>
      <c r="H215">
        <v>1332.8259277</v>
      </c>
      <c r="I215">
        <v>1327.965332</v>
      </c>
      <c r="J215">
        <v>1326.9942627</v>
      </c>
      <c r="K215">
        <v>550</v>
      </c>
      <c r="L215">
        <v>0</v>
      </c>
      <c r="M215">
        <v>0</v>
      </c>
      <c r="N215">
        <v>550</v>
      </c>
    </row>
    <row r="216" spans="1:14" x14ac:dyDescent="0.25">
      <c r="A216">
        <v>20.281018</v>
      </c>
      <c r="B216" s="1">
        <f>DATE(2010,5,21) + TIME(6,44,39)</f>
        <v>40319.281006944446</v>
      </c>
      <c r="C216">
        <v>80</v>
      </c>
      <c r="D216">
        <v>79.888038635000001</v>
      </c>
      <c r="E216">
        <v>60</v>
      </c>
      <c r="F216">
        <v>14.999941826000001</v>
      </c>
      <c r="G216">
        <v>1334.0611572</v>
      </c>
      <c r="H216">
        <v>1332.824707</v>
      </c>
      <c r="I216">
        <v>1327.9655762</v>
      </c>
      <c r="J216">
        <v>1326.9943848</v>
      </c>
      <c r="K216">
        <v>550</v>
      </c>
      <c r="L216">
        <v>0</v>
      </c>
      <c r="M216">
        <v>0</v>
      </c>
      <c r="N216">
        <v>550</v>
      </c>
    </row>
    <row r="217" spans="1:14" x14ac:dyDescent="0.25">
      <c r="A217">
        <v>20.428021999999999</v>
      </c>
      <c r="B217" s="1">
        <f>DATE(2010,5,21) + TIME(10,16,21)</f>
        <v>40319.428020833337</v>
      </c>
      <c r="C217">
        <v>80</v>
      </c>
      <c r="D217">
        <v>79.888008118000002</v>
      </c>
      <c r="E217">
        <v>60</v>
      </c>
      <c r="F217">
        <v>14.999941826000001</v>
      </c>
      <c r="G217">
        <v>1334.0589600000001</v>
      </c>
      <c r="H217">
        <v>1332.8234863</v>
      </c>
      <c r="I217">
        <v>1327.9659423999999</v>
      </c>
      <c r="J217">
        <v>1326.9945068</v>
      </c>
      <c r="K217">
        <v>550</v>
      </c>
      <c r="L217">
        <v>0</v>
      </c>
      <c r="M217">
        <v>0</v>
      </c>
      <c r="N217">
        <v>550</v>
      </c>
    </row>
    <row r="218" spans="1:14" x14ac:dyDescent="0.25">
      <c r="A218">
        <v>20.575026000000001</v>
      </c>
      <c r="B218" s="1">
        <f>DATE(2010,5,21) + TIME(13,48,2)</f>
        <v>40319.575023148151</v>
      </c>
      <c r="C218">
        <v>80</v>
      </c>
      <c r="D218">
        <v>79.887977599999999</v>
      </c>
      <c r="E218">
        <v>60</v>
      </c>
      <c r="F218">
        <v>14.99994278</v>
      </c>
      <c r="G218">
        <v>1334.0568848</v>
      </c>
      <c r="H218">
        <v>1332.8222656</v>
      </c>
      <c r="I218">
        <v>1327.9661865</v>
      </c>
      <c r="J218">
        <v>1326.9945068</v>
      </c>
      <c r="K218">
        <v>550</v>
      </c>
      <c r="L218">
        <v>0</v>
      </c>
      <c r="M218">
        <v>0</v>
      </c>
      <c r="N218">
        <v>550</v>
      </c>
    </row>
    <row r="219" spans="1:14" x14ac:dyDescent="0.25">
      <c r="A219">
        <v>20.72203</v>
      </c>
      <c r="B219" s="1">
        <f>DATE(2010,5,21) + TIME(17,19,43)</f>
        <v>40319.722025462965</v>
      </c>
      <c r="C219">
        <v>80</v>
      </c>
      <c r="D219">
        <v>79.887947083</v>
      </c>
      <c r="E219">
        <v>60</v>
      </c>
      <c r="F219">
        <v>14.999943733</v>
      </c>
      <c r="G219">
        <v>1334.0548096</v>
      </c>
      <c r="H219">
        <v>1332.8210449000001</v>
      </c>
      <c r="I219">
        <v>1327.9664307</v>
      </c>
      <c r="J219">
        <v>1326.9946289</v>
      </c>
      <c r="K219">
        <v>550</v>
      </c>
      <c r="L219">
        <v>0</v>
      </c>
      <c r="M219">
        <v>0</v>
      </c>
      <c r="N219">
        <v>550</v>
      </c>
    </row>
    <row r="220" spans="1:14" x14ac:dyDescent="0.25">
      <c r="A220">
        <v>20.869033999999999</v>
      </c>
      <c r="B220" s="1">
        <f>DATE(2010,5,21) + TIME(20,51,24)</f>
        <v>40319.869027777779</v>
      </c>
      <c r="C220">
        <v>80</v>
      </c>
      <c r="D220">
        <v>79.887908936000002</v>
      </c>
      <c r="E220">
        <v>60</v>
      </c>
      <c r="F220">
        <v>14.999944686999999</v>
      </c>
      <c r="G220">
        <v>1334.0527344</v>
      </c>
      <c r="H220">
        <v>1332.8198242000001</v>
      </c>
      <c r="I220">
        <v>1327.9667969</v>
      </c>
      <c r="J220">
        <v>1326.994751</v>
      </c>
      <c r="K220">
        <v>550</v>
      </c>
      <c r="L220">
        <v>0</v>
      </c>
      <c r="M220">
        <v>0</v>
      </c>
      <c r="N220">
        <v>550</v>
      </c>
    </row>
    <row r="221" spans="1:14" x14ac:dyDescent="0.25">
      <c r="A221">
        <v>21.016038000000002</v>
      </c>
      <c r="B221" s="1">
        <f>DATE(2010,5,22) + TIME(0,23,5)</f>
        <v>40320.016030092593</v>
      </c>
      <c r="C221">
        <v>80</v>
      </c>
      <c r="D221">
        <v>79.887878418</v>
      </c>
      <c r="E221">
        <v>60</v>
      </c>
      <c r="F221">
        <v>14.999945641</v>
      </c>
      <c r="G221">
        <v>1334.0506591999999</v>
      </c>
      <c r="H221">
        <v>1332.8187256000001</v>
      </c>
      <c r="I221">
        <v>1327.9670410000001</v>
      </c>
      <c r="J221">
        <v>1326.9948730000001</v>
      </c>
      <c r="K221">
        <v>550</v>
      </c>
      <c r="L221">
        <v>0</v>
      </c>
      <c r="M221">
        <v>0</v>
      </c>
      <c r="N221">
        <v>550</v>
      </c>
    </row>
    <row r="222" spans="1:14" x14ac:dyDescent="0.25">
      <c r="A222">
        <v>21.163042999999998</v>
      </c>
      <c r="B222" s="1">
        <f>DATE(2010,5,22) + TIME(3,54,46)</f>
        <v>40320.163032407407</v>
      </c>
      <c r="C222">
        <v>80</v>
      </c>
      <c r="D222">
        <v>79.887847899999997</v>
      </c>
      <c r="E222">
        <v>60</v>
      </c>
      <c r="F222">
        <v>14.999946594000001</v>
      </c>
      <c r="G222">
        <v>1334.0485839999999</v>
      </c>
      <c r="H222">
        <v>1332.8175048999999</v>
      </c>
      <c r="I222">
        <v>1327.9674072</v>
      </c>
      <c r="J222">
        <v>1326.9949951000001</v>
      </c>
      <c r="K222">
        <v>550</v>
      </c>
      <c r="L222">
        <v>0</v>
      </c>
      <c r="M222">
        <v>0</v>
      </c>
      <c r="N222">
        <v>550</v>
      </c>
    </row>
    <row r="223" spans="1:14" x14ac:dyDescent="0.25">
      <c r="A223">
        <v>21.310047000000001</v>
      </c>
      <c r="B223" s="1">
        <f>DATE(2010,5,22) + TIME(7,26,28)</f>
        <v>40320.310046296298</v>
      </c>
      <c r="C223">
        <v>80</v>
      </c>
      <c r="D223">
        <v>79.887809752999999</v>
      </c>
      <c r="E223">
        <v>60</v>
      </c>
      <c r="F223">
        <v>14.999947548</v>
      </c>
      <c r="G223">
        <v>1334.0466309000001</v>
      </c>
      <c r="H223">
        <v>1332.8164062000001</v>
      </c>
      <c r="I223">
        <v>1327.9676514</v>
      </c>
      <c r="J223">
        <v>1326.9949951000001</v>
      </c>
      <c r="K223">
        <v>550</v>
      </c>
      <c r="L223">
        <v>0</v>
      </c>
      <c r="M223">
        <v>0</v>
      </c>
      <c r="N223">
        <v>550</v>
      </c>
    </row>
    <row r="224" spans="1:14" x14ac:dyDescent="0.25">
      <c r="A224">
        <v>21.604054999999999</v>
      </c>
      <c r="B224" s="1">
        <f>DATE(2010,5,22) + TIME(14,29,50)</f>
        <v>40320.604050925926</v>
      </c>
      <c r="C224">
        <v>80</v>
      </c>
      <c r="D224">
        <v>79.887763977000006</v>
      </c>
      <c r="E224">
        <v>60</v>
      </c>
      <c r="F224">
        <v>14.999950409</v>
      </c>
      <c r="G224">
        <v>1334.0445557</v>
      </c>
      <c r="H224">
        <v>1332.8153076000001</v>
      </c>
      <c r="I224">
        <v>1327.9678954999999</v>
      </c>
      <c r="J224">
        <v>1326.9951172000001</v>
      </c>
      <c r="K224">
        <v>550</v>
      </c>
      <c r="L224">
        <v>0</v>
      </c>
      <c r="M224">
        <v>0</v>
      </c>
      <c r="N224">
        <v>550</v>
      </c>
    </row>
    <row r="225" spans="1:14" x14ac:dyDescent="0.25">
      <c r="A225">
        <v>21.899201000000001</v>
      </c>
      <c r="B225" s="1">
        <f>DATE(2010,5,22) + TIME(21,34,50)</f>
        <v>40320.899189814816</v>
      </c>
      <c r="C225">
        <v>80</v>
      </c>
      <c r="D225">
        <v>79.887710571</v>
      </c>
      <c r="E225">
        <v>60</v>
      </c>
      <c r="F225">
        <v>14.999952316</v>
      </c>
      <c r="G225">
        <v>1334.0406493999999</v>
      </c>
      <c r="H225">
        <v>1332.8131103999999</v>
      </c>
      <c r="I225">
        <v>1327.9685059000001</v>
      </c>
      <c r="J225">
        <v>1326.9953613</v>
      </c>
      <c r="K225">
        <v>550</v>
      </c>
      <c r="L225">
        <v>0</v>
      </c>
      <c r="M225">
        <v>0</v>
      </c>
      <c r="N225">
        <v>550</v>
      </c>
    </row>
    <row r="226" spans="1:14" x14ac:dyDescent="0.25">
      <c r="A226">
        <v>22.197427999999999</v>
      </c>
      <c r="B226" s="1">
        <f>DATE(2010,5,23) + TIME(4,44,17)</f>
        <v>40321.197418981479</v>
      </c>
      <c r="C226">
        <v>80</v>
      </c>
      <c r="D226">
        <v>79.887649535999998</v>
      </c>
      <c r="E226">
        <v>60</v>
      </c>
      <c r="F226">
        <v>14.999955177</v>
      </c>
      <c r="G226">
        <v>1334.0367432</v>
      </c>
      <c r="H226">
        <v>1332.8110352000001</v>
      </c>
      <c r="I226">
        <v>1327.9691161999999</v>
      </c>
      <c r="J226">
        <v>1326.9956055</v>
      </c>
      <c r="K226">
        <v>550</v>
      </c>
      <c r="L226">
        <v>0</v>
      </c>
      <c r="M226">
        <v>0</v>
      </c>
      <c r="N226">
        <v>550</v>
      </c>
    </row>
    <row r="227" spans="1:14" x14ac:dyDescent="0.25">
      <c r="A227">
        <v>22.499309</v>
      </c>
      <c r="B227" s="1">
        <f>DATE(2010,5,23) + TIME(11,59,0)</f>
        <v>40321.499305555553</v>
      </c>
      <c r="C227">
        <v>80</v>
      </c>
      <c r="D227">
        <v>79.887588500999996</v>
      </c>
      <c r="E227">
        <v>60</v>
      </c>
      <c r="F227">
        <v>14.999958992</v>
      </c>
      <c r="G227">
        <v>1334.0328368999999</v>
      </c>
      <c r="H227">
        <v>1332.8088379000001</v>
      </c>
      <c r="I227">
        <v>1327.9697266000001</v>
      </c>
      <c r="J227">
        <v>1326.9957274999999</v>
      </c>
      <c r="K227">
        <v>550</v>
      </c>
      <c r="L227">
        <v>0</v>
      </c>
      <c r="M227">
        <v>0</v>
      </c>
      <c r="N227">
        <v>550</v>
      </c>
    </row>
    <row r="228" spans="1:14" x14ac:dyDescent="0.25">
      <c r="A228">
        <v>22.805453</v>
      </c>
      <c r="B228" s="1">
        <f>DATE(2010,5,23) + TIME(19,19,51)</f>
        <v>40321.805451388886</v>
      </c>
      <c r="C228">
        <v>80</v>
      </c>
      <c r="D228">
        <v>79.887519835999996</v>
      </c>
      <c r="E228">
        <v>60</v>
      </c>
      <c r="F228">
        <v>14.999962806999999</v>
      </c>
      <c r="G228">
        <v>1334.0289307</v>
      </c>
      <c r="H228">
        <v>1332.8066406</v>
      </c>
      <c r="I228">
        <v>1327.9703368999999</v>
      </c>
      <c r="J228">
        <v>1326.9959716999999</v>
      </c>
      <c r="K228">
        <v>550</v>
      </c>
      <c r="L228">
        <v>0</v>
      </c>
      <c r="M228">
        <v>0</v>
      </c>
      <c r="N228">
        <v>550</v>
      </c>
    </row>
    <row r="229" spans="1:14" x14ac:dyDescent="0.25">
      <c r="A229">
        <v>23.116496000000001</v>
      </c>
      <c r="B229" s="1">
        <f>DATE(2010,5,24) + TIME(2,47,45)</f>
        <v>40322.116493055553</v>
      </c>
      <c r="C229">
        <v>80</v>
      </c>
      <c r="D229">
        <v>79.887443542</v>
      </c>
      <c r="E229">
        <v>60</v>
      </c>
      <c r="F229">
        <v>14.999967574999999</v>
      </c>
      <c r="G229">
        <v>1334.0250243999999</v>
      </c>
      <c r="H229">
        <v>1332.8045654</v>
      </c>
      <c r="I229">
        <v>1327.9709473</v>
      </c>
      <c r="J229">
        <v>1326.9962158000001</v>
      </c>
      <c r="K229">
        <v>550</v>
      </c>
      <c r="L229">
        <v>0</v>
      </c>
      <c r="M229">
        <v>0</v>
      </c>
      <c r="N229">
        <v>550</v>
      </c>
    </row>
    <row r="230" spans="1:14" x14ac:dyDescent="0.25">
      <c r="A230">
        <v>23.433121</v>
      </c>
      <c r="B230" s="1">
        <f>DATE(2010,5,24) + TIME(10,23,41)</f>
        <v>40322.433113425926</v>
      </c>
      <c r="C230">
        <v>80</v>
      </c>
      <c r="D230">
        <v>79.887374878000003</v>
      </c>
      <c r="E230">
        <v>60</v>
      </c>
      <c r="F230">
        <v>14.999973297</v>
      </c>
      <c r="G230">
        <v>1334.0211182</v>
      </c>
      <c r="H230">
        <v>1332.8023682</v>
      </c>
      <c r="I230">
        <v>1327.9715576000001</v>
      </c>
      <c r="J230">
        <v>1326.9963379000001</v>
      </c>
      <c r="K230">
        <v>550</v>
      </c>
      <c r="L230">
        <v>0</v>
      </c>
      <c r="M230">
        <v>0</v>
      </c>
      <c r="N230">
        <v>550</v>
      </c>
    </row>
    <row r="231" spans="1:14" x14ac:dyDescent="0.25">
      <c r="A231">
        <v>23.756219999999999</v>
      </c>
      <c r="B231" s="1">
        <f>DATE(2010,5,24) + TIME(18,8,57)</f>
        <v>40322.756215277775</v>
      </c>
      <c r="C231">
        <v>80</v>
      </c>
      <c r="D231">
        <v>79.887298584000007</v>
      </c>
      <c r="E231">
        <v>60</v>
      </c>
      <c r="F231">
        <v>14.999979973</v>
      </c>
      <c r="G231">
        <v>1334.0172118999999</v>
      </c>
      <c r="H231">
        <v>1332.8001709</v>
      </c>
      <c r="I231">
        <v>1327.9722899999999</v>
      </c>
      <c r="J231">
        <v>1326.996582</v>
      </c>
      <c r="K231">
        <v>550</v>
      </c>
      <c r="L231">
        <v>0</v>
      </c>
      <c r="M231">
        <v>0</v>
      </c>
      <c r="N231">
        <v>550</v>
      </c>
    </row>
    <row r="232" spans="1:14" x14ac:dyDescent="0.25">
      <c r="A232">
        <v>24.086763000000001</v>
      </c>
      <c r="B232" s="1">
        <f>DATE(2010,5,25) + TIME(2,4,56)</f>
        <v>40323.086759259262</v>
      </c>
      <c r="C232">
        <v>80</v>
      </c>
      <c r="D232">
        <v>79.887229919000006</v>
      </c>
      <c r="E232">
        <v>60</v>
      </c>
      <c r="F232">
        <v>14.999987601999999</v>
      </c>
      <c r="G232">
        <v>1334.0131836</v>
      </c>
      <c r="H232">
        <v>1332.7979736</v>
      </c>
      <c r="I232">
        <v>1327.9729004000001</v>
      </c>
      <c r="J232">
        <v>1326.9968262</v>
      </c>
      <c r="K232">
        <v>550</v>
      </c>
      <c r="L232">
        <v>0</v>
      </c>
      <c r="M232">
        <v>0</v>
      </c>
      <c r="N232">
        <v>550</v>
      </c>
    </row>
    <row r="233" spans="1:14" x14ac:dyDescent="0.25">
      <c r="A233">
        <v>24.424244999999999</v>
      </c>
      <c r="B233" s="1">
        <f>DATE(2010,5,25) + TIME(10,10,54)</f>
        <v>40323.42423611111</v>
      </c>
      <c r="C233">
        <v>80</v>
      </c>
      <c r="D233">
        <v>79.887153624999996</v>
      </c>
      <c r="E233">
        <v>60</v>
      </c>
      <c r="F233">
        <v>14.999997139</v>
      </c>
      <c r="G233">
        <v>1334.0092772999999</v>
      </c>
      <c r="H233">
        <v>1332.7956543</v>
      </c>
      <c r="I233">
        <v>1327.9736327999999</v>
      </c>
      <c r="J233">
        <v>1326.9970702999999</v>
      </c>
      <c r="K233">
        <v>550</v>
      </c>
      <c r="L233">
        <v>0</v>
      </c>
      <c r="M233">
        <v>0</v>
      </c>
      <c r="N233">
        <v>550</v>
      </c>
    </row>
    <row r="234" spans="1:14" x14ac:dyDescent="0.25">
      <c r="A234">
        <v>24.766317999999998</v>
      </c>
      <c r="B234" s="1">
        <f>DATE(2010,5,25) + TIME(18,23,29)</f>
        <v>40323.76630787037</v>
      </c>
      <c r="C234">
        <v>80</v>
      </c>
      <c r="D234">
        <v>79.887077332000004</v>
      </c>
      <c r="E234">
        <v>60</v>
      </c>
      <c r="F234">
        <v>15.000007629000001</v>
      </c>
      <c r="G234">
        <v>1334.0053711</v>
      </c>
      <c r="H234">
        <v>1332.793457</v>
      </c>
      <c r="I234">
        <v>1327.9743652</v>
      </c>
      <c r="J234">
        <v>1326.9973144999999</v>
      </c>
      <c r="K234">
        <v>550</v>
      </c>
      <c r="L234">
        <v>0</v>
      </c>
      <c r="M234">
        <v>0</v>
      </c>
      <c r="N234">
        <v>550</v>
      </c>
    </row>
    <row r="235" spans="1:14" x14ac:dyDescent="0.25">
      <c r="A235">
        <v>25.113742999999999</v>
      </c>
      <c r="B235" s="1">
        <f>DATE(2010,5,26) + TIME(2,43,47)</f>
        <v>40324.113738425927</v>
      </c>
      <c r="C235">
        <v>80</v>
      </c>
      <c r="D235">
        <v>79.887001037999994</v>
      </c>
      <c r="E235">
        <v>60</v>
      </c>
      <c r="F235">
        <v>15.000020027</v>
      </c>
      <c r="G235">
        <v>1334.0013428</v>
      </c>
      <c r="H235">
        <v>1332.7912598</v>
      </c>
      <c r="I235">
        <v>1327.9750977000001</v>
      </c>
      <c r="J235">
        <v>1326.9975586</v>
      </c>
      <c r="K235">
        <v>550</v>
      </c>
      <c r="L235">
        <v>0</v>
      </c>
      <c r="M235">
        <v>0</v>
      </c>
      <c r="N235">
        <v>550</v>
      </c>
    </row>
    <row r="236" spans="1:14" x14ac:dyDescent="0.25">
      <c r="A236">
        <v>25.290517000000001</v>
      </c>
      <c r="B236" s="1">
        <f>DATE(2010,5,26) + TIME(6,58,20)</f>
        <v>40324.290509259263</v>
      </c>
      <c r="C236">
        <v>80</v>
      </c>
      <c r="D236">
        <v>79.886947632000002</v>
      </c>
      <c r="E236">
        <v>60</v>
      </c>
      <c r="F236">
        <v>15.000028609999999</v>
      </c>
      <c r="G236">
        <v>1333.9974365</v>
      </c>
      <c r="H236">
        <v>1332.7890625</v>
      </c>
      <c r="I236">
        <v>1327.9758300999999</v>
      </c>
      <c r="J236">
        <v>1326.9978027</v>
      </c>
      <c r="K236">
        <v>550</v>
      </c>
      <c r="L236">
        <v>0</v>
      </c>
      <c r="M236">
        <v>0</v>
      </c>
      <c r="N236">
        <v>550</v>
      </c>
    </row>
    <row r="237" spans="1:14" x14ac:dyDescent="0.25">
      <c r="A237">
        <v>25.467290999999999</v>
      </c>
      <c r="B237" s="1">
        <f>DATE(2010,5,26) + TIME(11,12,53)</f>
        <v>40324.467280092591</v>
      </c>
      <c r="C237">
        <v>80</v>
      </c>
      <c r="D237">
        <v>79.886901855000005</v>
      </c>
      <c r="E237">
        <v>60</v>
      </c>
      <c r="F237">
        <v>15.000037193000001</v>
      </c>
      <c r="G237">
        <v>1333.9954834</v>
      </c>
      <c r="H237">
        <v>1332.7879639</v>
      </c>
      <c r="I237">
        <v>1327.9761963000001</v>
      </c>
      <c r="J237">
        <v>1326.9979248</v>
      </c>
      <c r="K237">
        <v>550</v>
      </c>
      <c r="L237">
        <v>0</v>
      </c>
      <c r="M237">
        <v>0</v>
      </c>
      <c r="N237">
        <v>550</v>
      </c>
    </row>
    <row r="238" spans="1:14" x14ac:dyDescent="0.25">
      <c r="A238">
        <v>25.644020000000001</v>
      </c>
      <c r="B238" s="1">
        <f>DATE(2010,5,26) + TIME(15,27,23)</f>
        <v>40324.644016203703</v>
      </c>
      <c r="C238">
        <v>80</v>
      </c>
      <c r="D238">
        <v>79.886856078999998</v>
      </c>
      <c r="E238">
        <v>60</v>
      </c>
      <c r="F238">
        <v>15.000046729999999</v>
      </c>
      <c r="G238">
        <v>1333.9935303</v>
      </c>
      <c r="H238">
        <v>1332.7868652</v>
      </c>
      <c r="I238">
        <v>1327.9765625</v>
      </c>
      <c r="J238">
        <v>1326.9980469</v>
      </c>
      <c r="K238">
        <v>550</v>
      </c>
      <c r="L238">
        <v>0</v>
      </c>
      <c r="M238">
        <v>0</v>
      </c>
      <c r="N238">
        <v>550</v>
      </c>
    </row>
    <row r="239" spans="1:14" x14ac:dyDescent="0.25">
      <c r="A239">
        <v>25.820412000000001</v>
      </c>
      <c r="B239" s="1">
        <f>DATE(2010,5,26) + TIME(19,41,23)</f>
        <v>40324.820405092592</v>
      </c>
      <c r="C239">
        <v>80</v>
      </c>
      <c r="D239">
        <v>79.886810303000004</v>
      </c>
      <c r="E239">
        <v>60</v>
      </c>
      <c r="F239">
        <v>15.00005722</v>
      </c>
      <c r="G239">
        <v>1333.9915771000001</v>
      </c>
      <c r="H239">
        <v>1332.7857666</v>
      </c>
      <c r="I239">
        <v>1327.9769286999999</v>
      </c>
      <c r="J239">
        <v>1326.9981689000001</v>
      </c>
      <c r="K239">
        <v>550</v>
      </c>
      <c r="L239">
        <v>0</v>
      </c>
      <c r="M239">
        <v>0</v>
      </c>
      <c r="N239">
        <v>550</v>
      </c>
    </row>
    <row r="240" spans="1:14" x14ac:dyDescent="0.25">
      <c r="A240">
        <v>25.996569000000001</v>
      </c>
      <c r="B240" s="1">
        <f>DATE(2010,5,26) + TIME(23,55,3)</f>
        <v>40324.996562499997</v>
      </c>
      <c r="C240">
        <v>80</v>
      </c>
      <c r="D240">
        <v>79.886764525999993</v>
      </c>
      <c r="E240">
        <v>60</v>
      </c>
      <c r="F240">
        <v>15.000067711</v>
      </c>
      <c r="G240">
        <v>1333.989624</v>
      </c>
      <c r="H240">
        <v>1332.784668</v>
      </c>
      <c r="I240">
        <v>1327.9772949000001</v>
      </c>
      <c r="J240">
        <v>1326.9982910000001</v>
      </c>
      <c r="K240">
        <v>550</v>
      </c>
      <c r="L240">
        <v>0</v>
      </c>
      <c r="M240">
        <v>0</v>
      </c>
      <c r="N240">
        <v>550</v>
      </c>
    </row>
    <row r="241" spans="1:14" x14ac:dyDescent="0.25">
      <c r="A241">
        <v>26.172592999999999</v>
      </c>
      <c r="B241" s="1">
        <f>DATE(2010,5,27) + TIME(4,8,32)</f>
        <v>40325.172592592593</v>
      </c>
      <c r="C241">
        <v>80</v>
      </c>
      <c r="D241">
        <v>79.886726378999995</v>
      </c>
      <c r="E241">
        <v>60</v>
      </c>
      <c r="F241">
        <v>15.000080109000001</v>
      </c>
      <c r="G241">
        <v>1333.9876709</v>
      </c>
      <c r="H241">
        <v>1332.7835693</v>
      </c>
      <c r="I241">
        <v>1327.9776611</v>
      </c>
      <c r="J241">
        <v>1326.9984131000001</v>
      </c>
      <c r="K241">
        <v>550</v>
      </c>
      <c r="L241">
        <v>0</v>
      </c>
      <c r="M241">
        <v>0</v>
      </c>
      <c r="N241">
        <v>550</v>
      </c>
    </row>
    <row r="242" spans="1:14" x14ac:dyDescent="0.25">
      <c r="A242">
        <v>26.348583999999999</v>
      </c>
      <c r="B242" s="1">
        <f>DATE(2010,5,27) + TIME(8,21,57)</f>
        <v>40325.348576388889</v>
      </c>
      <c r="C242">
        <v>80</v>
      </c>
      <c r="D242">
        <v>79.886680603000002</v>
      </c>
      <c r="E242">
        <v>60</v>
      </c>
      <c r="F242">
        <v>15.000092506</v>
      </c>
      <c r="G242">
        <v>1333.9858397999999</v>
      </c>
      <c r="H242">
        <v>1332.7824707</v>
      </c>
      <c r="I242">
        <v>1327.9780272999999</v>
      </c>
      <c r="J242">
        <v>1326.9985352000001</v>
      </c>
      <c r="K242">
        <v>550</v>
      </c>
      <c r="L242">
        <v>0</v>
      </c>
      <c r="M242">
        <v>0</v>
      </c>
      <c r="N242">
        <v>550</v>
      </c>
    </row>
    <row r="243" spans="1:14" x14ac:dyDescent="0.25">
      <c r="A243">
        <v>26.524574000000001</v>
      </c>
      <c r="B243" s="1">
        <f>DATE(2010,5,27) + TIME(12,35,23)</f>
        <v>40325.524571759262</v>
      </c>
      <c r="C243">
        <v>80</v>
      </c>
      <c r="D243">
        <v>79.886642456000004</v>
      </c>
      <c r="E243">
        <v>60</v>
      </c>
      <c r="F243">
        <v>15.000106812</v>
      </c>
      <c r="G243">
        <v>1333.9838867000001</v>
      </c>
      <c r="H243">
        <v>1332.7813721</v>
      </c>
      <c r="I243">
        <v>1327.9783935999999</v>
      </c>
      <c r="J243">
        <v>1326.9986572</v>
      </c>
      <c r="K243">
        <v>550</v>
      </c>
      <c r="L243">
        <v>0</v>
      </c>
      <c r="M243">
        <v>0</v>
      </c>
      <c r="N243">
        <v>550</v>
      </c>
    </row>
    <row r="244" spans="1:14" x14ac:dyDescent="0.25">
      <c r="A244">
        <v>26.700565000000001</v>
      </c>
      <c r="B244" s="1">
        <f>DATE(2010,5,27) + TIME(16,48,48)</f>
        <v>40325.700555555559</v>
      </c>
      <c r="C244">
        <v>80</v>
      </c>
      <c r="D244">
        <v>79.886604309000006</v>
      </c>
      <c r="E244">
        <v>60</v>
      </c>
      <c r="F244">
        <v>15.00012207</v>
      </c>
      <c r="G244">
        <v>1333.9820557</v>
      </c>
      <c r="H244">
        <v>1332.7803954999999</v>
      </c>
      <c r="I244">
        <v>1327.9788818</v>
      </c>
      <c r="J244">
        <v>1326.9987793</v>
      </c>
      <c r="K244">
        <v>550</v>
      </c>
      <c r="L244">
        <v>0</v>
      </c>
      <c r="M244">
        <v>0</v>
      </c>
      <c r="N244">
        <v>550</v>
      </c>
    </row>
    <row r="245" spans="1:14" x14ac:dyDescent="0.25">
      <c r="A245">
        <v>26.876556000000001</v>
      </c>
      <c r="B245" s="1">
        <f>DATE(2010,5,27) + TIME(21,2,14)</f>
        <v>40325.876550925925</v>
      </c>
      <c r="C245">
        <v>80</v>
      </c>
      <c r="D245">
        <v>79.886566161999994</v>
      </c>
      <c r="E245">
        <v>60</v>
      </c>
      <c r="F245">
        <v>15.000138283</v>
      </c>
      <c r="G245">
        <v>1333.9802245999999</v>
      </c>
      <c r="H245">
        <v>1332.7792969</v>
      </c>
      <c r="I245">
        <v>1327.9792480000001</v>
      </c>
      <c r="J245">
        <v>1326.9990233999999</v>
      </c>
      <c r="K245">
        <v>550</v>
      </c>
      <c r="L245">
        <v>0</v>
      </c>
      <c r="M245">
        <v>0</v>
      </c>
      <c r="N245">
        <v>550</v>
      </c>
    </row>
    <row r="246" spans="1:14" x14ac:dyDescent="0.25">
      <c r="A246">
        <v>27.052547000000001</v>
      </c>
      <c r="B246" s="1">
        <f>DATE(2010,5,28) + TIME(1,15,40)</f>
        <v>40326.052546296298</v>
      </c>
      <c r="C246">
        <v>80</v>
      </c>
      <c r="D246">
        <v>79.886535644999995</v>
      </c>
      <c r="E246">
        <v>60</v>
      </c>
      <c r="F246">
        <v>15.000155448999999</v>
      </c>
      <c r="G246">
        <v>1333.9783935999999</v>
      </c>
      <c r="H246">
        <v>1332.7783202999999</v>
      </c>
      <c r="I246">
        <v>1327.9796143000001</v>
      </c>
      <c r="J246">
        <v>1326.9991454999999</v>
      </c>
      <c r="K246">
        <v>550</v>
      </c>
      <c r="L246">
        <v>0</v>
      </c>
      <c r="M246">
        <v>0</v>
      </c>
      <c r="N246">
        <v>550</v>
      </c>
    </row>
    <row r="247" spans="1:14" x14ac:dyDescent="0.25">
      <c r="A247">
        <v>27.228538</v>
      </c>
      <c r="B247" s="1">
        <f>DATE(2010,5,28) + TIME(5,29,5)</f>
        <v>40326.228530092594</v>
      </c>
      <c r="C247">
        <v>80</v>
      </c>
      <c r="D247">
        <v>79.886497497999997</v>
      </c>
      <c r="E247">
        <v>60</v>
      </c>
      <c r="F247">
        <v>15.000174522</v>
      </c>
      <c r="G247">
        <v>1333.9765625</v>
      </c>
      <c r="H247">
        <v>1332.7772216999999</v>
      </c>
      <c r="I247">
        <v>1327.9799805</v>
      </c>
      <c r="J247">
        <v>1326.9992675999999</v>
      </c>
      <c r="K247">
        <v>550</v>
      </c>
      <c r="L247">
        <v>0</v>
      </c>
      <c r="M247">
        <v>0</v>
      </c>
      <c r="N247">
        <v>550</v>
      </c>
    </row>
    <row r="248" spans="1:14" x14ac:dyDescent="0.25">
      <c r="A248">
        <v>27.580518999999999</v>
      </c>
      <c r="B248" s="1">
        <f>DATE(2010,5,28) + TIME(13,55,56)</f>
        <v>40326.580509259256</v>
      </c>
      <c r="C248">
        <v>80</v>
      </c>
      <c r="D248">
        <v>79.886451721</v>
      </c>
      <c r="E248">
        <v>60</v>
      </c>
      <c r="F248">
        <v>15.000213623</v>
      </c>
      <c r="G248">
        <v>1333.9747314000001</v>
      </c>
      <c r="H248">
        <v>1332.7762451000001</v>
      </c>
      <c r="I248">
        <v>1327.9803466999999</v>
      </c>
      <c r="J248">
        <v>1326.9993896000001</v>
      </c>
      <c r="K248">
        <v>550</v>
      </c>
      <c r="L248">
        <v>0</v>
      </c>
      <c r="M248">
        <v>0</v>
      </c>
      <c r="N248">
        <v>550</v>
      </c>
    </row>
    <row r="249" spans="1:14" x14ac:dyDescent="0.25">
      <c r="A249">
        <v>27.933305000000001</v>
      </c>
      <c r="B249" s="1">
        <f>DATE(2010,5,28) + TIME(22,23,57)</f>
        <v>40326.933298611111</v>
      </c>
      <c r="C249">
        <v>80</v>
      </c>
      <c r="D249">
        <v>79.886405945000007</v>
      </c>
      <c r="E249">
        <v>60</v>
      </c>
      <c r="F249">
        <v>15.000258446</v>
      </c>
      <c r="G249">
        <v>1333.9711914</v>
      </c>
      <c r="H249">
        <v>1332.7741699000001</v>
      </c>
      <c r="I249">
        <v>1327.9812012</v>
      </c>
      <c r="J249">
        <v>1326.9996338000001</v>
      </c>
      <c r="K249">
        <v>550</v>
      </c>
      <c r="L249">
        <v>0</v>
      </c>
      <c r="M249">
        <v>0</v>
      </c>
      <c r="N249">
        <v>550</v>
      </c>
    </row>
    <row r="250" spans="1:14" x14ac:dyDescent="0.25">
      <c r="A250">
        <v>28.289292</v>
      </c>
      <c r="B250" s="1">
        <f>DATE(2010,5,29) + TIME(6,56,34)</f>
        <v>40327.289282407408</v>
      </c>
      <c r="C250">
        <v>80</v>
      </c>
      <c r="D250">
        <v>79.886344910000005</v>
      </c>
      <c r="E250">
        <v>60</v>
      </c>
      <c r="F250">
        <v>15.000311851999999</v>
      </c>
      <c r="G250">
        <v>1333.9676514</v>
      </c>
      <c r="H250">
        <v>1332.7722168</v>
      </c>
      <c r="I250">
        <v>1327.9819336</v>
      </c>
      <c r="J250">
        <v>1326.9998779</v>
      </c>
      <c r="K250">
        <v>550</v>
      </c>
      <c r="L250">
        <v>0</v>
      </c>
      <c r="M250">
        <v>0</v>
      </c>
      <c r="N250">
        <v>550</v>
      </c>
    </row>
    <row r="251" spans="1:14" x14ac:dyDescent="0.25">
      <c r="A251">
        <v>28.649215999999999</v>
      </c>
      <c r="B251" s="1">
        <f>DATE(2010,5,29) + TIME(15,34,52)</f>
        <v>40327.649212962962</v>
      </c>
      <c r="C251">
        <v>80</v>
      </c>
      <c r="D251">
        <v>79.886291503999999</v>
      </c>
      <c r="E251">
        <v>60</v>
      </c>
      <c r="F251">
        <v>15.000372886999999</v>
      </c>
      <c r="G251">
        <v>1333.9642334</v>
      </c>
      <c r="H251">
        <v>1332.7702637</v>
      </c>
      <c r="I251">
        <v>1327.9827881000001</v>
      </c>
      <c r="J251">
        <v>1327.0001221</v>
      </c>
      <c r="K251">
        <v>550</v>
      </c>
      <c r="L251">
        <v>0</v>
      </c>
      <c r="M251">
        <v>0</v>
      </c>
      <c r="N251">
        <v>550</v>
      </c>
    </row>
    <row r="252" spans="1:14" x14ac:dyDescent="0.25">
      <c r="A252">
        <v>29.013845</v>
      </c>
      <c r="B252" s="1">
        <f>DATE(2010,5,30) + TIME(0,19,56)</f>
        <v>40328.013842592591</v>
      </c>
      <c r="C252">
        <v>80</v>
      </c>
      <c r="D252">
        <v>79.886230468999997</v>
      </c>
      <c r="E252">
        <v>60</v>
      </c>
      <c r="F252">
        <v>15.000445365999999</v>
      </c>
      <c r="G252">
        <v>1333.9608154</v>
      </c>
      <c r="H252">
        <v>1332.7683105000001</v>
      </c>
      <c r="I252">
        <v>1327.9836425999999</v>
      </c>
      <c r="J252">
        <v>1327.0004882999999</v>
      </c>
      <c r="K252">
        <v>550</v>
      </c>
      <c r="L252">
        <v>0</v>
      </c>
      <c r="M252">
        <v>0</v>
      </c>
      <c r="N252">
        <v>550</v>
      </c>
    </row>
    <row r="253" spans="1:14" x14ac:dyDescent="0.25">
      <c r="A253">
        <v>29.383989</v>
      </c>
      <c r="B253" s="1">
        <f>DATE(2010,5,30) + TIME(9,12,56)</f>
        <v>40328.383981481478</v>
      </c>
      <c r="C253">
        <v>80</v>
      </c>
      <c r="D253">
        <v>79.886177063000005</v>
      </c>
      <c r="E253">
        <v>60</v>
      </c>
      <c r="F253">
        <v>15.000529288999999</v>
      </c>
      <c r="G253">
        <v>1333.9572754000001</v>
      </c>
      <c r="H253">
        <v>1332.7663574000001</v>
      </c>
      <c r="I253">
        <v>1327.9844971</v>
      </c>
      <c r="J253">
        <v>1327.0007324000001</v>
      </c>
      <c r="K253">
        <v>550</v>
      </c>
      <c r="L253">
        <v>0</v>
      </c>
      <c r="M253">
        <v>0</v>
      </c>
      <c r="N253">
        <v>550</v>
      </c>
    </row>
    <row r="254" spans="1:14" x14ac:dyDescent="0.25">
      <c r="A254">
        <v>29.760503</v>
      </c>
      <c r="B254" s="1">
        <f>DATE(2010,5,30) + TIME(18,15,7)</f>
        <v>40328.760497685187</v>
      </c>
      <c r="C254">
        <v>80</v>
      </c>
      <c r="D254">
        <v>79.886116028000004</v>
      </c>
      <c r="E254">
        <v>60</v>
      </c>
      <c r="F254">
        <v>15.000628471000001</v>
      </c>
      <c r="G254">
        <v>1333.9538574000001</v>
      </c>
      <c r="H254">
        <v>1332.7645264</v>
      </c>
      <c r="I254">
        <v>1327.9853516000001</v>
      </c>
      <c r="J254">
        <v>1327.0009766000001</v>
      </c>
      <c r="K254">
        <v>550</v>
      </c>
      <c r="L254">
        <v>0</v>
      </c>
      <c r="M254">
        <v>0</v>
      </c>
      <c r="N254">
        <v>550</v>
      </c>
    </row>
    <row r="255" spans="1:14" x14ac:dyDescent="0.25">
      <c r="A255">
        <v>30.144299</v>
      </c>
      <c r="B255" s="1">
        <f>DATE(2010,5,31) + TIME(3,27,47)</f>
        <v>40329.144293981481</v>
      </c>
      <c r="C255">
        <v>80</v>
      </c>
      <c r="D255">
        <v>79.886054993000002</v>
      </c>
      <c r="E255">
        <v>60</v>
      </c>
      <c r="F255">
        <v>15.00074482</v>
      </c>
      <c r="G255">
        <v>1333.9504394999999</v>
      </c>
      <c r="H255">
        <v>1332.7625731999999</v>
      </c>
      <c r="I255">
        <v>1327.9862060999999</v>
      </c>
      <c r="J255">
        <v>1327.0013428</v>
      </c>
      <c r="K255">
        <v>550</v>
      </c>
      <c r="L255">
        <v>0</v>
      </c>
      <c r="M255">
        <v>0</v>
      </c>
      <c r="N255">
        <v>550</v>
      </c>
    </row>
    <row r="256" spans="1:14" x14ac:dyDescent="0.25">
      <c r="A256">
        <v>30.536387999999999</v>
      </c>
      <c r="B256" s="1">
        <f>DATE(2010,5,31) + TIME(12,52,23)</f>
        <v>40329.536377314813</v>
      </c>
      <c r="C256">
        <v>80</v>
      </c>
      <c r="D256">
        <v>79.885993958</v>
      </c>
      <c r="E256">
        <v>60</v>
      </c>
      <c r="F256">
        <v>15.000881195</v>
      </c>
      <c r="G256">
        <v>1333.9470214999999</v>
      </c>
      <c r="H256">
        <v>1332.7606201000001</v>
      </c>
      <c r="I256">
        <v>1327.9871826000001</v>
      </c>
      <c r="J256">
        <v>1327.0015868999999</v>
      </c>
      <c r="K256">
        <v>550</v>
      </c>
      <c r="L256">
        <v>0</v>
      </c>
      <c r="M256">
        <v>0</v>
      </c>
      <c r="N256">
        <v>550</v>
      </c>
    </row>
    <row r="257" spans="1:14" x14ac:dyDescent="0.25">
      <c r="A257">
        <v>30.934842</v>
      </c>
      <c r="B257" s="1">
        <f>DATE(2010,5,31) + TIME(22,26,10)</f>
        <v>40329.934837962966</v>
      </c>
      <c r="C257">
        <v>80</v>
      </c>
      <c r="D257">
        <v>79.885932921999995</v>
      </c>
      <c r="E257">
        <v>60</v>
      </c>
      <c r="F257">
        <v>15.001041411999999</v>
      </c>
      <c r="G257">
        <v>1333.9434814000001</v>
      </c>
      <c r="H257">
        <v>1332.7586670000001</v>
      </c>
      <c r="I257">
        <v>1327.9881591999999</v>
      </c>
      <c r="J257">
        <v>1327.0019531</v>
      </c>
      <c r="K257">
        <v>550</v>
      </c>
      <c r="L257">
        <v>0</v>
      </c>
      <c r="M257">
        <v>0</v>
      </c>
      <c r="N257">
        <v>550</v>
      </c>
    </row>
    <row r="258" spans="1:14" x14ac:dyDescent="0.25">
      <c r="A258">
        <v>31</v>
      </c>
      <c r="B258" s="1">
        <f>DATE(2010,6,1) + TIME(0,0,0)</f>
        <v>40330</v>
      </c>
      <c r="C258">
        <v>80</v>
      </c>
      <c r="D258">
        <v>79.885910034000005</v>
      </c>
      <c r="E258">
        <v>60</v>
      </c>
      <c r="F258">
        <v>15.001074791000001</v>
      </c>
      <c r="G258">
        <v>1333.9400635</v>
      </c>
      <c r="H258">
        <v>1332.7568358999999</v>
      </c>
      <c r="I258">
        <v>1327.9891356999999</v>
      </c>
      <c r="J258">
        <v>1327.0021973</v>
      </c>
      <c r="K258">
        <v>550</v>
      </c>
      <c r="L258">
        <v>0</v>
      </c>
      <c r="M258">
        <v>0</v>
      </c>
      <c r="N258">
        <v>550</v>
      </c>
    </row>
    <row r="259" spans="1:14" x14ac:dyDescent="0.25">
      <c r="A259">
        <v>31.403002000000001</v>
      </c>
      <c r="B259" s="1">
        <f>DATE(2010,6,1) + TIME(9,40,19)</f>
        <v>40330.402997685182</v>
      </c>
      <c r="C259">
        <v>80</v>
      </c>
      <c r="D259">
        <v>79.885856627999999</v>
      </c>
      <c r="E259">
        <v>60</v>
      </c>
      <c r="F259">
        <v>15.001266479</v>
      </c>
      <c r="G259">
        <v>1333.9394531</v>
      </c>
      <c r="H259">
        <v>1332.7564697</v>
      </c>
      <c r="I259">
        <v>1327.9892577999999</v>
      </c>
      <c r="J259">
        <v>1327.0023193</v>
      </c>
      <c r="K259">
        <v>550</v>
      </c>
      <c r="L259">
        <v>0</v>
      </c>
      <c r="M259">
        <v>0</v>
      </c>
      <c r="N259">
        <v>550</v>
      </c>
    </row>
    <row r="260" spans="1:14" x14ac:dyDescent="0.25">
      <c r="A260">
        <v>31.81249</v>
      </c>
      <c r="B260" s="1">
        <f>DATE(2010,6,1) + TIME(19,29,59)</f>
        <v>40330.812488425923</v>
      </c>
      <c r="C260">
        <v>80</v>
      </c>
      <c r="D260">
        <v>79.885803222999996</v>
      </c>
      <c r="E260">
        <v>60</v>
      </c>
      <c r="F260">
        <v>15.001491547000001</v>
      </c>
      <c r="G260">
        <v>1333.9360352000001</v>
      </c>
      <c r="H260">
        <v>1332.7546387</v>
      </c>
      <c r="I260">
        <v>1327.9902344</v>
      </c>
      <c r="J260">
        <v>1327.0025635</v>
      </c>
      <c r="K260">
        <v>550</v>
      </c>
      <c r="L260">
        <v>0</v>
      </c>
      <c r="M260">
        <v>0</v>
      </c>
      <c r="N260">
        <v>550</v>
      </c>
    </row>
    <row r="261" spans="1:14" x14ac:dyDescent="0.25">
      <c r="A261">
        <v>32.017584999999997</v>
      </c>
      <c r="B261" s="1">
        <f>DATE(2010,6,2) + TIME(0,25,19)</f>
        <v>40331.017581018517</v>
      </c>
      <c r="C261">
        <v>80</v>
      </c>
      <c r="D261">
        <v>79.885757446</v>
      </c>
      <c r="E261">
        <v>60</v>
      </c>
      <c r="F261">
        <v>15.001628876</v>
      </c>
      <c r="G261">
        <v>1333.9326172000001</v>
      </c>
      <c r="H261">
        <v>1332.7526855000001</v>
      </c>
      <c r="I261">
        <v>1327.9913329999999</v>
      </c>
      <c r="J261">
        <v>1327.0029297000001</v>
      </c>
      <c r="K261">
        <v>550</v>
      </c>
      <c r="L261">
        <v>0</v>
      </c>
      <c r="M261">
        <v>0</v>
      </c>
      <c r="N261">
        <v>550</v>
      </c>
    </row>
    <row r="262" spans="1:14" x14ac:dyDescent="0.25">
      <c r="A262">
        <v>32.222679999999997</v>
      </c>
      <c r="B262" s="1">
        <f>DATE(2010,6,2) + TIME(5,20,39)</f>
        <v>40331.222673611112</v>
      </c>
      <c r="C262">
        <v>80</v>
      </c>
      <c r="D262">
        <v>79.885719299000002</v>
      </c>
      <c r="E262">
        <v>60</v>
      </c>
      <c r="F262">
        <v>15.001775742</v>
      </c>
      <c r="G262">
        <v>1333.9309082</v>
      </c>
      <c r="H262">
        <v>1332.7517089999999</v>
      </c>
      <c r="I262">
        <v>1327.9918213000001</v>
      </c>
      <c r="J262">
        <v>1327.0031738</v>
      </c>
      <c r="K262">
        <v>550</v>
      </c>
      <c r="L262">
        <v>0</v>
      </c>
      <c r="M262">
        <v>0</v>
      </c>
      <c r="N262">
        <v>550</v>
      </c>
    </row>
    <row r="263" spans="1:14" x14ac:dyDescent="0.25">
      <c r="A263">
        <v>32.427774999999997</v>
      </c>
      <c r="B263" s="1">
        <f>DATE(2010,6,2) + TIME(10,15,59)</f>
        <v>40331.427766203706</v>
      </c>
      <c r="C263">
        <v>80</v>
      </c>
      <c r="D263">
        <v>79.885681152000004</v>
      </c>
      <c r="E263">
        <v>60</v>
      </c>
      <c r="F263">
        <v>15.001934051999999</v>
      </c>
      <c r="G263">
        <v>1333.9293213000001</v>
      </c>
      <c r="H263">
        <v>1332.7508545000001</v>
      </c>
      <c r="I263">
        <v>1327.9923096</v>
      </c>
      <c r="J263">
        <v>1327.0032959</v>
      </c>
      <c r="K263">
        <v>550</v>
      </c>
      <c r="L263">
        <v>0</v>
      </c>
      <c r="M263">
        <v>0</v>
      </c>
      <c r="N263">
        <v>550</v>
      </c>
    </row>
    <row r="264" spans="1:14" x14ac:dyDescent="0.25">
      <c r="A264">
        <v>32.632868999999999</v>
      </c>
      <c r="B264" s="1">
        <f>DATE(2010,6,2) + TIME(15,11,19)</f>
        <v>40331.6328587963</v>
      </c>
      <c r="C264">
        <v>80</v>
      </c>
      <c r="D264">
        <v>79.885643005000006</v>
      </c>
      <c r="E264">
        <v>60</v>
      </c>
      <c r="F264">
        <v>15.002102852</v>
      </c>
      <c r="G264">
        <v>1333.9276123</v>
      </c>
      <c r="H264">
        <v>1332.7498779</v>
      </c>
      <c r="I264">
        <v>1327.9929199000001</v>
      </c>
      <c r="J264">
        <v>1327.003418</v>
      </c>
      <c r="K264">
        <v>550</v>
      </c>
      <c r="L264">
        <v>0</v>
      </c>
      <c r="M264">
        <v>0</v>
      </c>
      <c r="N264">
        <v>550</v>
      </c>
    </row>
    <row r="265" spans="1:14" x14ac:dyDescent="0.25">
      <c r="A265">
        <v>32.837963999999999</v>
      </c>
      <c r="B265" s="1">
        <f>DATE(2010,6,2) + TIME(20,6,40)</f>
        <v>40331.837962962964</v>
      </c>
      <c r="C265">
        <v>80</v>
      </c>
      <c r="D265">
        <v>79.885612488000007</v>
      </c>
      <c r="E265">
        <v>60</v>
      </c>
      <c r="F265">
        <v>15.002285004000001</v>
      </c>
      <c r="G265">
        <v>1333.9260254000001</v>
      </c>
      <c r="H265">
        <v>1332.7490233999999</v>
      </c>
      <c r="I265">
        <v>1327.9934082</v>
      </c>
      <c r="J265">
        <v>1327.0036620999999</v>
      </c>
      <c r="K265">
        <v>550</v>
      </c>
      <c r="L265">
        <v>0</v>
      </c>
      <c r="M265">
        <v>0</v>
      </c>
      <c r="N265">
        <v>550</v>
      </c>
    </row>
    <row r="266" spans="1:14" x14ac:dyDescent="0.25">
      <c r="A266">
        <v>33.043059</v>
      </c>
      <c r="B266" s="1">
        <f>DATE(2010,6,3) + TIME(1,2,0)</f>
        <v>40332.043055555558</v>
      </c>
      <c r="C266">
        <v>80</v>
      </c>
      <c r="D266">
        <v>79.885581970000004</v>
      </c>
      <c r="E266">
        <v>60</v>
      </c>
      <c r="F266">
        <v>15.002479553000001</v>
      </c>
      <c r="G266">
        <v>1333.9243164</v>
      </c>
      <c r="H266">
        <v>1332.7481689000001</v>
      </c>
      <c r="I266">
        <v>1327.9940185999999</v>
      </c>
      <c r="J266">
        <v>1327.0037841999999</v>
      </c>
      <c r="K266">
        <v>550</v>
      </c>
      <c r="L266">
        <v>0</v>
      </c>
      <c r="M266">
        <v>0</v>
      </c>
      <c r="N266">
        <v>550</v>
      </c>
    </row>
    <row r="267" spans="1:14" x14ac:dyDescent="0.25">
      <c r="A267">
        <v>33.248154</v>
      </c>
      <c r="B267" s="1">
        <f>DATE(2010,6,3) + TIME(5,57,20)</f>
        <v>40332.248148148145</v>
      </c>
      <c r="C267">
        <v>80</v>
      </c>
      <c r="D267">
        <v>79.885551453000005</v>
      </c>
      <c r="E267">
        <v>60</v>
      </c>
      <c r="F267">
        <v>15.002688407999999</v>
      </c>
      <c r="G267">
        <v>1333.9227295000001</v>
      </c>
      <c r="H267">
        <v>1332.7471923999999</v>
      </c>
      <c r="I267">
        <v>1327.9945068</v>
      </c>
      <c r="J267">
        <v>1327.0040283000001</v>
      </c>
      <c r="K267">
        <v>550</v>
      </c>
      <c r="L267">
        <v>0</v>
      </c>
      <c r="M267">
        <v>0</v>
      </c>
      <c r="N267">
        <v>550</v>
      </c>
    </row>
    <row r="268" spans="1:14" x14ac:dyDescent="0.25">
      <c r="A268">
        <v>33.453249</v>
      </c>
      <c r="B268" s="1">
        <f>DATE(2010,6,3) + TIME(10,52,40)</f>
        <v>40332.453240740739</v>
      </c>
      <c r="C268">
        <v>80</v>
      </c>
      <c r="D268">
        <v>79.885520935000002</v>
      </c>
      <c r="E268">
        <v>60</v>
      </c>
      <c r="F268">
        <v>15.002911568</v>
      </c>
      <c r="G268">
        <v>1333.9211425999999</v>
      </c>
      <c r="H268">
        <v>1332.7463379000001</v>
      </c>
      <c r="I268">
        <v>1327.9951172000001</v>
      </c>
      <c r="J268">
        <v>1327.0041504000001</v>
      </c>
      <c r="K268">
        <v>550</v>
      </c>
      <c r="L268">
        <v>0</v>
      </c>
      <c r="M268">
        <v>0</v>
      </c>
      <c r="N268">
        <v>550</v>
      </c>
    </row>
    <row r="269" spans="1:14" x14ac:dyDescent="0.25">
      <c r="A269">
        <v>33.658343000000002</v>
      </c>
      <c r="B269" s="1">
        <f>DATE(2010,6,3) + TIME(15,48,0)</f>
        <v>40332.658333333333</v>
      </c>
      <c r="C269">
        <v>80</v>
      </c>
      <c r="D269">
        <v>79.885490417</v>
      </c>
      <c r="E269">
        <v>60</v>
      </c>
      <c r="F269">
        <v>15.003149986</v>
      </c>
      <c r="G269">
        <v>1333.9195557</v>
      </c>
      <c r="H269">
        <v>1332.7454834</v>
      </c>
      <c r="I269">
        <v>1327.9956055</v>
      </c>
      <c r="J269">
        <v>1327.0043945</v>
      </c>
      <c r="K269">
        <v>550</v>
      </c>
      <c r="L269">
        <v>0</v>
      </c>
      <c r="M269">
        <v>0</v>
      </c>
      <c r="N269">
        <v>550</v>
      </c>
    </row>
    <row r="270" spans="1:14" x14ac:dyDescent="0.25">
      <c r="A270">
        <v>33.863438000000002</v>
      </c>
      <c r="B270" s="1">
        <f>DATE(2010,6,3) + TIME(20,43,21)</f>
        <v>40332.863437499997</v>
      </c>
      <c r="C270">
        <v>80</v>
      </c>
      <c r="D270">
        <v>79.885467528999996</v>
      </c>
      <c r="E270">
        <v>60</v>
      </c>
      <c r="F270">
        <v>15.003405571</v>
      </c>
      <c r="G270">
        <v>1333.9179687999999</v>
      </c>
      <c r="H270">
        <v>1332.7446289</v>
      </c>
      <c r="I270">
        <v>1327.9962158000001</v>
      </c>
      <c r="J270">
        <v>1327.0045166</v>
      </c>
      <c r="K270">
        <v>550</v>
      </c>
      <c r="L270">
        <v>0</v>
      </c>
      <c r="M270">
        <v>0</v>
      </c>
      <c r="N270">
        <v>550</v>
      </c>
    </row>
    <row r="271" spans="1:14" x14ac:dyDescent="0.25">
      <c r="A271">
        <v>34.068533000000002</v>
      </c>
      <c r="B271" s="1">
        <f>DATE(2010,6,4) + TIME(1,38,41)</f>
        <v>40333.068530092591</v>
      </c>
      <c r="C271">
        <v>80</v>
      </c>
      <c r="D271">
        <v>79.885437011999997</v>
      </c>
      <c r="E271">
        <v>60</v>
      </c>
      <c r="F271">
        <v>15.003679276</v>
      </c>
      <c r="G271">
        <v>1333.9163818</v>
      </c>
      <c r="H271">
        <v>1332.7437743999999</v>
      </c>
      <c r="I271">
        <v>1327.9967041</v>
      </c>
      <c r="J271">
        <v>1327.0047606999999</v>
      </c>
      <c r="K271">
        <v>550</v>
      </c>
      <c r="L271">
        <v>0</v>
      </c>
      <c r="M271">
        <v>0</v>
      </c>
      <c r="N271">
        <v>550</v>
      </c>
    </row>
    <row r="272" spans="1:14" x14ac:dyDescent="0.25">
      <c r="A272">
        <v>34.478721999999998</v>
      </c>
      <c r="B272" s="1">
        <f>DATE(2010,6,4) + TIME(11,29,21)</f>
        <v>40333.478715277779</v>
      </c>
      <c r="C272">
        <v>80</v>
      </c>
      <c r="D272">
        <v>79.885406493999994</v>
      </c>
      <c r="E272">
        <v>60</v>
      </c>
      <c r="F272">
        <v>15.004232407</v>
      </c>
      <c r="G272">
        <v>1333.9149170000001</v>
      </c>
      <c r="H272">
        <v>1332.7429199000001</v>
      </c>
      <c r="I272">
        <v>1327.9973144999999</v>
      </c>
      <c r="J272">
        <v>1327.0048827999999</v>
      </c>
      <c r="K272">
        <v>550</v>
      </c>
      <c r="L272">
        <v>0</v>
      </c>
      <c r="M272">
        <v>0</v>
      </c>
      <c r="N272">
        <v>550</v>
      </c>
    </row>
    <row r="273" spans="1:14" x14ac:dyDescent="0.25">
      <c r="A273">
        <v>34.889671</v>
      </c>
      <c r="B273" s="1">
        <f>DATE(2010,6,4) + TIME(21,21,7)</f>
        <v>40333.889664351853</v>
      </c>
      <c r="C273">
        <v>80</v>
      </c>
      <c r="D273">
        <v>79.885375976999995</v>
      </c>
      <c r="E273">
        <v>60</v>
      </c>
      <c r="F273">
        <v>15.004865646000001</v>
      </c>
      <c r="G273">
        <v>1333.9118652</v>
      </c>
      <c r="H273">
        <v>1332.7413329999999</v>
      </c>
      <c r="I273">
        <v>1327.9984131000001</v>
      </c>
      <c r="J273">
        <v>1327.005249</v>
      </c>
      <c r="K273">
        <v>550</v>
      </c>
      <c r="L273">
        <v>0</v>
      </c>
      <c r="M273">
        <v>0</v>
      </c>
      <c r="N273">
        <v>550</v>
      </c>
    </row>
    <row r="274" spans="1:14" x14ac:dyDescent="0.25">
      <c r="A274">
        <v>35.304744999999997</v>
      </c>
      <c r="B274" s="1">
        <f>DATE(2010,6,5) + TIME(7,18,49)</f>
        <v>40334.3047337963</v>
      </c>
      <c r="C274">
        <v>80</v>
      </c>
      <c r="D274">
        <v>79.885337829999997</v>
      </c>
      <c r="E274">
        <v>60</v>
      </c>
      <c r="F274">
        <v>15.005594254</v>
      </c>
      <c r="G274">
        <v>1333.9088135</v>
      </c>
      <c r="H274">
        <v>1332.739624</v>
      </c>
      <c r="I274">
        <v>1327.9995117000001</v>
      </c>
      <c r="J274">
        <v>1327.0056152</v>
      </c>
      <c r="K274">
        <v>550</v>
      </c>
      <c r="L274">
        <v>0</v>
      </c>
      <c r="M274">
        <v>0</v>
      </c>
      <c r="N274">
        <v>550</v>
      </c>
    </row>
    <row r="275" spans="1:14" x14ac:dyDescent="0.25">
      <c r="A275">
        <v>35.724867000000003</v>
      </c>
      <c r="B275" s="1">
        <f>DATE(2010,6,5) + TIME(17,23,48)</f>
        <v>40334.724861111114</v>
      </c>
      <c r="C275">
        <v>80</v>
      </c>
      <c r="D275">
        <v>79.885299683</v>
      </c>
      <c r="E275">
        <v>60</v>
      </c>
      <c r="F275">
        <v>15.006432533</v>
      </c>
      <c r="G275">
        <v>1333.9057617000001</v>
      </c>
      <c r="H275">
        <v>1332.7380370999999</v>
      </c>
      <c r="I275">
        <v>1328.0007324000001</v>
      </c>
      <c r="J275">
        <v>1327.0059814000001</v>
      </c>
      <c r="K275">
        <v>550</v>
      </c>
      <c r="L275">
        <v>0</v>
      </c>
      <c r="M275">
        <v>0</v>
      </c>
      <c r="N275">
        <v>550</v>
      </c>
    </row>
    <row r="276" spans="1:14" x14ac:dyDescent="0.25">
      <c r="A276">
        <v>36.151009999999999</v>
      </c>
      <c r="B276" s="1">
        <f>DATE(2010,6,6) + TIME(3,37,27)</f>
        <v>40335.151006944441</v>
      </c>
      <c r="C276">
        <v>80</v>
      </c>
      <c r="D276">
        <v>79.885261536000002</v>
      </c>
      <c r="E276">
        <v>60</v>
      </c>
      <c r="F276">
        <v>15.007397652</v>
      </c>
      <c r="G276">
        <v>1333.902832</v>
      </c>
      <c r="H276">
        <v>1332.7363281</v>
      </c>
      <c r="I276">
        <v>1328.0019531</v>
      </c>
      <c r="J276">
        <v>1327.0064697</v>
      </c>
      <c r="K276">
        <v>550</v>
      </c>
      <c r="L276">
        <v>0</v>
      </c>
      <c r="M276">
        <v>0</v>
      </c>
      <c r="N276">
        <v>550</v>
      </c>
    </row>
    <row r="277" spans="1:14" x14ac:dyDescent="0.25">
      <c r="A277">
        <v>36.584203000000002</v>
      </c>
      <c r="B277" s="1">
        <f>DATE(2010,6,6) + TIME(14,1,15)</f>
        <v>40335.584201388891</v>
      </c>
      <c r="C277">
        <v>80</v>
      </c>
      <c r="D277">
        <v>79.885215759000005</v>
      </c>
      <c r="E277">
        <v>60</v>
      </c>
      <c r="F277">
        <v>15.008511542999999</v>
      </c>
      <c r="G277">
        <v>1333.8997803</v>
      </c>
      <c r="H277">
        <v>1332.7347411999999</v>
      </c>
      <c r="I277">
        <v>1328.0031738</v>
      </c>
      <c r="J277">
        <v>1327.0068358999999</v>
      </c>
      <c r="K277">
        <v>550</v>
      </c>
      <c r="L277">
        <v>0</v>
      </c>
      <c r="M277">
        <v>0</v>
      </c>
      <c r="N277">
        <v>550</v>
      </c>
    </row>
    <row r="278" spans="1:14" x14ac:dyDescent="0.25">
      <c r="A278">
        <v>37.025559999999999</v>
      </c>
      <c r="B278" s="1">
        <f>DATE(2010,6,7) + TIME(0,36,48)</f>
        <v>40336.025555555556</v>
      </c>
      <c r="C278">
        <v>80</v>
      </c>
      <c r="D278">
        <v>79.885177612000007</v>
      </c>
      <c r="E278">
        <v>60</v>
      </c>
      <c r="F278">
        <v>15.009798050000001</v>
      </c>
      <c r="G278">
        <v>1333.8968506000001</v>
      </c>
      <c r="H278">
        <v>1332.7331543</v>
      </c>
      <c r="I278">
        <v>1328.0043945</v>
      </c>
      <c r="J278">
        <v>1327.0072021000001</v>
      </c>
      <c r="K278">
        <v>550</v>
      </c>
      <c r="L278">
        <v>0</v>
      </c>
      <c r="M278">
        <v>0</v>
      </c>
      <c r="N278">
        <v>550</v>
      </c>
    </row>
    <row r="279" spans="1:14" x14ac:dyDescent="0.25">
      <c r="A279">
        <v>37.476275999999999</v>
      </c>
      <c r="B279" s="1">
        <f>DATE(2010,6,7) + TIME(11,25,50)</f>
        <v>40336.476273148146</v>
      </c>
      <c r="C279">
        <v>80</v>
      </c>
      <c r="D279">
        <v>79.885139464999995</v>
      </c>
      <c r="E279">
        <v>60</v>
      </c>
      <c r="F279">
        <v>15.011287689</v>
      </c>
      <c r="G279">
        <v>1333.8937988</v>
      </c>
      <c r="H279">
        <v>1332.7314452999999</v>
      </c>
      <c r="I279">
        <v>1328.0057373</v>
      </c>
      <c r="J279">
        <v>1327.0076904</v>
      </c>
      <c r="K279">
        <v>550</v>
      </c>
      <c r="L279">
        <v>0</v>
      </c>
      <c r="M279">
        <v>0</v>
      </c>
      <c r="N279">
        <v>550</v>
      </c>
    </row>
    <row r="280" spans="1:14" x14ac:dyDescent="0.25">
      <c r="A280">
        <v>37.937686999999997</v>
      </c>
      <c r="B280" s="1">
        <f>DATE(2010,6,7) + TIME(22,30,16)</f>
        <v>40336.937685185185</v>
      </c>
      <c r="C280">
        <v>80</v>
      </c>
      <c r="D280">
        <v>79.885101317999997</v>
      </c>
      <c r="E280">
        <v>60</v>
      </c>
      <c r="F280">
        <v>15.013018607999999</v>
      </c>
      <c r="G280">
        <v>1333.8908690999999</v>
      </c>
      <c r="H280">
        <v>1332.7298584</v>
      </c>
      <c r="I280">
        <v>1328.0070800999999</v>
      </c>
      <c r="J280">
        <v>1327.0080565999999</v>
      </c>
      <c r="K280">
        <v>550</v>
      </c>
      <c r="L280">
        <v>0</v>
      </c>
      <c r="M280">
        <v>0</v>
      </c>
      <c r="N280">
        <v>550</v>
      </c>
    </row>
    <row r="281" spans="1:14" x14ac:dyDescent="0.25">
      <c r="A281">
        <v>38.408344999999997</v>
      </c>
      <c r="B281" s="1">
        <f>DATE(2010,6,8) + TIME(9,48,0)</f>
        <v>40337.408333333333</v>
      </c>
      <c r="C281">
        <v>80</v>
      </c>
      <c r="D281">
        <v>79.885070800999998</v>
      </c>
      <c r="E281">
        <v>60</v>
      </c>
      <c r="F281">
        <v>15.015023232000001</v>
      </c>
      <c r="G281">
        <v>1333.8878173999999</v>
      </c>
      <c r="H281">
        <v>1332.7281493999999</v>
      </c>
      <c r="I281">
        <v>1328.0085449000001</v>
      </c>
      <c r="J281">
        <v>1327.0085449000001</v>
      </c>
      <c r="K281">
        <v>550</v>
      </c>
      <c r="L281">
        <v>0</v>
      </c>
      <c r="M281">
        <v>0</v>
      </c>
      <c r="N281">
        <v>550</v>
      </c>
    </row>
    <row r="282" spans="1:14" x14ac:dyDescent="0.25">
      <c r="A282">
        <v>38.882688000000002</v>
      </c>
      <c r="B282" s="1">
        <f>DATE(2010,6,8) + TIME(21,11,4)</f>
        <v>40337.882685185185</v>
      </c>
      <c r="C282">
        <v>80</v>
      </c>
      <c r="D282">
        <v>79.885032654</v>
      </c>
      <c r="E282">
        <v>60</v>
      </c>
      <c r="F282">
        <v>15.01732254</v>
      </c>
      <c r="G282">
        <v>1333.8847656</v>
      </c>
      <c r="H282">
        <v>1332.7264404</v>
      </c>
      <c r="I282">
        <v>1328.0100098</v>
      </c>
      <c r="J282">
        <v>1327.0090332</v>
      </c>
      <c r="K282">
        <v>550</v>
      </c>
      <c r="L282">
        <v>0</v>
      </c>
      <c r="M282">
        <v>0</v>
      </c>
      <c r="N282">
        <v>550</v>
      </c>
    </row>
    <row r="283" spans="1:14" x14ac:dyDescent="0.25">
      <c r="A283">
        <v>39.121859000000001</v>
      </c>
      <c r="B283" s="1">
        <f>DATE(2010,6,9) + TIME(2,55,28)</f>
        <v>40338.121851851851</v>
      </c>
      <c r="C283">
        <v>80</v>
      </c>
      <c r="D283">
        <v>79.885002135999997</v>
      </c>
      <c r="E283">
        <v>60</v>
      </c>
      <c r="F283">
        <v>15.018725395000001</v>
      </c>
      <c r="G283">
        <v>1333.8817139</v>
      </c>
      <c r="H283">
        <v>1332.7247314000001</v>
      </c>
      <c r="I283">
        <v>1328.0114745999999</v>
      </c>
      <c r="J283">
        <v>1327.0095214999999</v>
      </c>
      <c r="K283">
        <v>550</v>
      </c>
      <c r="L283">
        <v>0</v>
      </c>
      <c r="M283">
        <v>0</v>
      </c>
      <c r="N283">
        <v>550</v>
      </c>
    </row>
    <row r="284" spans="1:14" x14ac:dyDescent="0.25">
      <c r="A284">
        <v>39.361029000000002</v>
      </c>
      <c r="B284" s="1">
        <f>DATE(2010,6,9) + TIME(8,39,52)</f>
        <v>40338.361018518517</v>
      </c>
      <c r="C284">
        <v>80</v>
      </c>
      <c r="D284">
        <v>79.884971618999998</v>
      </c>
      <c r="E284">
        <v>60</v>
      </c>
      <c r="F284">
        <v>15.020217896</v>
      </c>
      <c r="G284">
        <v>1333.8801269999999</v>
      </c>
      <c r="H284">
        <v>1332.7238769999999</v>
      </c>
      <c r="I284">
        <v>1328.012207</v>
      </c>
      <c r="J284">
        <v>1327.0097656</v>
      </c>
      <c r="K284">
        <v>550</v>
      </c>
      <c r="L284">
        <v>0</v>
      </c>
      <c r="M284">
        <v>0</v>
      </c>
      <c r="N284">
        <v>550</v>
      </c>
    </row>
    <row r="285" spans="1:14" x14ac:dyDescent="0.25">
      <c r="A285">
        <v>39.600199000000003</v>
      </c>
      <c r="B285" s="1">
        <f>DATE(2010,6,9) + TIME(14,24,17)</f>
        <v>40338.60019675926</v>
      </c>
      <c r="C285">
        <v>80</v>
      </c>
      <c r="D285">
        <v>79.884948730000005</v>
      </c>
      <c r="E285">
        <v>60</v>
      </c>
      <c r="F285">
        <v>15.021804810000001</v>
      </c>
      <c r="G285">
        <v>1333.8786620999999</v>
      </c>
      <c r="H285">
        <v>1332.7231445</v>
      </c>
      <c r="I285">
        <v>1328.0130615</v>
      </c>
      <c r="J285">
        <v>1327.0100098</v>
      </c>
      <c r="K285">
        <v>550</v>
      </c>
      <c r="L285">
        <v>0</v>
      </c>
      <c r="M285">
        <v>0</v>
      </c>
      <c r="N285">
        <v>550</v>
      </c>
    </row>
    <row r="286" spans="1:14" x14ac:dyDescent="0.25">
      <c r="A286">
        <v>39.839370000000002</v>
      </c>
      <c r="B286" s="1">
        <f>DATE(2010,6,9) + TIME(20,8,41)</f>
        <v>40338.839363425926</v>
      </c>
      <c r="C286">
        <v>80</v>
      </c>
      <c r="D286">
        <v>79.884925842000001</v>
      </c>
      <c r="E286">
        <v>60</v>
      </c>
      <c r="F286">
        <v>15.023493767</v>
      </c>
      <c r="G286">
        <v>1333.8771973</v>
      </c>
      <c r="H286">
        <v>1332.7222899999999</v>
      </c>
      <c r="I286">
        <v>1328.0137939000001</v>
      </c>
      <c r="J286">
        <v>1327.0102539</v>
      </c>
      <c r="K286">
        <v>550</v>
      </c>
      <c r="L286">
        <v>0</v>
      </c>
      <c r="M286">
        <v>0</v>
      </c>
      <c r="N286">
        <v>550</v>
      </c>
    </row>
    <row r="287" spans="1:14" x14ac:dyDescent="0.25">
      <c r="A287">
        <v>40.078539999999997</v>
      </c>
      <c r="B287" s="1">
        <f>DATE(2010,6,10) + TIME(1,53,5)</f>
        <v>40339.078530092593</v>
      </c>
      <c r="C287">
        <v>80</v>
      </c>
      <c r="D287">
        <v>79.884902953999998</v>
      </c>
      <c r="E287">
        <v>60</v>
      </c>
      <c r="F287">
        <v>15.025288582</v>
      </c>
      <c r="G287">
        <v>1333.8757324000001</v>
      </c>
      <c r="H287">
        <v>1332.7214355000001</v>
      </c>
      <c r="I287">
        <v>1328.0146483999999</v>
      </c>
      <c r="J287">
        <v>1327.0104980000001</v>
      </c>
      <c r="K287">
        <v>550</v>
      </c>
      <c r="L287">
        <v>0</v>
      </c>
      <c r="M287">
        <v>0</v>
      </c>
      <c r="N287">
        <v>550</v>
      </c>
    </row>
    <row r="288" spans="1:14" x14ac:dyDescent="0.25">
      <c r="A288">
        <v>40.317711000000003</v>
      </c>
      <c r="B288" s="1">
        <f>DATE(2010,6,10) + TIME(7,37,30)</f>
        <v>40339.317708333336</v>
      </c>
      <c r="C288">
        <v>80</v>
      </c>
      <c r="D288">
        <v>79.884880065999994</v>
      </c>
      <c r="E288">
        <v>60</v>
      </c>
      <c r="F288">
        <v>15.027196884</v>
      </c>
      <c r="G288">
        <v>1333.8742675999999</v>
      </c>
      <c r="H288">
        <v>1332.7207031</v>
      </c>
      <c r="I288">
        <v>1328.0153809000001</v>
      </c>
      <c r="J288">
        <v>1327.0108643000001</v>
      </c>
      <c r="K288">
        <v>550</v>
      </c>
      <c r="L288">
        <v>0</v>
      </c>
      <c r="M288">
        <v>0</v>
      </c>
      <c r="N288">
        <v>550</v>
      </c>
    </row>
    <row r="289" spans="1:14" x14ac:dyDescent="0.25">
      <c r="A289">
        <v>40.556880999999997</v>
      </c>
      <c r="B289" s="1">
        <f>DATE(2010,6,10) + TIME(13,21,54)</f>
        <v>40339.556875000002</v>
      </c>
      <c r="C289">
        <v>80</v>
      </c>
      <c r="D289">
        <v>79.884864807</v>
      </c>
      <c r="E289">
        <v>60</v>
      </c>
      <c r="F289">
        <v>15.029224396</v>
      </c>
      <c r="G289">
        <v>1333.8728027</v>
      </c>
      <c r="H289">
        <v>1332.7198486</v>
      </c>
      <c r="I289">
        <v>1328.0162353999999</v>
      </c>
      <c r="J289">
        <v>1327.0111084</v>
      </c>
      <c r="K289">
        <v>550</v>
      </c>
      <c r="L289">
        <v>0</v>
      </c>
      <c r="M289">
        <v>0</v>
      </c>
      <c r="N289">
        <v>550</v>
      </c>
    </row>
    <row r="290" spans="1:14" x14ac:dyDescent="0.25">
      <c r="A290">
        <v>40.796050999999999</v>
      </c>
      <c r="B290" s="1">
        <f>DATE(2010,6,10) + TIME(19,6,18)</f>
        <v>40339.796041666668</v>
      </c>
      <c r="C290">
        <v>80</v>
      </c>
      <c r="D290">
        <v>79.884849548000005</v>
      </c>
      <c r="E290">
        <v>60</v>
      </c>
      <c r="F290">
        <v>15.031378746</v>
      </c>
      <c r="G290">
        <v>1333.8713379000001</v>
      </c>
      <c r="H290">
        <v>1332.7191161999999</v>
      </c>
      <c r="I290">
        <v>1328.0169678</v>
      </c>
      <c r="J290">
        <v>1327.0113524999999</v>
      </c>
      <c r="K290">
        <v>550</v>
      </c>
      <c r="L290">
        <v>0</v>
      </c>
      <c r="M290">
        <v>0</v>
      </c>
      <c r="N290">
        <v>550</v>
      </c>
    </row>
    <row r="291" spans="1:14" x14ac:dyDescent="0.25">
      <c r="A291">
        <v>41.035221999999997</v>
      </c>
      <c r="B291" s="1">
        <f>DATE(2010,6,11) + TIME(0,50,43)</f>
        <v>40340.035219907404</v>
      </c>
      <c r="C291">
        <v>80</v>
      </c>
      <c r="D291">
        <v>79.884834290000001</v>
      </c>
      <c r="E291">
        <v>60</v>
      </c>
      <c r="F291">
        <v>15.033665657</v>
      </c>
      <c r="G291">
        <v>1333.8699951000001</v>
      </c>
      <c r="H291">
        <v>1332.7182617000001</v>
      </c>
      <c r="I291">
        <v>1328.0178223</v>
      </c>
      <c r="J291">
        <v>1327.0115966999999</v>
      </c>
      <c r="K291">
        <v>550</v>
      </c>
      <c r="L291">
        <v>0</v>
      </c>
      <c r="M291">
        <v>0</v>
      </c>
      <c r="N291">
        <v>550</v>
      </c>
    </row>
    <row r="292" spans="1:14" x14ac:dyDescent="0.25">
      <c r="A292">
        <v>41.274391999999999</v>
      </c>
      <c r="B292" s="1">
        <f>DATE(2010,6,11) + TIME(6,35,7)</f>
        <v>40340.274386574078</v>
      </c>
      <c r="C292">
        <v>80</v>
      </c>
      <c r="D292">
        <v>79.884819031000006</v>
      </c>
      <c r="E292">
        <v>60</v>
      </c>
      <c r="F292">
        <v>15.036093712</v>
      </c>
      <c r="G292">
        <v>1333.8685303</v>
      </c>
      <c r="H292">
        <v>1332.7175293</v>
      </c>
      <c r="I292">
        <v>1328.0186768000001</v>
      </c>
      <c r="J292">
        <v>1327.0118408000001</v>
      </c>
      <c r="K292">
        <v>550</v>
      </c>
      <c r="L292">
        <v>0</v>
      </c>
      <c r="M292">
        <v>0</v>
      </c>
      <c r="N292">
        <v>550</v>
      </c>
    </row>
    <row r="293" spans="1:14" x14ac:dyDescent="0.25">
      <c r="A293">
        <v>41.513562999999998</v>
      </c>
      <c r="B293" s="1">
        <f>DATE(2010,6,11) + TIME(12,19,31)</f>
        <v>40340.513553240744</v>
      </c>
      <c r="C293">
        <v>80</v>
      </c>
      <c r="D293">
        <v>79.884803771999998</v>
      </c>
      <c r="E293">
        <v>60</v>
      </c>
      <c r="F293">
        <v>15.038669585999999</v>
      </c>
      <c r="G293">
        <v>1333.8671875</v>
      </c>
      <c r="H293">
        <v>1332.7167969</v>
      </c>
      <c r="I293">
        <v>1328.0195312000001</v>
      </c>
      <c r="J293">
        <v>1327.012207</v>
      </c>
      <c r="K293">
        <v>550</v>
      </c>
      <c r="L293">
        <v>0</v>
      </c>
      <c r="M293">
        <v>0</v>
      </c>
      <c r="N293">
        <v>550</v>
      </c>
    </row>
    <row r="294" spans="1:14" x14ac:dyDescent="0.25">
      <c r="A294">
        <v>41.752732999999999</v>
      </c>
      <c r="B294" s="1">
        <f>DATE(2010,6,11) + TIME(18,3,56)</f>
        <v>40340.75273148148</v>
      </c>
      <c r="C294">
        <v>80</v>
      </c>
      <c r="D294">
        <v>79.884788513000004</v>
      </c>
      <c r="E294">
        <v>60</v>
      </c>
      <c r="F294">
        <v>15.041400909</v>
      </c>
      <c r="G294">
        <v>1333.8657227000001</v>
      </c>
      <c r="H294">
        <v>1332.7159423999999</v>
      </c>
      <c r="I294">
        <v>1328.0202637</v>
      </c>
      <c r="J294">
        <v>1327.0124512</v>
      </c>
      <c r="K294">
        <v>550</v>
      </c>
      <c r="L294">
        <v>0</v>
      </c>
      <c r="M294">
        <v>0</v>
      </c>
      <c r="N294">
        <v>550</v>
      </c>
    </row>
    <row r="295" spans="1:14" x14ac:dyDescent="0.25">
      <c r="A295">
        <v>41.991903000000001</v>
      </c>
      <c r="B295" s="1">
        <f>DATE(2010,6,11) + TIME(23,48,20)</f>
        <v>40340.991898148146</v>
      </c>
      <c r="C295">
        <v>80</v>
      </c>
      <c r="D295">
        <v>79.884773253999995</v>
      </c>
      <c r="E295">
        <v>60</v>
      </c>
      <c r="F295">
        <v>15.044297218000001</v>
      </c>
      <c r="G295">
        <v>1333.8643798999999</v>
      </c>
      <c r="H295">
        <v>1332.7152100000001</v>
      </c>
      <c r="I295">
        <v>1328.0211182</v>
      </c>
      <c r="J295">
        <v>1327.0126952999999</v>
      </c>
      <c r="K295">
        <v>550</v>
      </c>
      <c r="L295">
        <v>0</v>
      </c>
      <c r="M295">
        <v>0</v>
      </c>
      <c r="N295">
        <v>550</v>
      </c>
    </row>
    <row r="296" spans="1:14" x14ac:dyDescent="0.25">
      <c r="A296">
        <v>42.470244000000001</v>
      </c>
      <c r="B296" s="1">
        <f>DATE(2010,6,12) + TIME(11,17,9)</f>
        <v>40341.470243055555</v>
      </c>
      <c r="C296">
        <v>80</v>
      </c>
      <c r="D296">
        <v>79.884773253999995</v>
      </c>
      <c r="E296">
        <v>60</v>
      </c>
      <c r="F296">
        <v>15.050058365</v>
      </c>
      <c r="G296">
        <v>1333.8630370999999</v>
      </c>
      <c r="H296">
        <v>1332.7144774999999</v>
      </c>
      <c r="I296">
        <v>1328.0219727000001</v>
      </c>
      <c r="J296">
        <v>1327.0130615</v>
      </c>
      <c r="K296">
        <v>550</v>
      </c>
      <c r="L296">
        <v>0</v>
      </c>
      <c r="M296">
        <v>0</v>
      </c>
      <c r="N296">
        <v>550</v>
      </c>
    </row>
    <row r="297" spans="1:14" x14ac:dyDescent="0.25">
      <c r="A297">
        <v>42.949880999999998</v>
      </c>
      <c r="B297" s="1">
        <f>DATE(2010,6,12) + TIME(22,47,49)</f>
        <v>40341.949872685182</v>
      </c>
      <c r="C297">
        <v>80</v>
      </c>
      <c r="D297">
        <v>79.884765625</v>
      </c>
      <c r="E297">
        <v>60</v>
      </c>
      <c r="F297">
        <v>15.056564331000001</v>
      </c>
      <c r="G297">
        <v>1333.8603516000001</v>
      </c>
      <c r="H297">
        <v>1332.7130127</v>
      </c>
      <c r="I297">
        <v>1328.0236815999999</v>
      </c>
      <c r="J297">
        <v>1327.0136719</v>
      </c>
      <c r="K297">
        <v>550</v>
      </c>
      <c r="L297">
        <v>0</v>
      </c>
      <c r="M297">
        <v>0</v>
      </c>
      <c r="N297">
        <v>550</v>
      </c>
    </row>
    <row r="298" spans="1:14" x14ac:dyDescent="0.25">
      <c r="A298">
        <v>43.435220000000001</v>
      </c>
      <c r="B298" s="1">
        <f>DATE(2010,6,13) + TIME(10,26,42)</f>
        <v>40342.435208333336</v>
      </c>
      <c r="C298">
        <v>80</v>
      </c>
      <c r="D298">
        <v>79.884750366000006</v>
      </c>
      <c r="E298">
        <v>60</v>
      </c>
      <c r="F298">
        <v>15.063952446</v>
      </c>
      <c r="G298">
        <v>1333.8576660000001</v>
      </c>
      <c r="H298">
        <v>1332.7115478999999</v>
      </c>
      <c r="I298">
        <v>1328.0255127</v>
      </c>
      <c r="J298">
        <v>1327.0142822</v>
      </c>
      <c r="K298">
        <v>550</v>
      </c>
      <c r="L298">
        <v>0</v>
      </c>
      <c r="M298">
        <v>0</v>
      </c>
      <c r="N298">
        <v>550</v>
      </c>
    </row>
    <row r="299" spans="1:14" x14ac:dyDescent="0.25">
      <c r="A299">
        <v>43.927444999999999</v>
      </c>
      <c r="B299" s="1">
        <f>DATE(2010,6,13) + TIME(22,15,31)</f>
        <v>40342.927442129629</v>
      </c>
      <c r="C299">
        <v>80</v>
      </c>
      <c r="D299">
        <v>79.884735106999997</v>
      </c>
      <c r="E299">
        <v>60</v>
      </c>
      <c r="F299">
        <v>15.072345734000001</v>
      </c>
      <c r="G299">
        <v>1333.8549805</v>
      </c>
      <c r="H299">
        <v>1332.7100829999999</v>
      </c>
      <c r="I299">
        <v>1328.0273437999999</v>
      </c>
      <c r="J299">
        <v>1327.0148925999999</v>
      </c>
      <c r="K299">
        <v>550</v>
      </c>
      <c r="L299">
        <v>0</v>
      </c>
      <c r="M299">
        <v>0</v>
      </c>
      <c r="N299">
        <v>550</v>
      </c>
    </row>
    <row r="300" spans="1:14" x14ac:dyDescent="0.25">
      <c r="A300">
        <v>44.427764000000003</v>
      </c>
      <c r="B300" s="1">
        <f>DATE(2010,6,14) + TIME(10,15,58)</f>
        <v>40343.427754629629</v>
      </c>
      <c r="C300">
        <v>80</v>
      </c>
      <c r="D300">
        <v>79.884719849000007</v>
      </c>
      <c r="E300">
        <v>60</v>
      </c>
      <c r="F300">
        <v>15.08189106</v>
      </c>
      <c r="G300">
        <v>1333.8522949000001</v>
      </c>
      <c r="H300">
        <v>1332.7086182</v>
      </c>
      <c r="I300">
        <v>1328.0291748</v>
      </c>
      <c r="J300">
        <v>1327.0155029</v>
      </c>
      <c r="K300">
        <v>550</v>
      </c>
      <c r="L300">
        <v>0</v>
      </c>
      <c r="M300">
        <v>0</v>
      </c>
      <c r="N300">
        <v>550</v>
      </c>
    </row>
    <row r="301" spans="1:14" x14ac:dyDescent="0.25">
      <c r="A301">
        <v>44.937475999999997</v>
      </c>
      <c r="B301" s="1">
        <f>DATE(2010,6,14) + TIME(22,29,57)</f>
        <v>40343.937465277777</v>
      </c>
      <c r="C301">
        <v>80</v>
      </c>
      <c r="D301">
        <v>79.884712218999994</v>
      </c>
      <c r="E301">
        <v>60</v>
      </c>
      <c r="F301">
        <v>15.092764854</v>
      </c>
      <c r="G301">
        <v>1333.8496094</v>
      </c>
      <c r="H301">
        <v>1332.7071533000001</v>
      </c>
      <c r="I301">
        <v>1328.0311279</v>
      </c>
      <c r="J301">
        <v>1327.0162353999999</v>
      </c>
      <c r="K301">
        <v>550</v>
      </c>
      <c r="L301">
        <v>0</v>
      </c>
      <c r="M301">
        <v>0</v>
      </c>
      <c r="N301">
        <v>550</v>
      </c>
    </row>
    <row r="302" spans="1:14" x14ac:dyDescent="0.25">
      <c r="A302">
        <v>45.457990000000002</v>
      </c>
      <c r="B302" s="1">
        <f>DATE(2010,6,15) + TIME(10,59,30)</f>
        <v>40344.457986111112</v>
      </c>
      <c r="C302">
        <v>80</v>
      </c>
      <c r="D302">
        <v>79.884696959999999</v>
      </c>
      <c r="E302">
        <v>60</v>
      </c>
      <c r="F302">
        <v>15.105175018000001</v>
      </c>
      <c r="G302">
        <v>1333.8470459</v>
      </c>
      <c r="H302">
        <v>1332.7058105000001</v>
      </c>
      <c r="I302">
        <v>1328.0330810999999</v>
      </c>
      <c r="J302">
        <v>1327.0168457</v>
      </c>
      <c r="K302">
        <v>550</v>
      </c>
      <c r="L302">
        <v>0</v>
      </c>
      <c r="M302">
        <v>0</v>
      </c>
      <c r="N302">
        <v>550</v>
      </c>
    </row>
    <row r="303" spans="1:14" x14ac:dyDescent="0.25">
      <c r="A303">
        <v>45.990856000000001</v>
      </c>
      <c r="B303" s="1">
        <f>DATE(2010,6,15) + TIME(23,46,49)</f>
        <v>40344.990844907406</v>
      </c>
      <c r="C303">
        <v>80</v>
      </c>
      <c r="D303">
        <v>79.884681701999995</v>
      </c>
      <c r="E303">
        <v>60</v>
      </c>
      <c r="F303">
        <v>15.119370461000001</v>
      </c>
      <c r="G303">
        <v>1333.8443603999999</v>
      </c>
      <c r="H303">
        <v>1332.7043457</v>
      </c>
      <c r="I303">
        <v>1328.0352783000001</v>
      </c>
      <c r="J303">
        <v>1327.0177002</v>
      </c>
      <c r="K303">
        <v>550</v>
      </c>
      <c r="L303">
        <v>0</v>
      </c>
      <c r="M303">
        <v>0</v>
      </c>
      <c r="N303">
        <v>550</v>
      </c>
    </row>
    <row r="304" spans="1:14" x14ac:dyDescent="0.25">
      <c r="A304">
        <v>46.535671000000001</v>
      </c>
      <c r="B304" s="1">
        <f>DATE(2010,6,16) + TIME(12,51,21)</f>
        <v>40345.53565972222</v>
      </c>
      <c r="C304">
        <v>80</v>
      </c>
      <c r="D304">
        <v>79.884674071999996</v>
      </c>
      <c r="E304">
        <v>60</v>
      </c>
      <c r="F304">
        <v>15.135599136</v>
      </c>
      <c r="G304">
        <v>1333.8416748</v>
      </c>
      <c r="H304">
        <v>1332.7028809000001</v>
      </c>
      <c r="I304">
        <v>1328.0374756000001</v>
      </c>
      <c r="J304">
        <v>1327.0184326000001</v>
      </c>
      <c r="K304">
        <v>550</v>
      </c>
      <c r="L304">
        <v>0</v>
      </c>
      <c r="M304">
        <v>0</v>
      </c>
      <c r="N304">
        <v>550</v>
      </c>
    </row>
    <row r="305" spans="1:14" x14ac:dyDescent="0.25">
      <c r="A305">
        <v>46.810299000000001</v>
      </c>
      <c r="B305" s="1">
        <f>DATE(2010,6,16) + TIME(19,26,49)</f>
        <v>40345.810289351852</v>
      </c>
      <c r="C305">
        <v>80</v>
      </c>
      <c r="D305">
        <v>79.884651184000006</v>
      </c>
      <c r="E305">
        <v>60</v>
      </c>
      <c r="F305">
        <v>15.145460129</v>
      </c>
      <c r="G305">
        <v>1333.8388672000001</v>
      </c>
      <c r="H305">
        <v>1332.7012939000001</v>
      </c>
      <c r="I305">
        <v>1328.0397949000001</v>
      </c>
      <c r="J305">
        <v>1327.0192870999999</v>
      </c>
      <c r="K305">
        <v>550</v>
      </c>
      <c r="L305">
        <v>0</v>
      </c>
      <c r="M305">
        <v>0</v>
      </c>
      <c r="N305">
        <v>550</v>
      </c>
    </row>
    <row r="306" spans="1:14" x14ac:dyDescent="0.25">
      <c r="A306">
        <v>47.084927</v>
      </c>
      <c r="B306" s="1">
        <f>DATE(2010,6,17) + TIME(2,2,17)</f>
        <v>40346.084918981483</v>
      </c>
      <c r="C306">
        <v>80</v>
      </c>
      <c r="D306">
        <v>79.884635924999998</v>
      </c>
      <c r="E306">
        <v>60</v>
      </c>
      <c r="F306">
        <v>15.155860901</v>
      </c>
      <c r="G306">
        <v>1333.8375243999999</v>
      </c>
      <c r="H306">
        <v>1332.7005615</v>
      </c>
      <c r="I306">
        <v>1328.0410156</v>
      </c>
      <c r="J306">
        <v>1327.0196533000001</v>
      </c>
      <c r="K306">
        <v>550</v>
      </c>
      <c r="L306">
        <v>0</v>
      </c>
      <c r="M306">
        <v>0</v>
      </c>
      <c r="N306">
        <v>550</v>
      </c>
    </row>
    <row r="307" spans="1:14" x14ac:dyDescent="0.25">
      <c r="A307">
        <v>47.359555</v>
      </c>
      <c r="B307" s="1">
        <f>DATE(2010,6,17) + TIME(8,37,45)</f>
        <v>40346.359548611108</v>
      </c>
      <c r="C307">
        <v>80</v>
      </c>
      <c r="D307">
        <v>79.884620666999993</v>
      </c>
      <c r="E307">
        <v>60</v>
      </c>
      <c r="F307">
        <v>15.166831017</v>
      </c>
      <c r="G307">
        <v>1333.8361815999999</v>
      </c>
      <c r="H307">
        <v>1332.6998291</v>
      </c>
      <c r="I307">
        <v>1328.0421143000001</v>
      </c>
      <c r="J307">
        <v>1327.0201416</v>
      </c>
      <c r="K307">
        <v>550</v>
      </c>
      <c r="L307">
        <v>0</v>
      </c>
      <c r="M307">
        <v>0</v>
      </c>
      <c r="N307">
        <v>550</v>
      </c>
    </row>
    <row r="308" spans="1:14" x14ac:dyDescent="0.25">
      <c r="A308">
        <v>47.634183999999998</v>
      </c>
      <c r="B308" s="1">
        <f>DATE(2010,6,17) + TIME(15,13,13)</f>
        <v>40346.63417824074</v>
      </c>
      <c r="C308">
        <v>80</v>
      </c>
      <c r="D308">
        <v>79.884613036999994</v>
      </c>
      <c r="E308">
        <v>60</v>
      </c>
      <c r="F308">
        <v>15.178399086000001</v>
      </c>
      <c r="G308">
        <v>1333.8349608999999</v>
      </c>
      <c r="H308">
        <v>1332.6990966999999</v>
      </c>
      <c r="I308">
        <v>1328.0433350000001</v>
      </c>
      <c r="J308">
        <v>1327.0206298999999</v>
      </c>
      <c r="K308">
        <v>550</v>
      </c>
      <c r="L308">
        <v>0</v>
      </c>
      <c r="M308">
        <v>0</v>
      </c>
      <c r="N308">
        <v>550</v>
      </c>
    </row>
    <row r="309" spans="1:14" x14ac:dyDescent="0.25">
      <c r="A309">
        <v>47.908811999999998</v>
      </c>
      <c r="B309" s="1">
        <f>DATE(2010,6,17) + TIME(21,48,41)</f>
        <v>40346.908807870372</v>
      </c>
      <c r="C309">
        <v>80</v>
      </c>
      <c r="D309">
        <v>79.884605407999999</v>
      </c>
      <c r="E309">
        <v>60</v>
      </c>
      <c r="F309">
        <v>15.190596580999999</v>
      </c>
      <c r="G309">
        <v>1333.8336182</v>
      </c>
      <c r="H309">
        <v>1332.6984863</v>
      </c>
      <c r="I309">
        <v>1328.0445557</v>
      </c>
      <c r="J309">
        <v>1327.0209961</v>
      </c>
      <c r="K309">
        <v>550</v>
      </c>
      <c r="L309">
        <v>0</v>
      </c>
      <c r="M309">
        <v>0</v>
      </c>
      <c r="N309">
        <v>550</v>
      </c>
    </row>
    <row r="310" spans="1:14" x14ac:dyDescent="0.25">
      <c r="A310">
        <v>48.183439999999997</v>
      </c>
      <c r="B310" s="1">
        <f>DATE(2010,6,18) + TIME(4,24,9)</f>
        <v>40347.183437500003</v>
      </c>
      <c r="C310">
        <v>80</v>
      </c>
      <c r="D310">
        <v>79.884597778</v>
      </c>
      <c r="E310">
        <v>60</v>
      </c>
      <c r="F310">
        <v>15.203454018</v>
      </c>
      <c r="G310">
        <v>1333.8322754000001</v>
      </c>
      <c r="H310">
        <v>1332.6977539</v>
      </c>
      <c r="I310">
        <v>1328.0457764</v>
      </c>
      <c r="J310">
        <v>1327.0214844</v>
      </c>
      <c r="K310">
        <v>550</v>
      </c>
      <c r="L310">
        <v>0</v>
      </c>
      <c r="M310">
        <v>0</v>
      </c>
      <c r="N310">
        <v>550</v>
      </c>
    </row>
    <row r="311" spans="1:14" x14ac:dyDescent="0.25">
      <c r="A311">
        <v>48.458069000000002</v>
      </c>
      <c r="B311" s="1">
        <f>DATE(2010,6,18) + TIME(10,59,37)</f>
        <v>40347.458067129628</v>
      </c>
      <c r="C311">
        <v>80</v>
      </c>
      <c r="D311">
        <v>79.884590149000005</v>
      </c>
      <c r="E311">
        <v>60</v>
      </c>
      <c r="F311">
        <v>15.217004776</v>
      </c>
      <c r="G311">
        <v>1333.8310547000001</v>
      </c>
      <c r="H311">
        <v>1332.6970214999999</v>
      </c>
      <c r="I311">
        <v>1328.0469971</v>
      </c>
      <c r="J311">
        <v>1327.0219727000001</v>
      </c>
      <c r="K311">
        <v>550</v>
      </c>
      <c r="L311">
        <v>0</v>
      </c>
      <c r="M311">
        <v>0</v>
      </c>
      <c r="N311">
        <v>550</v>
      </c>
    </row>
    <row r="312" spans="1:14" x14ac:dyDescent="0.25">
      <c r="A312">
        <v>48.732697000000002</v>
      </c>
      <c r="B312" s="1">
        <f>DATE(2010,6,18) + TIME(17,35,5)</f>
        <v>40347.73269675926</v>
      </c>
      <c r="C312">
        <v>80</v>
      </c>
      <c r="D312">
        <v>79.884590149000005</v>
      </c>
      <c r="E312">
        <v>60</v>
      </c>
      <c r="F312">
        <v>15.231281280999999</v>
      </c>
      <c r="G312">
        <v>1333.8297118999999</v>
      </c>
      <c r="H312">
        <v>1332.6962891000001</v>
      </c>
      <c r="I312">
        <v>1328.0482178</v>
      </c>
      <c r="J312">
        <v>1327.0224608999999</v>
      </c>
      <c r="K312">
        <v>550</v>
      </c>
      <c r="L312">
        <v>0</v>
      </c>
      <c r="M312">
        <v>0</v>
      </c>
      <c r="N312">
        <v>550</v>
      </c>
    </row>
    <row r="313" spans="1:14" x14ac:dyDescent="0.25">
      <c r="A313">
        <v>49.007325000000002</v>
      </c>
      <c r="B313" s="1">
        <f>DATE(2010,6,19) + TIME(0,10,32)</f>
        <v>40348.007314814815</v>
      </c>
      <c r="C313">
        <v>80</v>
      </c>
      <c r="D313">
        <v>79.884582519999995</v>
      </c>
      <c r="E313">
        <v>60</v>
      </c>
      <c r="F313">
        <v>15.246318817000001</v>
      </c>
      <c r="G313">
        <v>1333.8284911999999</v>
      </c>
      <c r="H313">
        <v>1332.6955565999999</v>
      </c>
      <c r="I313">
        <v>1328.0495605000001</v>
      </c>
      <c r="J313">
        <v>1327.0230713000001</v>
      </c>
      <c r="K313">
        <v>550</v>
      </c>
      <c r="L313">
        <v>0</v>
      </c>
      <c r="M313">
        <v>0</v>
      </c>
      <c r="N313">
        <v>550</v>
      </c>
    </row>
    <row r="314" spans="1:14" x14ac:dyDescent="0.25">
      <c r="A314">
        <v>49.281953999999999</v>
      </c>
      <c r="B314" s="1">
        <f>DATE(2010,6,19) + TIME(6,46,0)</f>
        <v>40348.281944444447</v>
      </c>
      <c r="C314">
        <v>80</v>
      </c>
      <c r="D314">
        <v>79.884582519999995</v>
      </c>
      <c r="E314">
        <v>60</v>
      </c>
      <c r="F314">
        <v>15.262150763999999</v>
      </c>
      <c r="G314">
        <v>1333.8271483999999</v>
      </c>
      <c r="H314">
        <v>1332.6949463000001</v>
      </c>
      <c r="I314">
        <v>1328.0507812000001</v>
      </c>
      <c r="J314">
        <v>1327.0235596</v>
      </c>
      <c r="K314">
        <v>550</v>
      </c>
      <c r="L314">
        <v>0</v>
      </c>
      <c r="M314">
        <v>0</v>
      </c>
      <c r="N314">
        <v>550</v>
      </c>
    </row>
    <row r="315" spans="1:14" x14ac:dyDescent="0.25">
      <c r="A315">
        <v>49.556581999999999</v>
      </c>
      <c r="B315" s="1">
        <f>DATE(2010,6,19) + TIME(13,21,28)</f>
        <v>40348.556574074071</v>
      </c>
      <c r="C315">
        <v>80</v>
      </c>
      <c r="D315">
        <v>79.884574889999996</v>
      </c>
      <c r="E315">
        <v>60</v>
      </c>
      <c r="F315">
        <v>15.278814316</v>
      </c>
      <c r="G315">
        <v>1333.8259277</v>
      </c>
      <c r="H315">
        <v>1332.6942139</v>
      </c>
      <c r="I315">
        <v>1328.052124</v>
      </c>
      <c r="J315">
        <v>1327.0240478999999</v>
      </c>
      <c r="K315">
        <v>550</v>
      </c>
      <c r="L315">
        <v>0</v>
      </c>
      <c r="M315">
        <v>0</v>
      </c>
      <c r="N315">
        <v>550</v>
      </c>
    </row>
    <row r="316" spans="1:14" x14ac:dyDescent="0.25">
      <c r="A316">
        <v>49.831209999999999</v>
      </c>
      <c r="B316" s="1">
        <f>DATE(2010,6,19) + TIME(19,56,56)</f>
        <v>40348.831203703703</v>
      </c>
      <c r="C316">
        <v>80</v>
      </c>
      <c r="D316">
        <v>79.884574889999996</v>
      </c>
      <c r="E316">
        <v>60</v>
      </c>
      <c r="F316">
        <v>15.296346664</v>
      </c>
      <c r="G316">
        <v>1333.824707</v>
      </c>
      <c r="H316">
        <v>1332.6934814000001</v>
      </c>
      <c r="I316">
        <v>1328.0533447</v>
      </c>
      <c r="J316">
        <v>1327.0245361</v>
      </c>
      <c r="K316">
        <v>550</v>
      </c>
      <c r="L316">
        <v>0</v>
      </c>
      <c r="M316">
        <v>0</v>
      </c>
      <c r="N316">
        <v>550</v>
      </c>
    </row>
    <row r="317" spans="1:14" x14ac:dyDescent="0.25">
      <c r="A317">
        <v>50.105839000000003</v>
      </c>
      <c r="B317" s="1">
        <f>DATE(2010,6,20) + TIME(2,32,24)</f>
        <v>40349.105833333335</v>
      </c>
      <c r="C317">
        <v>80</v>
      </c>
      <c r="D317">
        <v>79.884574889999996</v>
      </c>
      <c r="E317">
        <v>60</v>
      </c>
      <c r="F317">
        <v>15.314785004000001</v>
      </c>
      <c r="G317">
        <v>1333.8233643000001</v>
      </c>
      <c r="H317">
        <v>1332.6928711</v>
      </c>
      <c r="I317">
        <v>1328.0546875</v>
      </c>
      <c r="J317">
        <v>1327.0251464999999</v>
      </c>
      <c r="K317">
        <v>550</v>
      </c>
      <c r="L317">
        <v>0</v>
      </c>
      <c r="M317">
        <v>0</v>
      </c>
      <c r="N317">
        <v>550</v>
      </c>
    </row>
    <row r="318" spans="1:14" x14ac:dyDescent="0.25">
      <c r="A318">
        <v>50.380467000000003</v>
      </c>
      <c r="B318" s="1">
        <f>DATE(2010,6,20) + TIME(9,7,52)</f>
        <v>40349.380462962959</v>
      </c>
      <c r="C318">
        <v>80</v>
      </c>
      <c r="D318">
        <v>79.884574889999996</v>
      </c>
      <c r="E318">
        <v>60</v>
      </c>
      <c r="F318">
        <v>15.334169387999999</v>
      </c>
      <c r="G318">
        <v>1333.8221435999999</v>
      </c>
      <c r="H318">
        <v>1332.6921387</v>
      </c>
      <c r="I318">
        <v>1328.0560303</v>
      </c>
      <c r="J318">
        <v>1327.0257568</v>
      </c>
      <c r="K318">
        <v>550</v>
      </c>
      <c r="L318">
        <v>0</v>
      </c>
      <c r="M318">
        <v>0</v>
      </c>
      <c r="N318">
        <v>550</v>
      </c>
    </row>
    <row r="319" spans="1:14" x14ac:dyDescent="0.25">
      <c r="A319">
        <v>50.929724</v>
      </c>
      <c r="B319" s="1">
        <f>DATE(2010,6,20) + TIME(22,18,48)</f>
        <v>40349.929722222223</v>
      </c>
      <c r="C319">
        <v>80</v>
      </c>
      <c r="D319">
        <v>79.884597778</v>
      </c>
      <c r="E319">
        <v>60</v>
      </c>
      <c r="F319">
        <v>15.372004509</v>
      </c>
      <c r="G319">
        <v>1333.8209228999999</v>
      </c>
      <c r="H319">
        <v>1332.6915283000001</v>
      </c>
      <c r="I319">
        <v>1328.0571289</v>
      </c>
      <c r="J319">
        <v>1327.0263672000001</v>
      </c>
      <c r="K319">
        <v>550</v>
      </c>
      <c r="L319">
        <v>0</v>
      </c>
      <c r="M319">
        <v>0</v>
      </c>
      <c r="N319">
        <v>550</v>
      </c>
    </row>
    <row r="320" spans="1:14" x14ac:dyDescent="0.25">
      <c r="A320">
        <v>51.481028999999999</v>
      </c>
      <c r="B320" s="1">
        <f>DATE(2010,6,21) + TIME(11,32,40)</f>
        <v>40350.48101851852</v>
      </c>
      <c r="C320">
        <v>80</v>
      </c>
      <c r="D320">
        <v>79.884613036999994</v>
      </c>
      <c r="E320">
        <v>60</v>
      </c>
      <c r="F320">
        <v>15.414216042</v>
      </c>
      <c r="G320">
        <v>1333.8184814000001</v>
      </c>
      <c r="H320">
        <v>1332.6901855000001</v>
      </c>
      <c r="I320">
        <v>1328.0598144999999</v>
      </c>
      <c r="J320">
        <v>1327.0274658000001</v>
      </c>
      <c r="K320">
        <v>550</v>
      </c>
      <c r="L320">
        <v>0</v>
      </c>
      <c r="M320">
        <v>0</v>
      </c>
      <c r="N320">
        <v>550</v>
      </c>
    </row>
    <row r="321" spans="1:14" x14ac:dyDescent="0.25">
      <c r="A321">
        <v>52.039226999999997</v>
      </c>
      <c r="B321" s="1">
        <f>DATE(2010,6,22) + TIME(0,56,29)</f>
        <v>40351.039224537039</v>
      </c>
      <c r="C321">
        <v>80</v>
      </c>
      <c r="D321">
        <v>79.884628296000002</v>
      </c>
      <c r="E321">
        <v>60</v>
      </c>
      <c r="F321">
        <v>15.461503983</v>
      </c>
      <c r="G321">
        <v>1333.8161620999999</v>
      </c>
      <c r="H321">
        <v>1332.6888428</v>
      </c>
      <c r="I321">
        <v>1328.0626221</v>
      </c>
      <c r="J321">
        <v>1327.0286865</v>
      </c>
      <c r="K321">
        <v>550</v>
      </c>
      <c r="L321">
        <v>0</v>
      </c>
      <c r="M321">
        <v>0</v>
      </c>
      <c r="N321">
        <v>550</v>
      </c>
    </row>
    <row r="322" spans="1:14" x14ac:dyDescent="0.25">
      <c r="A322">
        <v>52.605691999999998</v>
      </c>
      <c r="B322" s="1">
        <f>DATE(2010,6,22) + TIME(14,32,11)</f>
        <v>40351.605682870373</v>
      </c>
      <c r="C322">
        <v>80</v>
      </c>
      <c r="D322">
        <v>79.884635924999998</v>
      </c>
      <c r="E322">
        <v>60</v>
      </c>
      <c r="F322">
        <v>15.514481544000001</v>
      </c>
      <c r="G322">
        <v>1333.8137207</v>
      </c>
      <c r="H322">
        <v>1332.6875</v>
      </c>
      <c r="I322">
        <v>1328.0654297000001</v>
      </c>
      <c r="J322">
        <v>1327.0300293</v>
      </c>
      <c r="K322">
        <v>550</v>
      </c>
      <c r="L322">
        <v>0</v>
      </c>
      <c r="M322">
        <v>0</v>
      </c>
      <c r="N322">
        <v>550</v>
      </c>
    </row>
    <row r="323" spans="1:14" x14ac:dyDescent="0.25">
      <c r="A323">
        <v>53.181905</v>
      </c>
      <c r="B323" s="1">
        <f>DATE(2010,6,23) + TIME(4,21,56)</f>
        <v>40352.181898148148</v>
      </c>
      <c r="C323">
        <v>80</v>
      </c>
      <c r="D323">
        <v>79.884643554999997</v>
      </c>
      <c r="E323">
        <v>60</v>
      </c>
      <c r="F323">
        <v>15.573869705</v>
      </c>
      <c r="G323">
        <v>1333.8114014</v>
      </c>
      <c r="H323">
        <v>1332.6861572</v>
      </c>
      <c r="I323">
        <v>1328.0683594</v>
      </c>
      <c r="J323">
        <v>1327.0313721</v>
      </c>
      <c r="K323">
        <v>550</v>
      </c>
      <c r="L323">
        <v>0</v>
      </c>
      <c r="M323">
        <v>0</v>
      </c>
      <c r="N323">
        <v>550</v>
      </c>
    </row>
    <row r="324" spans="1:14" x14ac:dyDescent="0.25">
      <c r="A324">
        <v>53.769449999999999</v>
      </c>
      <c r="B324" s="1">
        <f>DATE(2010,6,23) + TIME(18,28,0)</f>
        <v>40352.769444444442</v>
      </c>
      <c r="C324">
        <v>80</v>
      </c>
      <c r="D324">
        <v>79.884658813000001</v>
      </c>
      <c r="E324">
        <v>60</v>
      </c>
      <c r="F324">
        <v>15.640511513</v>
      </c>
      <c r="G324">
        <v>1333.8089600000001</v>
      </c>
      <c r="H324">
        <v>1332.6849365</v>
      </c>
      <c r="I324">
        <v>1328.0714111</v>
      </c>
      <c r="J324">
        <v>1327.0328368999999</v>
      </c>
      <c r="K324">
        <v>550</v>
      </c>
      <c r="L324">
        <v>0</v>
      </c>
      <c r="M324">
        <v>0</v>
      </c>
      <c r="N324">
        <v>550</v>
      </c>
    </row>
    <row r="325" spans="1:14" x14ac:dyDescent="0.25">
      <c r="A325">
        <v>54.370032000000002</v>
      </c>
      <c r="B325" s="1">
        <f>DATE(2010,6,24) + TIME(8,52,50)</f>
        <v>40353.370023148149</v>
      </c>
      <c r="C325">
        <v>80</v>
      </c>
      <c r="D325">
        <v>79.884674071999996</v>
      </c>
      <c r="E325">
        <v>60</v>
      </c>
      <c r="F325">
        <v>15.715401649</v>
      </c>
      <c r="G325">
        <v>1333.8065185999999</v>
      </c>
      <c r="H325">
        <v>1332.6835937999999</v>
      </c>
      <c r="I325">
        <v>1328.0744629000001</v>
      </c>
      <c r="J325">
        <v>1327.0344238</v>
      </c>
      <c r="K325">
        <v>550</v>
      </c>
      <c r="L325">
        <v>0</v>
      </c>
      <c r="M325">
        <v>0</v>
      </c>
      <c r="N325">
        <v>550</v>
      </c>
    </row>
    <row r="326" spans="1:14" x14ac:dyDescent="0.25">
      <c r="A326">
        <v>54.98442</v>
      </c>
      <c r="B326" s="1">
        <f>DATE(2010,6,24) + TIME(23,37,33)</f>
        <v>40353.984409722223</v>
      </c>
      <c r="C326">
        <v>80</v>
      </c>
      <c r="D326">
        <v>79.884681701999995</v>
      </c>
      <c r="E326">
        <v>60</v>
      </c>
      <c r="F326">
        <v>15.799582481</v>
      </c>
      <c r="G326">
        <v>1333.8040771000001</v>
      </c>
      <c r="H326">
        <v>1332.682251</v>
      </c>
      <c r="I326">
        <v>1328.0777588000001</v>
      </c>
      <c r="J326">
        <v>1327.0361327999999</v>
      </c>
      <c r="K326">
        <v>550</v>
      </c>
      <c r="L326">
        <v>0</v>
      </c>
      <c r="M326">
        <v>0</v>
      </c>
      <c r="N326">
        <v>550</v>
      </c>
    </row>
    <row r="327" spans="1:14" x14ac:dyDescent="0.25">
      <c r="A327">
        <v>55.610368999999999</v>
      </c>
      <c r="B327" s="1">
        <f>DATE(2010,6,25) + TIME(14,38,55)</f>
        <v>40354.610358796293</v>
      </c>
      <c r="C327">
        <v>80</v>
      </c>
      <c r="D327">
        <v>79.884696959999999</v>
      </c>
      <c r="E327">
        <v>60</v>
      </c>
      <c r="F327">
        <v>15.893855094999999</v>
      </c>
      <c r="G327">
        <v>1333.8016356999999</v>
      </c>
      <c r="H327">
        <v>1332.6809082</v>
      </c>
      <c r="I327">
        <v>1328.0810547000001</v>
      </c>
      <c r="J327">
        <v>1327.0379639</v>
      </c>
      <c r="K327">
        <v>550</v>
      </c>
      <c r="L327">
        <v>0</v>
      </c>
      <c r="M327">
        <v>0</v>
      </c>
      <c r="N327">
        <v>550</v>
      </c>
    </row>
    <row r="328" spans="1:14" x14ac:dyDescent="0.25">
      <c r="A328">
        <v>55.925396999999997</v>
      </c>
      <c r="B328" s="1">
        <f>DATE(2010,6,25) + TIME(22,12,34)</f>
        <v>40354.925393518519</v>
      </c>
      <c r="C328">
        <v>80</v>
      </c>
      <c r="D328">
        <v>79.884689331000004</v>
      </c>
      <c r="E328">
        <v>60</v>
      </c>
      <c r="F328">
        <v>15.950748444</v>
      </c>
      <c r="G328">
        <v>1333.7993164</v>
      </c>
      <c r="H328">
        <v>1332.6795654</v>
      </c>
      <c r="I328">
        <v>1328.0850829999999</v>
      </c>
      <c r="J328">
        <v>1327.0396728999999</v>
      </c>
      <c r="K328">
        <v>550</v>
      </c>
      <c r="L328">
        <v>0</v>
      </c>
      <c r="M328">
        <v>0</v>
      </c>
      <c r="N328">
        <v>550</v>
      </c>
    </row>
    <row r="329" spans="1:14" x14ac:dyDescent="0.25">
      <c r="A329">
        <v>56.240425000000002</v>
      </c>
      <c r="B329" s="1">
        <f>DATE(2010,6,26) + TIME(5,46,12)</f>
        <v>40355.240416666667</v>
      </c>
      <c r="C329">
        <v>80</v>
      </c>
      <c r="D329">
        <v>79.884689331000004</v>
      </c>
      <c r="E329">
        <v>60</v>
      </c>
      <c r="F329">
        <v>16.010028839</v>
      </c>
      <c r="G329">
        <v>1333.7980957</v>
      </c>
      <c r="H329">
        <v>1332.6789550999999</v>
      </c>
      <c r="I329">
        <v>1328.0867920000001</v>
      </c>
      <c r="J329">
        <v>1327.0407714999999</v>
      </c>
      <c r="K329">
        <v>550</v>
      </c>
      <c r="L329">
        <v>0</v>
      </c>
      <c r="M329">
        <v>0</v>
      </c>
      <c r="N329">
        <v>550</v>
      </c>
    </row>
    <row r="330" spans="1:14" x14ac:dyDescent="0.25">
      <c r="A330">
        <v>56.555453999999997</v>
      </c>
      <c r="B330" s="1">
        <f>DATE(2010,6,26) + TIME(13,19,51)</f>
        <v>40355.555451388886</v>
      </c>
      <c r="C330">
        <v>80</v>
      </c>
      <c r="D330">
        <v>79.884689331000004</v>
      </c>
      <c r="E330">
        <v>60</v>
      </c>
      <c r="F330">
        <v>16.071802138999999</v>
      </c>
      <c r="G330">
        <v>1333.796875</v>
      </c>
      <c r="H330">
        <v>1332.6782227000001</v>
      </c>
      <c r="I330">
        <v>1328.0886230000001</v>
      </c>
      <c r="J330">
        <v>1327.0418701000001</v>
      </c>
      <c r="K330">
        <v>550</v>
      </c>
      <c r="L330">
        <v>0</v>
      </c>
      <c r="M330">
        <v>0</v>
      </c>
      <c r="N330">
        <v>550</v>
      </c>
    </row>
    <row r="331" spans="1:14" x14ac:dyDescent="0.25">
      <c r="A331">
        <v>56.870482000000003</v>
      </c>
      <c r="B331" s="1">
        <f>DATE(2010,6,26) + TIME(20,53,29)</f>
        <v>40355.870474537034</v>
      </c>
      <c r="C331">
        <v>80</v>
      </c>
      <c r="D331">
        <v>79.884696959999999</v>
      </c>
      <c r="E331">
        <v>60</v>
      </c>
      <c r="F331">
        <v>16.136167526000001</v>
      </c>
      <c r="G331">
        <v>1333.7956543</v>
      </c>
      <c r="H331">
        <v>1332.6776123</v>
      </c>
      <c r="I331">
        <v>1328.090332</v>
      </c>
      <c r="J331">
        <v>1327.0429687999999</v>
      </c>
      <c r="K331">
        <v>550</v>
      </c>
      <c r="L331">
        <v>0</v>
      </c>
      <c r="M331">
        <v>0</v>
      </c>
      <c r="N331">
        <v>550</v>
      </c>
    </row>
    <row r="332" spans="1:14" x14ac:dyDescent="0.25">
      <c r="A332">
        <v>57.185510000000001</v>
      </c>
      <c r="B332" s="1">
        <f>DATE(2010,6,27) + TIME(4,27,8)</f>
        <v>40356.18550925926</v>
      </c>
      <c r="C332">
        <v>80</v>
      </c>
      <c r="D332">
        <v>79.884696959999999</v>
      </c>
      <c r="E332">
        <v>60</v>
      </c>
      <c r="F332">
        <v>16.203227996999999</v>
      </c>
      <c r="G332">
        <v>1333.7944336</v>
      </c>
      <c r="H332">
        <v>1332.6768798999999</v>
      </c>
      <c r="I332">
        <v>1328.0921631000001</v>
      </c>
      <c r="J332">
        <v>1327.0441894999999</v>
      </c>
      <c r="K332">
        <v>550</v>
      </c>
      <c r="L332">
        <v>0</v>
      </c>
      <c r="M332">
        <v>0</v>
      </c>
      <c r="N332">
        <v>550</v>
      </c>
    </row>
    <row r="333" spans="1:14" x14ac:dyDescent="0.25">
      <c r="A333">
        <v>57.500539000000003</v>
      </c>
      <c r="B333" s="1">
        <f>DATE(2010,6,27) + TIME(12,0,46)</f>
        <v>40356.500532407408</v>
      </c>
      <c r="C333">
        <v>80</v>
      </c>
      <c r="D333">
        <v>79.884704589999998</v>
      </c>
      <c r="E333">
        <v>60</v>
      </c>
      <c r="F333">
        <v>16.273080826000001</v>
      </c>
      <c r="G333">
        <v>1333.7932129000001</v>
      </c>
      <c r="H333">
        <v>1332.6762695</v>
      </c>
      <c r="I333">
        <v>1328.0939940999999</v>
      </c>
      <c r="J333">
        <v>1327.0452881000001</v>
      </c>
      <c r="K333">
        <v>550</v>
      </c>
      <c r="L333">
        <v>0</v>
      </c>
      <c r="M333">
        <v>0</v>
      </c>
      <c r="N333">
        <v>550</v>
      </c>
    </row>
    <row r="334" spans="1:14" x14ac:dyDescent="0.25">
      <c r="A334">
        <v>57.815567000000001</v>
      </c>
      <c r="B334" s="1">
        <f>DATE(2010,6,27) + TIME(19,34,24)</f>
        <v>40356.815555555557</v>
      </c>
      <c r="C334">
        <v>80</v>
      </c>
      <c r="D334">
        <v>79.884712218999994</v>
      </c>
      <c r="E334">
        <v>60</v>
      </c>
      <c r="F334">
        <v>16.345823287999998</v>
      </c>
      <c r="G334">
        <v>1333.7921143000001</v>
      </c>
      <c r="H334">
        <v>1332.6755370999999</v>
      </c>
      <c r="I334">
        <v>1328.0957031</v>
      </c>
      <c r="J334">
        <v>1327.0465088000001</v>
      </c>
      <c r="K334">
        <v>550</v>
      </c>
      <c r="L334">
        <v>0</v>
      </c>
      <c r="M334">
        <v>0</v>
      </c>
      <c r="N334">
        <v>550</v>
      </c>
    </row>
    <row r="335" spans="1:14" x14ac:dyDescent="0.25">
      <c r="A335">
        <v>58.130595</v>
      </c>
      <c r="B335" s="1">
        <f>DATE(2010,6,28) + TIME(3,8,3)</f>
        <v>40357.130590277775</v>
      </c>
      <c r="C335">
        <v>80</v>
      </c>
      <c r="D335">
        <v>79.884719849000007</v>
      </c>
      <c r="E335">
        <v>60</v>
      </c>
      <c r="F335">
        <v>16.421554565000001</v>
      </c>
      <c r="G335">
        <v>1333.7908935999999</v>
      </c>
      <c r="H335">
        <v>1332.6749268000001</v>
      </c>
      <c r="I335">
        <v>1328.0975341999999</v>
      </c>
      <c r="J335">
        <v>1327.0477295000001</v>
      </c>
      <c r="K335">
        <v>550</v>
      </c>
      <c r="L335">
        <v>0</v>
      </c>
      <c r="M335">
        <v>0</v>
      </c>
      <c r="N335">
        <v>550</v>
      </c>
    </row>
    <row r="336" spans="1:14" x14ac:dyDescent="0.25">
      <c r="A336">
        <v>58.445624000000002</v>
      </c>
      <c r="B336" s="1">
        <f>DATE(2010,6,28) + TIME(10,41,41)</f>
        <v>40357.445613425924</v>
      </c>
      <c r="C336">
        <v>80</v>
      </c>
      <c r="D336">
        <v>79.884735106999997</v>
      </c>
      <c r="E336">
        <v>60</v>
      </c>
      <c r="F336">
        <v>16.500368118000001</v>
      </c>
      <c r="G336">
        <v>1333.7897949000001</v>
      </c>
      <c r="H336">
        <v>1332.6743164</v>
      </c>
      <c r="I336">
        <v>1328.0993652</v>
      </c>
      <c r="J336">
        <v>1327.0490723</v>
      </c>
      <c r="K336">
        <v>550</v>
      </c>
      <c r="L336">
        <v>0</v>
      </c>
      <c r="M336">
        <v>0</v>
      </c>
      <c r="N336">
        <v>550</v>
      </c>
    </row>
    <row r="337" spans="1:14" x14ac:dyDescent="0.25">
      <c r="A337">
        <v>58.760652</v>
      </c>
      <c r="B337" s="1">
        <f>DATE(2010,6,28) + TIME(18,15,20)</f>
        <v>40357.760648148149</v>
      </c>
      <c r="C337">
        <v>80</v>
      </c>
      <c r="D337">
        <v>79.884742736999996</v>
      </c>
      <c r="E337">
        <v>60</v>
      </c>
      <c r="F337">
        <v>16.58234787</v>
      </c>
      <c r="G337">
        <v>1333.7885742000001</v>
      </c>
      <c r="H337">
        <v>1332.6735839999999</v>
      </c>
      <c r="I337">
        <v>1328.1011963000001</v>
      </c>
      <c r="J337">
        <v>1327.0504149999999</v>
      </c>
      <c r="K337">
        <v>550</v>
      </c>
      <c r="L337">
        <v>0</v>
      </c>
      <c r="M337">
        <v>0</v>
      </c>
      <c r="N337">
        <v>550</v>
      </c>
    </row>
    <row r="338" spans="1:14" x14ac:dyDescent="0.25">
      <c r="A338">
        <v>59.075679999999998</v>
      </c>
      <c r="B338" s="1">
        <f>DATE(2010,6,29) + TIME(1,48,58)</f>
        <v>40358.075671296298</v>
      </c>
      <c r="C338">
        <v>80</v>
      </c>
      <c r="D338">
        <v>79.884750366000006</v>
      </c>
      <c r="E338">
        <v>60</v>
      </c>
      <c r="F338">
        <v>16.667583466</v>
      </c>
      <c r="G338">
        <v>1333.7874756000001</v>
      </c>
      <c r="H338">
        <v>1332.6729736</v>
      </c>
      <c r="I338">
        <v>1328.1030272999999</v>
      </c>
      <c r="J338">
        <v>1327.0517577999999</v>
      </c>
      <c r="K338">
        <v>550</v>
      </c>
      <c r="L338">
        <v>0</v>
      </c>
      <c r="M338">
        <v>0</v>
      </c>
      <c r="N338">
        <v>550</v>
      </c>
    </row>
    <row r="339" spans="1:14" x14ac:dyDescent="0.25">
      <c r="A339">
        <v>59.390709000000001</v>
      </c>
      <c r="B339" s="1">
        <f>DATE(2010,6,29) + TIME(9,22,37)</f>
        <v>40358.390706018516</v>
      </c>
      <c r="C339">
        <v>80</v>
      </c>
      <c r="D339">
        <v>79.884765625</v>
      </c>
      <c r="E339">
        <v>60</v>
      </c>
      <c r="F339">
        <v>16.756168365000001</v>
      </c>
      <c r="G339">
        <v>1333.7862548999999</v>
      </c>
      <c r="H339">
        <v>1332.6723632999999</v>
      </c>
      <c r="I339">
        <v>1328.1048584</v>
      </c>
      <c r="J339">
        <v>1327.0531006000001</v>
      </c>
      <c r="K339">
        <v>550</v>
      </c>
      <c r="L339">
        <v>0</v>
      </c>
      <c r="M339">
        <v>0</v>
      </c>
      <c r="N339">
        <v>550</v>
      </c>
    </row>
    <row r="340" spans="1:14" x14ac:dyDescent="0.25">
      <c r="A340">
        <v>59.705736999999999</v>
      </c>
      <c r="B340" s="1">
        <f>DATE(2010,6,29) + TIME(16,56,15)</f>
        <v>40358.705729166664</v>
      </c>
      <c r="C340">
        <v>80</v>
      </c>
      <c r="D340">
        <v>79.884773253999995</v>
      </c>
      <c r="E340">
        <v>60</v>
      </c>
      <c r="F340">
        <v>16.848186493</v>
      </c>
      <c r="G340">
        <v>1333.7851562000001</v>
      </c>
      <c r="H340">
        <v>1332.6717529</v>
      </c>
      <c r="I340">
        <v>1328.1066894999999</v>
      </c>
      <c r="J340">
        <v>1327.0544434000001</v>
      </c>
      <c r="K340">
        <v>550</v>
      </c>
      <c r="L340">
        <v>0</v>
      </c>
      <c r="M340">
        <v>0</v>
      </c>
      <c r="N340">
        <v>550</v>
      </c>
    </row>
    <row r="341" spans="1:14" x14ac:dyDescent="0.25">
      <c r="A341">
        <v>60.335794</v>
      </c>
      <c r="B341" s="1">
        <f>DATE(2010,6,30) + TIME(8,3,32)</f>
        <v>40359.335787037038</v>
      </c>
      <c r="C341">
        <v>80</v>
      </c>
      <c r="D341">
        <v>79.884826660000002</v>
      </c>
      <c r="E341">
        <v>60</v>
      </c>
      <c r="F341">
        <v>17.023080826000001</v>
      </c>
      <c r="G341">
        <v>1333.7840576000001</v>
      </c>
      <c r="H341">
        <v>1332.6711425999999</v>
      </c>
      <c r="I341">
        <v>1328.1076660000001</v>
      </c>
      <c r="J341">
        <v>1327.0562743999999</v>
      </c>
      <c r="K341">
        <v>550</v>
      </c>
      <c r="L341">
        <v>0</v>
      </c>
      <c r="M341">
        <v>0</v>
      </c>
      <c r="N341">
        <v>550</v>
      </c>
    </row>
    <row r="342" spans="1:14" x14ac:dyDescent="0.25">
      <c r="A342">
        <v>60.667897000000004</v>
      </c>
      <c r="B342" s="1">
        <f>DATE(2010,6,30) + TIME(16,1,46)</f>
        <v>40359.667893518519</v>
      </c>
      <c r="C342">
        <v>80</v>
      </c>
      <c r="D342">
        <v>79.884834290000001</v>
      </c>
      <c r="E342">
        <v>60</v>
      </c>
      <c r="F342">
        <v>17.132516860999999</v>
      </c>
      <c r="G342">
        <v>1333.7818603999999</v>
      </c>
      <c r="H342">
        <v>1332.6697998</v>
      </c>
      <c r="I342">
        <v>1328.1123047000001</v>
      </c>
      <c r="J342">
        <v>1327.0588379000001</v>
      </c>
      <c r="K342">
        <v>550</v>
      </c>
      <c r="L342">
        <v>0</v>
      </c>
      <c r="M342">
        <v>0</v>
      </c>
      <c r="N342">
        <v>550</v>
      </c>
    </row>
    <row r="343" spans="1:14" x14ac:dyDescent="0.25">
      <c r="A343">
        <v>61</v>
      </c>
      <c r="B343" s="1">
        <f>DATE(2010,7,1) + TIME(0,0,0)</f>
        <v>40360</v>
      </c>
      <c r="C343">
        <v>80</v>
      </c>
      <c r="D343">
        <v>79.884841918999996</v>
      </c>
      <c r="E343">
        <v>60</v>
      </c>
      <c r="F343">
        <v>17.246007919</v>
      </c>
      <c r="G343">
        <v>1333.7806396000001</v>
      </c>
      <c r="H343">
        <v>1332.6691894999999</v>
      </c>
      <c r="I343">
        <v>1328.1142577999999</v>
      </c>
      <c r="J343">
        <v>1327.0605469</v>
      </c>
      <c r="K343">
        <v>550</v>
      </c>
      <c r="L343">
        <v>0</v>
      </c>
      <c r="M343">
        <v>0</v>
      </c>
      <c r="N343">
        <v>550</v>
      </c>
    </row>
    <row r="344" spans="1:14" x14ac:dyDescent="0.25">
      <c r="A344">
        <v>61.326383999999997</v>
      </c>
      <c r="B344" s="1">
        <f>DATE(2010,7,1) + TIME(7,49,59)</f>
        <v>40360.326377314814</v>
      </c>
      <c r="C344">
        <v>80</v>
      </c>
      <c r="D344">
        <v>79.884857178000004</v>
      </c>
      <c r="E344">
        <v>60</v>
      </c>
      <c r="F344">
        <v>17.361820220999999</v>
      </c>
      <c r="G344">
        <v>1333.7795410000001</v>
      </c>
      <c r="H344">
        <v>1332.6685791</v>
      </c>
      <c r="I344">
        <v>1328.1162108999999</v>
      </c>
      <c r="J344">
        <v>1327.0622559000001</v>
      </c>
      <c r="K344">
        <v>550</v>
      </c>
      <c r="L344">
        <v>0</v>
      </c>
      <c r="M344">
        <v>0</v>
      </c>
      <c r="N344">
        <v>550</v>
      </c>
    </row>
    <row r="345" spans="1:14" x14ac:dyDescent="0.25">
      <c r="A345">
        <v>61.979152999999997</v>
      </c>
      <c r="B345" s="1">
        <f>DATE(2010,7,1) + TIME(23,29,58)</f>
        <v>40360.979143518518</v>
      </c>
      <c r="C345">
        <v>80</v>
      </c>
      <c r="D345">
        <v>79.884902953999998</v>
      </c>
      <c r="E345">
        <v>60</v>
      </c>
      <c r="F345">
        <v>17.580419540000001</v>
      </c>
      <c r="G345">
        <v>1333.7783202999999</v>
      </c>
      <c r="H345">
        <v>1332.6679687999999</v>
      </c>
      <c r="I345">
        <v>1328.1170654</v>
      </c>
      <c r="J345">
        <v>1327.0643310999999</v>
      </c>
      <c r="K345">
        <v>550</v>
      </c>
      <c r="L345">
        <v>0</v>
      </c>
      <c r="M345">
        <v>0</v>
      </c>
      <c r="N345">
        <v>550</v>
      </c>
    </row>
    <row r="346" spans="1:14" x14ac:dyDescent="0.25">
      <c r="A346">
        <v>62.635936999999998</v>
      </c>
      <c r="B346" s="1">
        <f>DATE(2010,7,2) + TIME(15,15,44)</f>
        <v>40361.635925925926</v>
      </c>
      <c r="C346">
        <v>80</v>
      </c>
      <c r="D346">
        <v>79.884941100999995</v>
      </c>
      <c r="E346">
        <v>60</v>
      </c>
      <c r="F346">
        <v>17.819253922000001</v>
      </c>
      <c r="G346">
        <v>1333.7761230000001</v>
      </c>
      <c r="H346">
        <v>1332.6667480000001</v>
      </c>
      <c r="I346">
        <v>1328.1209716999999</v>
      </c>
      <c r="J346">
        <v>1327.067749</v>
      </c>
      <c r="K346">
        <v>550</v>
      </c>
      <c r="L346">
        <v>0</v>
      </c>
      <c r="M346">
        <v>0</v>
      </c>
      <c r="N346">
        <v>550</v>
      </c>
    </row>
    <row r="347" spans="1:14" x14ac:dyDescent="0.25">
      <c r="A347">
        <v>63.306100999999998</v>
      </c>
      <c r="B347" s="1">
        <f>DATE(2010,7,3) + TIME(7,20,47)</f>
        <v>40362.30609953704</v>
      </c>
      <c r="C347">
        <v>80</v>
      </c>
      <c r="D347">
        <v>79.884986877000003</v>
      </c>
      <c r="E347">
        <v>60</v>
      </c>
      <c r="F347">
        <v>18.081853867</v>
      </c>
      <c r="G347">
        <v>1333.7739257999999</v>
      </c>
      <c r="H347">
        <v>1332.6654053</v>
      </c>
      <c r="I347">
        <v>1328.1247559000001</v>
      </c>
      <c r="J347">
        <v>1327.0712891000001</v>
      </c>
      <c r="K347">
        <v>550</v>
      </c>
      <c r="L347">
        <v>0</v>
      </c>
      <c r="M347">
        <v>0</v>
      </c>
      <c r="N347">
        <v>550</v>
      </c>
    </row>
    <row r="348" spans="1:14" x14ac:dyDescent="0.25">
      <c r="A348">
        <v>63.991605</v>
      </c>
      <c r="B348" s="1">
        <f>DATE(2010,7,3) + TIME(23,47,54)</f>
        <v>40362.991597222222</v>
      </c>
      <c r="C348">
        <v>80</v>
      </c>
      <c r="D348">
        <v>79.885025024000001</v>
      </c>
      <c r="E348">
        <v>60</v>
      </c>
      <c r="F348">
        <v>18.370243073000001</v>
      </c>
      <c r="G348">
        <v>1333.7717285000001</v>
      </c>
      <c r="H348">
        <v>1332.6641846</v>
      </c>
      <c r="I348">
        <v>1328.1286620999999</v>
      </c>
      <c r="J348">
        <v>1327.0753173999999</v>
      </c>
      <c r="K348">
        <v>550</v>
      </c>
      <c r="L348">
        <v>0</v>
      </c>
      <c r="M348">
        <v>0</v>
      </c>
      <c r="N348">
        <v>550</v>
      </c>
    </row>
    <row r="349" spans="1:14" x14ac:dyDescent="0.25">
      <c r="A349">
        <v>64.691846999999996</v>
      </c>
      <c r="B349" s="1">
        <f>DATE(2010,7,4) + TIME(16,36,15)</f>
        <v>40363.691840277781</v>
      </c>
      <c r="C349">
        <v>80</v>
      </c>
      <c r="D349">
        <v>79.885063170999999</v>
      </c>
      <c r="E349">
        <v>60</v>
      </c>
      <c r="F349">
        <v>18.685716629000002</v>
      </c>
      <c r="G349">
        <v>1333.7695312000001</v>
      </c>
      <c r="H349">
        <v>1332.6629639</v>
      </c>
      <c r="I349">
        <v>1328.1326904</v>
      </c>
      <c r="J349">
        <v>1327.0794678</v>
      </c>
      <c r="K349">
        <v>550</v>
      </c>
      <c r="L349">
        <v>0</v>
      </c>
      <c r="M349">
        <v>0</v>
      </c>
      <c r="N349">
        <v>550</v>
      </c>
    </row>
    <row r="350" spans="1:14" x14ac:dyDescent="0.25">
      <c r="A350">
        <v>65.397726000000006</v>
      </c>
      <c r="B350" s="1">
        <f>DATE(2010,7,5) + TIME(9,32,43)</f>
        <v>40364.397719907407</v>
      </c>
      <c r="C350">
        <v>80</v>
      </c>
      <c r="D350">
        <v>79.885101317999997</v>
      </c>
      <c r="E350">
        <v>60</v>
      </c>
      <c r="F350">
        <v>19.026138306</v>
      </c>
      <c r="G350">
        <v>1333.7672118999999</v>
      </c>
      <c r="H350">
        <v>1332.6616211</v>
      </c>
      <c r="I350">
        <v>1328.1367187999999</v>
      </c>
      <c r="J350">
        <v>1327.0839844</v>
      </c>
      <c r="K350">
        <v>550</v>
      </c>
      <c r="L350">
        <v>0</v>
      </c>
      <c r="M350">
        <v>0</v>
      </c>
      <c r="N350">
        <v>550</v>
      </c>
    </row>
    <row r="351" spans="1:14" x14ac:dyDescent="0.25">
      <c r="A351">
        <v>66.111239999999995</v>
      </c>
      <c r="B351" s="1">
        <f>DATE(2010,7,6) + TIME(2,40,11)</f>
        <v>40365.111238425925</v>
      </c>
      <c r="C351">
        <v>80</v>
      </c>
      <c r="D351">
        <v>79.885147094999994</v>
      </c>
      <c r="E351">
        <v>60</v>
      </c>
      <c r="F351">
        <v>19.392782211</v>
      </c>
      <c r="G351">
        <v>1333.7650146000001</v>
      </c>
      <c r="H351">
        <v>1332.6604004000001</v>
      </c>
      <c r="I351">
        <v>1328.1407471</v>
      </c>
      <c r="J351">
        <v>1327.0888672000001</v>
      </c>
      <c r="K351">
        <v>550</v>
      </c>
      <c r="L351">
        <v>0</v>
      </c>
      <c r="M351">
        <v>0</v>
      </c>
      <c r="N351">
        <v>550</v>
      </c>
    </row>
    <row r="352" spans="1:14" x14ac:dyDescent="0.25">
      <c r="A352">
        <v>66.471751999999995</v>
      </c>
      <c r="B352" s="1">
        <f>DATE(2010,7,6) + TIME(11,19,19)</f>
        <v>40365.471747685187</v>
      </c>
      <c r="C352">
        <v>80</v>
      </c>
      <c r="D352">
        <v>79.885154724000003</v>
      </c>
      <c r="E352">
        <v>60</v>
      </c>
      <c r="F352">
        <v>19.611373901</v>
      </c>
      <c r="G352">
        <v>1333.7628173999999</v>
      </c>
      <c r="H352">
        <v>1332.6591797000001</v>
      </c>
      <c r="I352">
        <v>1328.1466064000001</v>
      </c>
      <c r="J352">
        <v>1327.0933838000001</v>
      </c>
      <c r="K352">
        <v>550</v>
      </c>
      <c r="L352">
        <v>0</v>
      </c>
      <c r="M352">
        <v>0</v>
      </c>
      <c r="N352">
        <v>550</v>
      </c>
    </row>
    <row r="353" spans="1:14" x14ac:dyDescent="0.25">
      <c r="A353">
        <v>66.830995999999999</v>
      </c>
      <c r="B353" s="1">
        <f>DATE(2010,7,6) + TIME(19,56,38)</f>
        <v>40365.830995370372</v>
      </c>
      <c r="C353">
        <v>80</v>
      </c>
      <c r="D353">
        <v>79.885162354000002</v>
      </c>
      <c r="E353">
        <v>60</v>
      </c>
      <c r="F353">
        <v>19.833356856999998</v>
      </c>
      <c r="G353">
        <v>1333.7617187999999</v>
      </c>
      <c r="H353">
        <v>1332.6584473</v>
      </c>
      <c r="I353">
        <v>1328.1485596</v>
      </c>
      <c r="J353">
        <v>1327.0961914</v>
      </c>
      <c r="K353">
        <v>550</v>
      </c>
      <c r="L353">
        <v>0</v>
      </c>
      <c r="M353">
        <v>0</v>
      </c>
      <c r="N353">
        <v>550</v>
      </c>
    </row>
    <row r="354" spans="1:14" x14ac:dyDescent="0.25">
      <c r="A354">
        <v>67.189815999999993</v>
      </c>
      <c r="B354" s="1">
        <f>DATE(2010,7,7) + TIME(4,33,20)</f>
        <v>40366.189814814818</v>
      </c>
      <c r="C354">
        <v>80</v>
      </c>
      <c r="D354">
        <v>79.885177612000007</v>
      </c>
      <c r="E354">
        <v>60</v>
      </c>
      <c r="F354">
        <v>20.059310913000001</v>
      </c>
      <c r="G354">
        <v>1333.7606201000001</v>
      </c>
      <c r="H354">
        <v>1332.6578368999999</v>
      </c>
      <c r="I354">
        <v>1328.1503906</v>
      </c>
      <c r="J354">
        <v>1327.0991211</v>
      </c>
      <c r="K354">
        <v>550</v>
      </c>
      <c r="L354">
        <v>0</v>
      </c>
      <c r="M354">
        <v>0</v>
      </c>
      <c r="N354">
        <v>550</v>
      </c>
    </row>
    <row r="355" spans="1:14" x14ac:dyDescent="0.25">
      <c r="A355">
        <v>67.548478000000003</v>
      </c>
      <c r="B355" s="1">
        <f>DATE(2010,7,7) + TIME(13,9,48)</f>
        <v>40366.548472222225</v>
      </c>
      <c r="C355">
        <v>80</v>
      </c>
      <c r="D355">
        <v>79.885200499999996</v>
      </c>
      <c r="E355">
        <v>60</v>
      </c>
      <c r="F355">
        <v>20.28956604</v>
      </c>
      <c r="G355">
        <v>1333.7595214999999</v>
      </c>
      <c r="H355">
        <v>1332.6572266000001</v>
      </c>
      <c r="I355">
        <v>1328.1523437999999</v>
      </c>
      <c r="J355">
        <v>1327.1020507999999</v>
      </c>
      <c r="K355">
        <v>550</v>
      </c>
      <c r="L355">
        <v>0</v>
      </c>
      <c r="M355">
        <v>0</v>
      </c>
      <c r="N355">
        <v>550</v>
      </c>
    </row>
    <row r="356" spans="1:14" x14ac:dyDescent="0.25">
      <c r="A356">
        <v>67.907140999999996</v>
      </c>
      <c r="B356" s="1">
        <f>DATE(2010,7,7) + TIME(21,46,16)</f>
        <v>40366.907129629632</v>
      </c>
      <c r="C356">
        <v>80</v>
      </c>
      <c r="D356">
        <v>79.885215759000005</v>
      </c>
      <c r="E356">
        <v>60</v>
      </c>
      <c r="F356">
        <v>20.524103165</v>
      </c>
      <c r="G356">
        <v>1333.7584228999999</v>
      </c>
      <c r="H356">
        <v>1332.6566161999999</v>
      </c>
      <c r="I356">
        <v>1328.1541748</v>
      </c>
      <c r="J356">
        <v>1327.1049805</v>
      </c>
      <c r="K356">
        <v>550</v>
      </c>
      <c r="L356">
        <v>0</v>
      </c>
      <c r="M356">
        <v>0</v>
      </c>
      <c r="N356">
        <v>550</v>
      </c>
    </row>
    <row r="357" spans="1:14" x14ac:dyDescent="0.25">
      <c r="A357">
        <v>68.265803000000005</v>
      </c>
      <c r="B357" s="1">
        <f>DATE(2010,7,8) + TIME(6,22,45)</f>
        <v>40367.265798611108</v>
      </c>
      <c r="C357">
        <v>80</v>
      </c>
      <c r="D357">
        <v>79.885238646999994</v>
      </c>
      <c r="E357">
        <v>60</v>
      </c>
      <c r="F357">
        <v>20.762947083</v>
      </c>
      <c r="G357">
        <v>1333.7573242000001</v>
      </c>
      <c r="H357">
        <v>1332.6560059000001</v>
      </c>
      <c r="I357">
        <v>1328.1561279</v>
      </c>
      <c r="J357">
        <v>1327.1080322</v>
      </c>
      <c r="K357">
        <v>550</v>
      </c>
      <c r="L357">
        <v>0</v>
      </c>
      <c r="M357">
        <v>0</v>
      </c>
      <c r="N357">
        <v>550</v>
      </c>
    </row>
    <row r="358" spans="1:14" x14ac:dyDescent="0.25">
      <c r="A358">
        <v>68.624465000000001</v>
      </c>
      <c r="B358" s="1">
        <f>DATE(2010,7,8) + TIME(14,59,13)</f>
        <v>40367.624456018515</v>
      </c>
      <c r="C358">
        <v>80</v>
      </c>
      <c r="D358">
        <v>79.885261536000002</v>
      </c>
      <c r="E358">
        <v>60</v>
      </c>
      <c r="F358">
        <v>21.006093978999999</v>
      </c>
      <c r="G358">
        <v>1333.7562256000001</v>
      </c>
      <c r="H358">
        <v>1332.6553954999999</v>
      </c>
      <c r="I358">
        <v>1328.1579589999999</v>
      </c>
      <c r="J358">
        <v>1327.1112060999999</v>
      </c>
      <c r="K358">
        <v>550</v>
      </c>
      <c r="L358">
        <v>0</v>
      </c>
      <c r="M358">
        <v>0</v>
      </c>
      <c r="N358">
        <v>550</v>
      </c>
    </row>
    <row r="359" spans="1:14" x14ac:dyDescent="0.25">
      <c r="A359">
        <v>69.341790000000003</v>
      </c>
      <c r="B359" s="1">
        <f>DATE(2010,7,9) + TIME(8,12,10)</f>
        <v>40368.341782407406</v>
      </c>
      <c r="C359">
        <v>80</v>
      </c>
      <c r="D359">
        <v>79.885330199999999</v>
      </c>
      <c r="E359">
        <v>60</v>
      </c>
      <c r="F359">
        <v>21.450084686</v>
      </c>
      <c r="G359">
        <v>1333.7551269999999</v>
      </c>
      <c r="H359">
        <v>1332.6547852000001</v>
      </c>
      <c r="I359">
        <v>1328.1578368999999</v>
      </c>
      <c r="J359">
        <v>1327.1149902</v>
      </c>
      <c r="K359">
        <v>550</v>
      </c>
      <c r="L359">
        <v>0</v>
      </c>
      <c r="M359">
        <v>0</v>
      </c>
      <c r="N359">
        <v>550</v>
      </c>
    </row>
    <row r="360" spans="1:14" x14ac:dyDescent="0.25">
      <c r="A360">
        <v>70.060177999999993</v>
      </c>
      <c r="B360" s="1">
        <f>DATE(2010,7,10) + TIME(1,26,39)</f>
        <v>40369.060173611113</v>
      </c>
      <c r="C360">
        <v>80</v>
      </c>
      <c r="D360">
        <v>79.885383606000005</v>
      </c>
      <c r="E360">
        <v>60</v>
      </c>
      <c r="F360">
        <v>21.920263290000001</v>
      </c>
      <c r="G360">
        <v>1333.7530518000001</v>
      </c>
      <c r="H360">
        <v>1332.6535644999999</v>
      </c>
      <c r="I360">
        <v>1328.1618652</v>
      </c>
      <c r="J360">
        <v>1327.1210937999999</v>
      </c>
      <c r="K360">
        <v>550</v>
      </c>
      <c r="L360">
        <v>0</v>
      </c>
      <c r="M360">
        <v>0</v>
      </c>
      <c r="N360">
        <v>550</v>
      </c>
    </row>
    <row r="361" spans="1:14" x14ac:dyDescent="0.25">
      <c r="A361">
        <v>70.784633999999997</v>
      </c>
      <c r="B361" s="1">
        <f>DATE(2010,7,10) + TIME(18,49,52)</f>
        <v>40369.784629629627</v>
      </c>
      <c r="C361">
        <v>80</v>
      </c>
      <c r="D361">
        <v>79.885444641000007</v>
      </c>
      <c r="E361">
        <v>60</v>
      </c>
      <c r="F361">
        <v>22.417282104000002</v>
      </c>
      <c r="G361">
        <v>1333.7509766000001</v>
      </c>
      <c r="H361">
        <v>1332.6524658000001</v>
      </c>
      <c r="I361">
        <v>1328.1657714999999</v>
      </c>
      <c r="J361">
        <v>1327.1274414</v>
      </c>
      <c r="K361">
        <v>550</v>
      </c>
      <c r="L361">
        <v>0</v>
      </c>
      <c r="M361">
        <v>0</v>
      </c>
      <c r="N361">
        <v>550</v>
      </c>
    </row>
    <row r="362" spans="1:14" x14ac:dyDescent="0.25">
      <c r="A362">
        <v>71.51728</v>
      </c>
      <c r="B362" s="1">
        <f>DATE(2010,7,11) + TIME(12,24,53)</f>
        <v>40370.517280092594</v>
      </c>
      <c r="C362">
        <v>80</v>
      </c>
      <c r="D362">
        <v>79.885498046999999</v>
      </c>
      <c r="E362">
        <v>60</v>
      </c>
      <c r="F362">
        <v>22.940818787000001</v>
      </c>
      <c r="G362">
        <v>1333.7490233999999</v>
      </c>
      <c r="H362">
        <v>1332.6512451000001</v>
      </c>
      <c r="I362">
        <v>1328.1696777</v>
      </c>
      <c r="J362">
        <v>1327.1340332</v>
      </c>
      <c r="K362">
        <v>550</v>
      </c>
      <c r="L362">
        <v>0</v>
      </c>
      <c r="M362">
        <v>0</v>
      </c>
      <c r="N362">
        <v>550</v>
      </c>
    </row>
    <row r="363" spans="1:14" x14ac:dyDescent="0.25">
      <c r="A363">
        <v>72.260169000000005</v>
      </c>
      <c r="B363" s="1">
        <f>DATE(2010,7,12) + TIME(6,14,38)</f>
        <v>40371.260162037041</v>
      </c>
      <c r="C363">
        <v>80</v>
      </c>
      <c r="D363">
        <v>79.885551453000005</v>
      </c>
      <c r="E363">
        <v>60</v>
      </c>
      <c r="F363">
        <v>23.490657806000002</v>
      </c>
      <c r="G363">
        <v>1333.7469481999999</v>
      </c>
      <c r="H363">
        <v>1332.6501464999999</v>
      </c>
      <c r="I363">
        <v>1328.1735839999999</v>
      </c>
      <c r="J363">
        <v>1327.1409911999999</v>
      </c>
      <c r="K363">
        <v>550</v>
      </c>
      <c r="L363">
        <v>0</v>
      </c>
      <c r="M363">
        <v>0</v>
      </c>
      <c r="N363">
        <v>550</v>
      </c>
    </row>
    <row r="364" spans="1:14" x14ac:dyDescent="0.25">
      <c r="A364">
        <v>73.015448000000006</v>
      </c>
      <c r="B364" s="1">
        <f>DATE(2010,7,13) + TIME(0,22,14)</f>
        <v>40372.015439814815</v>
      </c>
      <c r="C364">
        <v>80</v>
      </c>
      <c r="D364">
        <v>79.885612488000007</v>
      </c>
      <c r="E364">
        <v>60</v>
      </c>
      <c r="F364">
        <v>24.066728592</v>
      </c>
      <c r="G364">
        <v>1333.7449951000001</v>
      </c>
      <c r="H364">
        <v>1332.6490478999999</v>
      </c>
      <c r="I364">
        <v>1328.1774902</v>
      </c>
      <c r="J364">
        <v>1327.1481934000001</v>
      </c>
      <c r="K364">
        <v>550</v>
      </c>
      <c r="L364">
        <v>0</v>
      </c>
      <c r="M364">
        <v>0</v>
      </c>
      <c r="N364">
        <v>550</v>
      </c>
    </row>
    <row r="365" spans="1:14" x14ac:dyDescent="0.25">
      <c r="A365">
        <v>73.779199000000006</v>
      </c>
      <c r="B365" s="1">
        <f>DATE(2010,7,13) + TIME(18,42,2)</f>
        <v>40372.779189814813</v>
      </c>
      <c r="C365">
        <v>80</v>
      </c>
      <c r="D365">
        <v>79.885665893999999</v>
      </c>
      <c r="E365">
        <v>60</v>
      </c>
      <c r="F365">
        <v>24.665317535</v>
      </c>
      <c r="G365">
        <v>1333.7429199000001</v>
      </c>
      <c r="H365">
        <v>1332.6479492000001</v>
      </c>
      <c r="I365">
        <v>1328.1813964999999</v>
      </c>
      <c r="J365">
        <v>1327.1558838000001</v>
      </c>
      <c r="K365">
        <v>550</v>
      </c>
      <c r="L365">
        <v>0</v>
      </c>
      <c r="M365">
        <v>0</v>
      </c>
      <c r="N365">
        <v>550</v>
      </c>
    </row>
    <row r="366" spans="1:14" x14ac:dyDescent="0.25">
      <c r="A366">
        <v>74.550567000000001</v>
      </c>
      <c r="B366" s="1">
        <f>DATE(2010,7,14) + TIME(13,12,48)</f>
        <v>40373.550555555557</v>
      </c>
      <c r="C366">
        <v>80</v>
      </c>
      <c r="D366">
        <v>79.885726929</v>
      </c>
      <c r="E366">
        <v>60</v>
      </c>
      <c r="F366">
        <v>25.284215927000002</v>
      </c>
      <c r="G366">
        <v>1333.7409668</v>
      </c>
      <c r="H366">
        <v>1332.6468506000001</v>
      </c>
      <c r="I366">
        <v>1328.1854248</v>
      </c>
      <c r="J366">
        <v>1327.1636963000001</v>
      </c>
      <c r="K366">
        <v>550</v>
      </c>
      <c r="L366">
        <v>0</v>
      </c>
      <c r="M366">
        <v>0</v>
      </c>
      <c r="N366">
        <v>550</v>
      </c>
    </row>
    <row r="367" spans="1:14" x14ac:dyDescent="0.25">
      <c r="A367">
        <v>75.331873999999999</v>
      </c>
      <c r="B367" s="1">
        <f>DATE(2010,7,15) + TIME(7,57,53)</f>
        <v>40374.331863425927</v>
      </c>
      <c r="C367">
        <v>80</v>
      </c>
      <c r="D367">
        <v>79.885787964000002</v>
      </c>
      <c r="E367">
        <v>60</v>
      </c>
      <c r="F367">
        <v>25.922842026000001</v>
      </c>
      <c r="G367">
        <v>1333.7390137</v>
      </c>
      <c r="H367">
        <v>1332.6457519999999</v>
      </c>
      <c r="I367">
        <v>1328.1894531</v>
      </c>
      <c r="J367">
        <v>1327.171875</v>
      </c>
      <c r="K367">
        <v>550</v>
      </c>
      <c r="L367">
        <v>0</v>
      </c>
      <c r="M367">
        <v>0</v>
      </c>
      <c r="N367">
        <v>550</v>
      </c>
    </row>
    <row r="368" spans="1:14" x14ac:dyDescent="0.25">
      <c r="A368">
        <v>76.125791000000007</v>
      </c>
      <c r="B368" s="1">
        <f>DATE(2010,7,16) + TIME(3,1,8)</f>
        <v>40375.125787037039</v>
      </c>
      <c r="C368">
        <v>80</v>
      </c>
      <c r="D368">
        <v>79.885848999000004</v>
      </c>
      <c r="E368">
        <v>60</v>
      </c>
      <c r="F368">
        <v>26.580606460999999</v>
      </c>
      <c r="G368">
        <v>1333.7370605000001</v>
      </c>
      <c r="H368">
        <v>1332.6446533000001</v>
      </c>
      <c r="I368">
        <v>1328.1934814000001</v>
      </c>
      <c r="J368">
        <v>1327.1802978999999</v>
      </c>
      <c r="K368">
        <v>550</v>
      </c>
      <c r="L368">
        <v>0</v>
      </c>
      <c r="M368">
        <v>0</v>
      </c>
      <c r="N368">
        <v>550</v>
      </c>
    </row>
    <row r="369" spans="1:14" x14ac:dyDescent="0.25">
      <c r="A369">
        <v>76.935840999999996</v>
      </c>
      <c r="B369" s="1">
        <f>DATE(2010,7,16) + TIME(22,27,36)</f>
        <v>40375.935833333337</v>
      </c>
      <c r="C369">
        <v>80</v>
      </c>
      <c r="D369">
        <v>79.885917664000004</v>
      </c>
      <c r="E369">
        <v>60</v>
      </c>
      <c r="F369">
        <v>27.257722855000001</v>
      </c>
      <c r="G369">
        <v>1333.7351074000001</v>
      </c>
      <c r="H369">
        <v>1332.6436768000001</v>
      </c>
      <c r="I369">
        <v>1328.1975098</v>
      </c>
      <c r="J369">
        <v>1327.1889647999999</v>
      </c>
      <c r="K369">
        <v>550</v>
      </c>
      <c r="L369">
        <v>0</v>
      </c>
      <c r="M369">
        <v>0</v>
      </c>
      <c r="N369">
        <v>550</v>
      </c>
    </row>
    <row r="370" spans="1:14" x14ac:dyDescent="0.25">
      <c r="A370">
        <v>77.345181999999994</v>
      </c>
      <c r="B370" s="1">
        <f>DATE(2010,7,17) + TIME(8,17,3)</f>
        <v>40376.345173611109</v>
      </c>
      <c r="C370">
        <v>80</v>
      </c>
      <c r="D370">
        <v>79.885932921999995</v>
      </c>
      <c r="E370">
        <v>60</v>
      </c>
      <c r="F370">
        <v>27.651885986</v>
      </c>
      <c r="G370">
        <v>1333.7332764</v>
      </c>
      <c r="H370">
        <v>1332.6427002</v>
      </c>
      <c r="I370">
        <v>1328.2044678</v>
      </c>
      <c r="J370">
        <v>1327.1968993999999</v>
      </c>
      <c r="K370">
        <v>550</v>
      </c>
      <c r="L370">
        <v>0</v>
      </c>
      <c r="M370">
        <v>0</v>
      </c>
      <c r="N370">
        <v>550</v>
      </c>
    </row>
    <row r="371" spans="1:14" x14ac:dyDescent="0.25">
      <c r="A371">
        <v>77.754521999999994</v>
      </c>
      <c r="B371" s="1">
        <f>DATE(2010,7,17) + TIME(18,6,30)</f>
        <v>40376.754513888889</v>
      </c>
      <c r="C371">
        <v>80</v>
      </c>
      <c r="D371">
        <v>79.885955811000002</v>
      </c>
      <c r="E371">
        <v>60</v>
      </c>
      <c r="F371">
        <v>28.040481567</v>
      </c>
      <c r="G371">
        <v>1333.7322998</v>
      </c>
      <c r="H371">
        <v>1332.6422118999999</v>
      </c>
      <c r="I371">
        <v>1328.2064209</v>
      </c>
      <c r="J371">
        <v>1327.2019043</v>
      </c>
      <c r="K371">
        <v>550</v>
      </c>
      <c r="L371">
        <v>0</v>
      </c>
      <c r="M371">
        <v>0</v>
      </c>
      <c r="N371">
        <v>550</v>
      </c>
    </row>
    <row r="372" spans="1:14" x14ac:dyDescent="0.25">
      <c r="A372">
        <v>78.163863000000006</v>
      </c>
      <c r="B372" s="1">
        <f>DATE(2010,7,18) + TIME(3,55,57)</f>
        <v>40377.163854166669</v>
      </c>
      <c r="C372">
        <v>80</v>
      </c>
      <c r="D372">
        <v>79.885986328000001</v>
      </c>
      <c r="E372">
        <v>60</v>
      </c>
      <c r="F372">
        <v>28.423986435</v>
      </c>
      <c r="G372">
        <v>1333.7313231999999</v>
      </c>
      <c r="H372">
        <v>1332.6417236</v>
      </c>
      <c r="I372">
        <v>1328.208374</v>
      </c>
      <c r="J372">
        <v>1327.2069091999999</v>
      </c>
      <c r="K372">
        <v>550</v>
      </c>
      <c r="L372">
        <v>0</v>
      </c>
      <c r="M372">
        <v>0</v>
      </c>
      <c r="N372">
        <v>550</v>
      </c>
    </row>
    <row r="373" spans="1:14" x14ac:dyDescent="0.25">
      <c r="A373">
        <v>78.573203000000007</v>
      </c>
      <c r="B373" s="1">
        <f>DATE(2010,7,18) + TIME(13,45,24)</f>
        <v>40377.573194444441</v>
      </c>
      <c r="C373">
        <v>80</v>
      </c>
      <c r="D373">
        <v>79.886016846000004</v>
      </c>
      <c r="E373">
        <v>60</v>
      </c>
      <c r="F373">
        <v>28.802791594999999</v>
      </c>
      <c r="G373">
        <v>1333.7304687999999</v>
      </c>
      <c r="H373">
        <v>1332.6412353999999</v>
      </c>
      <c r="I373">
        <v>1328.2104492000001</v>
      </c>
      <c r="J373">
        <v>1327.2117920000001</v>
      </c>
      <c r="K373">
        <v>550</v>
      </c>
      <c r="L373">
        <v>0</v>
      </c>
      <c r="M373">
        <v>0</v>
      </c>
      <c r="N373">
        <v>550</v>
      </c>
    </row>
    <row r="374" spans="1:14" x14ac:dyDescent="0.25">
      <c r="A374">
        <v>78.982544000000004</v>
      </c>
      <c r="B374" s="1">
        <f>DATE(2010,7,18) + TIME(23,34,51)</f>
        <v>40377.982534722221</v>
      </c>
      <c r="C374">
        <v>80</v>
      </c>
      <c r="D374">
        <v>79.886047363000003</v>
      </c>
      <c r="E374">
        <v>60</v>
      </c>
      <c r="F374">
        <v>29.177213669</v>
      </c>
      <c r="G374">
        <v>1333.7294922000001</v>
      </c>
      <c r="H374">
        <v>1332.6407471</v>
      </c>
      <c r="I374">
        <v>1328.2125243999999</v>
      </c>
      <c r="J374">
        <v>1327.2166748</v>
      </c>
      <c r="K374">
        <v>550</v>
      </c>
      <c r="L374">
        <v>0</v>
      </c>
      <c r="M374">
        <v>0</v>
      </c>
      <c r="N374">
        <v>550</v>
      </c>
    </row>
    <row r="375" spans="1:14" x14ac:dyDescent="0.25">
      <c r="A375">
        <v>79.391884000000005</v>
      </c>
      <c r="B375" s="1">
        <f>DATE(2010,7,19) + TIME(9,24,18)</f>
        <v>40378.391875000001</v>
      </c>
      <c r="C375">
        <v>80</v>
      </c>
      <c r="D375">
        <v>79.886077881000006</v>
      </c>
      <c r="E375">
        <v>60</v>
      </c>
      <c r="F375">
        <v>29.547462462999999</v>
      </c>
      <c r="G375">
        <v>1333.7286377</v>
      </c>
      <c r="H375">
        <v>1332.6402588000001</v>
      </c>
      <c r="I375">
        <v>1328.2145995999999</v>
      </c>
      <c r="J375">
        <v>1327.2215576000001</v>
      </c>
      <c r="K375">
        <v>550</v>
      </c>
      <c r="L375">
        <v>0</v>
      </c>
      <c r="M375">
        <v>0</v>
      </c>
      <c r="N375">
        <v>550</v>
      </c>
    </row>
    <row r="376" spans="1:14" x14ac:dyDescent="0.25">
      <c r="A376">
        <v>79.801225000000002</v>
      </c>
      <c r="B376" s="1">
        <f>DATE(2010,7,19) + TIME(19,13,45)</f>
        <v>40378.801215277781</v>
      </c>
      <c r="C376">
        <v>80</v>
      </c>
      <c r="D376">
        <v>79.886108398000005</v>
      </c>
      <c r="E376">
        <v>60</v>
      </c>
      <c r="F376">
        <v>29.913688659999998</v>
      </c>
      <c r="G376">
        <v>1333.7276611</v>
      </c>
      <c r="H376">
        <v>1332.6397704999999</v>
      </c>
      <c r="I376">
        <v>1328.2166748</v>
      </c>
      <c r="J376">
        <v>1327.2264404</v>
      </c>
      <c r="K376">
        <v>550</v>
      </c>
      <c r="L376">
        <v>0</v>
      </c>
      <c r="M376">
        <v>0</v>
      </c>
      <c r="N376">
        <v>550</v>
      </c>
    </row>
    <row r="377" spans="1:14" x14ac:dyDescent="0.25">
      <c r="A377">
        <v>80.210566</v>
      </c>
      <c r="B377" s="1">
        <f>DATE(2010,7,20) + TIME(5,3,12)</f>
        <v>40379.210555555554</v>
      </c>
      <c r="C377">
        <v>80</v>
      </c>
      <c r="D377">
        <v>79.886146545000003</v>
      </c>
      <c r="E377">
        <v>60</v>
      </c>
      <c r="F377">
        <v>30.276098251000001</v>
      </c>
      <c r="G377">
        <v>1333.7268065999999</v>
      </c>
      <c r="H377">
        <v>1332.6392822</v>
      </c>
      <c r="I377">
        <v>1328.21875</v>
      </c>
      <c r="J377">
        <v>1327.2313231999999</v>
      </c>
      <c r="K377">
        <v>550</v>
      </c>
      <c r="L377">
        <v>0</v>
      </c>
      <c r="M377">
        <v>0</v>
      </c>
      <c r="N377">
        <v>550</v>
      </c>
    </row>
    <row r="378" spans="1:14" x14ac:dyDescent="0.25">
      <c r="A378">
        <v>81.029246999999998</v>
      </c>
      <c r="B378" s="1">
        <f>DATE(2010,7,21) + TIME(0,42,6)</f>
        <v>40380.029236111113</v>
      </c>
      <c r="C378">
        <v>80</v>
      </c>
      <c r="D378">
        <v>79.886238098000007</v>
      </c>
      <c r="E378">
        <v>60</v>
      </c>
      <c r="F378">
        <v>30.900493621999999</v>
      </c>
      <c r="G378">
        <v>1333.7258300999999</v>
      </c>
      <c r="H378">
        <v>1332.6386719</v>
      </c>
      <c r="I378">
        <v>1328.21875</v>
      </c>
      <c r="J378">
        <v>1327.2369385</v>
      </c>
      <c r="K378">
        <v>550</v>
      </c>
      <c r="L378">
        <v>0</v>
      </c>
      <c r="M378">
        <v>0</v>
      </c>
      <c r="N378">
        <v>550</v>
      </c>
    </row>
    <row r="379" spans="1:14" x14ac:dyDescent="0.25">
      <c r="A379">
        <v>81.849947</v>
      </c>
      <c r="B379" s="1">
        <f>DATE(2010,7,21) + TIME(20,23,55)</f>
        <v>40380.849942129629</v>
      </c>
      <c r="C379">
        <v>80</v>
      </c>
      <c r="D379">
        <v>79.886322020999998</v>
      </c>
      <c r="E379">
        <v>60</v>
      </c>
      <c r="F379">
        <v>31.536514281999999</v>
      </c>
      <c r="G379">
        <v>1333.7241211</v>
      </c>
      <c r="H379">
        <v>1332.6378173999999</v>
      </c>
      <c r="I379">
        <v>1328.2233887</v>
      </c>
      <c r="J379">
        <v>1327.2457274999999</v>
      </c>
      <c r="K379">
        <v>550</v>
      </c>
      <c r="L379">
        <v>0</v>
      </c>
      <c r="M379">
        <v>0</v>
      </c>
      <c r="N379">
        <v>550</v>
      </c>
    </row>
    <row r="380" spans="1:14" x14ac:dyDescent="0.25">
      <c r="A380">
        <v>82.679623000000007</v>
      </c>
      <c r="B380" s="1">
        <f>DATE(2010,7,22) + TIME(16,18,39)</f>
        <v>40381.679618055554</v>
      </c>
      <c r="C380">
        <v>80</v>
      </c>
      <c r="D380">
        <v>79.886398314999994</v>
      </c>
      <c r="E380">
        <v>60</v>
      </c>
      <c r="F380">
        <v>32.182064056000002</v>
      </c>
      <c r="G380">
        <v>1333.7224120999999</v>
      </c>
      <c r="H380">
        <v>1332.6369629000001</v>
      </c>
      <c r="I380">
        <v>1328.2280272999999</v>
      </c>
      <c r="J380">
        <v>1327.2546387</v>
      </c>
      <c r="K380">
        <v>550</v>
      </c>
      <c r="L380">
        <v>0</v>
      </c>
      <c r="M380">
        <v>0</v>
      </c>
      <c r="N380">
        <v>550</v>
      </c>
    </row>
    <row r="381" spans="1:14" x14ac:dyDescent="0.25">
      <c r="A381">
        <v>83.520788999999994</v>
      </c>
      <c r="B381" s="1">
        <f>DATE(2010,7,23) + TIME(12,29,56)</f>
        <v>40382.520787037036</v>
      </c>
      <c r="C381">
        <v>80</v>
      </c>
      <c r="D381">
        <v>79.886474609000004</v>
      </c>
      <c r="E381">
        <v>60</v>
      </c>
      <c r="F381">
        <v>32.833389281999999</v>
      </c>
      <c r="G381">
        <v>1333.7208252</v>
      </c>
      <c r="H381">
        <v>1332.6361084</v>
      </c>
      <c r="I381">
        <v>1328.2326660000001</v>
      </c>
      <c r="J381">
        <v>1327.2636719</v>
      </c>
      <c r="K381">
        <v>550</v>
      </c>
      <c r="L381">
        <v>0</v>
      </c>
      <c r="M381">
        <v>0</v>
      </c>
      <c r="N381">
        <v>550</v>
      </c>
    </row>
    <row r="382" spans="1:14" x14ac:dyDescent="0.25">
      <c r="A382">
        <v>84.375962000000001</v>
      </c>
      <c r="B382" s="1">
        <f>DATE(2010,7,24) + TIME(9,1,23)</f>
        <v>40383.375960648147</v>
      </c>
      <c r="C382">
        <v>80</v>
      </c>
      <c r="D382">
        <v>79.886558532999999</v>
      </c>
      <c r="E382">
        <v>60</v>
      </c>
      <c r="F382">
        <v>33.487129211000003</v>
      </c>
      <c r="G382">
        <v>1333.7191161999999</v>
      </c>
      <c r="H382">
        <v>1332.6352539</v>
      </c>
      <c r="I382">
        <v>1328.2373047000001</v>
      </c>
      <c r="J382">
        <v>1327.2728271000001</v>
      </c>
      <c r="K382">
        <v>550</v>
      </c>
      <c r="L382">
        <v>0</v>
      </c>
      <c r="M382">
        <v>0</v>
      </c>
      <c r="N382">
        <v>550</v>
      </c>
    </row>
    <row r="383" spans="1:14" x14ac:dyDescent="0.25">
      <c r="A383">
        <v>85.247805</v>
      </c>
      <c r="B383" s="1">
        <f>DATE(2010,7,25) + TIME(5,56,50)</f>
        <v>40384.247800925928</v>
      </c>
      <c r="C383">
        <v>80</v>
      </c>
      <c r="D383">
        <v>79.886634826999995</v>
      </c>
      <c r="E383">
        <v>60</v>
      </c>
      <c r="F383">
        <v>34.141056061</v>
      </c>
      <c r="G383">
        <v>1333.7175293</v>
      </c>
      <c r="H383">
        <v>1332.6345214999999</v>
      </c>
      <c r="I383">
        <v>1328.2420654</v>
      </c>
      <c r="J383">
        <v>1327.2821045000001</v>
      </c>
      <c r="K383">
        <v>550</v>
      </c>
      <c r="L383">
        <v>0</v>
      </c>
      <c r="M383">
        <v>0</v>
      </c>
      <c r="N383">
        <v>550</v>
      </c>
    </row>
    <row r="384" spans="1:14" x14ac:dyDescent="0.25">
      <c r="A384">
        <v>86.137114999999994</v>
      </c>
      <c r="B384" s="1">
        <f>DATE(2010,7,26) + TIME(3,17,26)</f>
        <v>40385.137106481481</v>
      </c>
      <c r="C384">
        <v>80</v>
      </c>
      <c r="D384">
        <v>79.88671875</v>
      </c>
      <c r="E384">
        <v>60</v>
      </c>
      <c r="F384">
        <v>34.792778015000003</v>
      </c>
      <c r="G384">
        <v>1333.7159423999999</v>
      </c>
      <c r="H384">
        <v>1332.6336670000001</v>
      </c>
      <c r="I384">
        <v>1328.2469481999999</v>
      </c>
      <c r="J384">
        <v>1327.2913818</v>
      </c>
      <c r="K384">
        <v>550</v>
      </c>
      <c r="L384">
        <v>0</v>
      </c>
      <c r="M384">
        <v>0</v>
      </c>
      <c r="N384">
        <v>550</v>
      </c>
    </row>
    <row r="385" spans="1:14" x14ac:dyDescent="0.25">
      <c r="A385">
        <v>87.041622000000004</v>
      </c>
      <c r="B385" s="1">
        <f>DATE(2010,7,27) + TIME(0,59,56)</f>
        <v>40386.041620370372</v>
      </c>
      <c r="C385">
        <v>80</v>
      </c>
      <c r="D385">
        <v>79.886810303000004</v>
      </c>
      <c r="E385">
        <v>60</v>
      </c>
      <c r="F385">
        <v>35.439014434999997</v>
      </c>
      <c r="G385">
        <v>1333.7143555</v>
      </c>
      <c r="H385">
        <v>1332.6329346</v>
      </c>
      <c r="I385">
        <v>1328.2520752</v>
      </c>
      <c r="J385">
        <v>1327.3009033000001</v>
      </c>
      <c r="K385">
        <v>550</v>
      </c>
      <c r="L385">
        <v>0</v>
      </c>
      <c r="M385">
        <v>0</v>
      </c>
      <c r="N385">
        <v>550</v>
      </c>
    </row>
    <row r="386" spans="1:14" x14ac:dyDescent="0.25">
      <c r="A386">
        <v>87.964372999999995</v>
      </c>
      <c r="B386" s="1">
        <f>DATE(2010,7,27) + TIME(23,8,41)</f>
        <v>40386.964363425926</v>
      </c>
      <c r="C386">
        <v>80</v>
      </c>
      <c r="D386">
        <v>79.886894225999995</v>
      </c>
      <c r="E386">
        <v>60</v>
      </c>
      <c r="F386">
        <v>36.079627991000002</v>
      </c>
      <c r="G386">
        <v>1333.7127685999999</v>
      </c>
      <c r="H386">
        <v>1332.6322021000001</v>
      </c>
      <c r="I386">
        <v>1328.2572021000001</v>
      </c>
      <c r="J386">
        <v>1327.3104248</v>
      </c>
      <c r="K386">
        <v>550</v>
      </c>
      <c r="L386">
        <v>0</v>
      </c>
      <c r="M386">
        <v>0</v>
      </c>
      <c r="N386">
        <v>550</v>
      </c>
    </row>
    <row r="387" spans="1:14" x14ac:dyDescent="0.25">
      <c r="A387">
        <v>88.908574000000002</v>
      </c>
      <c r="B387" s="1">
        <f>DATE(2010,7,28) + TIME(21,48,20)</f>
        <v>40387.908564814818</v>
      </c>
      <c r="C387">
        <v>80</v>
      </c>
      <c r="D387">
        <v>79.886985779</v>
      </c>
      <c r="E387">
        <v>60</v>
      </c>
      <c r="F387">
        <v>36.714908600000001</v>
      </c>
      <c r="G387">
        <v>1333.7111815999999</v>
      </c>
      <c r="H387">
        <v>1332.6314697</v>
      </c>
      <c r="I387">
        <v>1328.2625731999999</v>
      </c>
      <c r="J387">
        <v>1327.3200684000001</v>
      </c>
      <c r="K387">
        <v>550</v>
      </c>
      <c r="L387">
        <v>0</v>
      </c>
      <c r="M387">
        <v>0</v>
      </c>
      <c r="N387">
        <v>550</v>
      </c>
    </row>
    <row r="388" spans="1:14" x14ac:dyDescent="0.25">
      <c r="A388">
        <v>89.380926000000002</v>
      </c>
      <c r="B388" s="1">
        <f>DATE(2010,7,29) + TIME(9,8,31)</f>
        <v>40388.380914351852</v>
      </c>
      <c r="C388">
        <v>80</v>
      </c>
      <c r="D388">
        <v>79.887016295999999</v>
      </c>
      <c r="E388">
        <v>60</v>
      </c>
      <c r="F388">
        <v>37.080986023000001</v>
      </c>
      <c r="G388">
        <v>1333.7097168</v>
      </c>
      <c r="H388">
        <v>1332.6308594</v>
      </c>
      <c r="I388">
        <v>1328.2700195</v>
      </c>
      <c r="J388">
        <v>1327.3289795000001</v>
      </c>
      <c r="K388">
        <v>550</v>
      </c>
      <c r="L388">
        <v>0</v>
      </c>
      <c r="M388">
        <v>0</v>
      </c>
      <c r="N388">
        <v>550</v>
      </c>
    </row>
    <row r="389" spans="1:14" x14ac:dyDescent="0.25">
      <c r="A389">
        <v>89.852490000000003</v>
      </c>
      <c r="B389" s="1">
        <f>DATE(2010,7,29) + TIME(20,27,35)</f>
        <v>40388.852488425924</v>
      </c>
      <c r="C389">
        <v>80</v>
      </c>
      <c r="D389">
        <v>79.887054442999997</v>
      </c>
      <c r="E389">
        <v>60</v>
      </c>
      <c r="F389">
        <v>37.431526183999999</v>
      </c>
      <c r="G389">
        <v>1333.7089844</v>
      </c>
      <c r="H389">
        <v>1332.6304932</v>
      </c>
      <c r="I389">
        <v>1328.2725829999999</v>
      </c>
      <c r="J389">
        <v>1327.3344727000001</v>
      </c>
      <c r="K389">
        <v>550</v>
      </c>
      <c r="L389">
        <v>0</v>
      </c>
      <c r="M389">
        <v>0</v>
      </c>
      <c r="N389">
        <v>550</v>
      </c>
    </row>
    <row r="390" spans="1:14" x14ac:dyDescent="0.25">
      <c r="A390">
        <v>90.323263999999995</v>
      </c>
      <c r="B390" s="1">
        <f>DATE(2010,7,30) + TIME(7,45,29)</f>
        <v>40389.323252314818</v>
      </c>
      <c r="C390">
        <v>80</v>
      </c>
      <c r="D390">
        <v>79.887092589999995</v>
      </c>
      <c r="E390">
        <v>60</v>
      </c>
      <c r="F390">
        <v>37.768032073999997</v>
      </c>
      <c r="G390">
        <v>1333.7081298999999</v>
      </c>
      <c r="H390">
        <v>1332.6301269999999</v>
      </c>
      <c r="I390">
        <v>1328.2752685999999</v>
      </c>
      <c r="J390">
        <v>1327.3397216999999</v>
      </c>
      <c r="K390">
        <v>550</v>
      </c>
      <c r="L390">
        <v>0</v>
      </c>
      <c r="M390">
        <v>0</v>
      </c>
      <c r="N390">
        <v>550</v>
      </c>
    </row>
    <row r="391" spans="1:14" x14ac:dyDescent="0.25">
      <c r="A391">
        <v>90.793634999999995</v>
      </c>
      <c r="B391" s="1">
        <f>DATE(2010,7,30) + TIME(19,2,50)</f>
        <v>40389.793634259258</v>
      </c>
      <c r="C391">
        <v>80</v>
      </c>
      <c r="D391">
        <v>79.887130737000007</v>
      </c>
      <c r="E391">
        <v>60</v>
      </c>
      <c r="F391">
        <v>38.092407227000002</v>
      </c>
      <c r="G391">
        <v>1333.7073975000001</v>
      </c>
      <c r="H391">
        <v>1332.6298827999999</v>
      </c>
      <c r="I391">
        <v>1328.2779541</v>
      </c>
      <c r="J391">
        <v>1327.3449707</v>
      </c>
      <c r="K391">
        <v>550</v>
      </c>
      <c r="L391">
        <v>0</v>
      </c>
      <c r="M391">
        <v>0</v>
      </c>
      <c r="N391">
        <v>550</v>
      </c>
    </row>
    <row r="392" spans="1:14" x14ac:dyDescent="0.25">
      <c r="A392">
        <v>91.263993999999997</v>
      </c>
      <c r="B392" s="1">
        <f>DATE(2010,7,31) + TIME(6,20,9)</f>
        <v>40390.263993055552</v>
      </c>
      <c r="C392">
        <v>80</v>
      </c>
      <c r="D392">
        <v>79.887176514000004</v>
      </c>
      <c r="E392">
        <v>60</v>
      </c>
      <c r="F392">
        <v>38.406265259000001</v>
      </c>
      <c r="G392">
        <v>1333.7067870999999</v>
      </c>
      <c r="H392">
        <v>1332.6295166</v>
      </c>
      <c r="I392">
        <v>1328.2807617000001</v>
      </c>
      <c r="J392">
        <v>1327.3500977000001</v>
      </c>
      <c r="K392">
        <v>550</v>
      </c>
      <c r="L392">
        <v>0</v>
      </c>
      <c r="M392">
        <v>0</v>
      </c>
      <c r="N392">
        <v>550</v>
      </c>
    </row>
    <row r="393" spans="1:14" x14ac:dyDescent="0.25">
      <c r="A393">
        <v>92</v>
      </c>
      <c r="B393" s="1">
        <f>DATE(2010,8,1) + TIME(0,0,0)</f>
        <v>40391</v>
      </c>
      <c r="C393">
        <v>80</v>
      </c>
      <c r="D393">
        <v>79.887252808</v>
      </c>
      <c r="E393">
        <v>60</v>
      </c>
      <c r="F393">
        <v>38.836978911999999</v>
      </c>
      <c r="G393">
        <v>1333.7060547000001</v>
      </c>
      <c r="H393">
        <v>1332.6292725000001</v>
      </c>
      <c r="I393">
        <v>1328.2825928</v>
      </c>
      <c r="J393">
        <v>1327.3554687999999</v>
      </c>
      <c r="K393">
        <v>550</v>
      </c>
      <c r="L393">
        <v>0</v>
      </c>
      <c r="M393">
        <v>0</v>
      </c>
      <c r="N393">
        <v>550</v>
      </c>
    </row>
    <row r="394" spans="1:14" x14ac:dyDescent="0.25">
      <c r="A394">
        <v>92.940718000000004</v>
      </c>
      <c r="B394" s="1">
        <f>DATE(2010,8,1) + TIME(22,34,38)</f>
        <v>40391.940717592595</v>
      </c>
      <c r="C394">
        <v>80</v>
      </c>
      <c r="D394">
        <v>79.887367248999993</v>
      </c>
      <c r="E394">
        <v>60</v>
      </c>
      <c r="F394">
        <v>39.341369628999999</v>
      </c>
      <c r="G394">
        <v>1333.7048339999999</v>
      </c>
      <c r="H394">
        <v>1332.6287841999999</v>
      </c>
      <c r="I394">
        <v>1328.286499</v>
      </c>
      <c r="J394">
        <v>1327.3630370999999</v>
      </c>
      <c r="K394">
        <v>550</v>
      </c>
      <c r="L394">
        <v>0</v>
      </c>
      <c r="M394">
        <v>0</v>
      </c>
      <c r="N394">
        <v>550</v>
      </c>
    </row>
    <row r="395" spans="1:14" x14ac:dyDescent="0.25">
      <c r="A395">
        <v>93.882104999999996</v>
      </c>
      <c r="B395" s="1">
        <f>DATE(2010,8,2) + TIME(21,10,13)</f>
        <v>40392.882094907407</v>
      </c>
      <c r="C395">
        <v>80</v>
      </c>
      <c r="D395">
        <v>79.887466431000007</v>
      </c>
      <c r="E395">
        <v>60</v>
      </c>
      <c r="F395">
        <v>39.846210480000003</v>
      </c>
      <c r="G395">
        <v>1333.7034911999999</v>
      </c>
      <c r="H395">
        <v>1332.6281738</v>
      </c>
      <c r="I395">
        <v>1328.2921143000001</v>
      </c>
      <c r="J395">
        <v>1327.3719481999999</v>
      </c>
      <c r="K395">
        <v>550</v>
      </c>
      <c r="L395">
        <v>0</v>
      </c>
      <c r="M395">
        <v>0</v>
      </c>
      <c r="N395">
        <v>550</v>
      </c>
    </row>
    <row r="396" spans="1:14" x14ac:dyDescent="0.25">
      <c r="A396">
        <v>94.831867000000003</v>
      </c>
      <c r="B396" s="1">
        <f>DATE(2010,8,3) + TIME(19,57,53)</f>
        <v>40393.831863425927</v>
      </c>
      <c r="C396">
        <v>80</v>
      </c>
      <c r="D396">
        <v>79.887565613000007</v>
      </c>
      <c r="E396">
        <v>60</v>
      </c>
      <c r="F396">
        <v>40.349674225000001</v>
      </c>
      <c r="G396">
        <v>1333.7021483999999</v>
      </c>
      <c r="H396">
        <v>1332.6276855000001</v>
      </c>
      <c r="I396">
        <v>1328.2978516000001</v>
      </c>
      <c r="J396">
        <v>1327.3808594</v>
      </c>
      <c r="K396">
        <v>550</v>
      </c>
      <c r="L396">
        <v>0</v>
      </c>
      <c r="M396">
        <v>0</v>
      </c>
      <c r="N396">
        <v>550</v>
      </c>
    </row>
    <row r="397" spans="1:14" x14ac:dyDescent="0.25">
      <c r="A397">
        <v>95.792852999999994</v>
      </c>
      <c r="B397" s="1">
        <f>DATE(2010,8,4) + TIME(19,1,42)</f>
        <v>40394.792847222219</v>
      </c>
      <c r="C397">
        <v>80</v>
      </c>
      <c r="D397">
        <v>79.887664795000006</v>
      </c>
      <c r="E397">
        <v>60</v>
      </c>
      <c r="F397">
        <v>40.849903107000003</v>
      </c>
      <c r="G397">
        <v>1333.7009277</v>
      </c>
      <c r="H397">
        <v>1332.6271973</v>
      </c>
      <c r="I397">
        <v>1328.3035889</v>
      </c>
      <c r="J397">
        <v>1327.3900146000001</v>
      </c>
      <c r="K397">
        <v>550</v>
      </c>
      <c r="L397">
        <v>0</v>
      </c>
      <c r="M397">
        <v>0</v>
      </c>
      <c r="N397">
        <v>550</v>
      </c>
    </row>
    <row r="398" spans="1:14" x14ac:dyDescent="0.25">
      <c r="A398">
        <v>96.768027000000004</v>
      </c>
      <c r="B398" s="1">
        <f>DATE(2010,8,5) + TIME(18,25,57)</f>
        <v>40395.768020833333</v>
      </c>
      <c r="C398">
        <v>80</v>
      </c>
      <c r="D398">
        <v>79.887763977000006</v>
      </c>
      <c r="E398">
        <v>60</v>
      </c>
      <c r="F398">
        <v>41.345989226999997</v>
      </c>
      <c r="G398">
        <v>1333.6995850000001</v>
      </c>
      <c r="H398">
        <v>1332.6267089999999</v>
      </c>
      <c r="I398">
        <v>1328.3093262</v>
      </c>
      <c r="J398">
        <v>1327.3991699000001</v>
      </c>
      <c r="K398">
        <v>550</v>
      </c>
      <c r="L398">
        <v>0</v>
      </c>
      <c r="M398">
        <v>0</v>
      </c>
      <c r="N398">
        <v>550</v>
      </c>
    </row>
    <row r="399" spans="1:14" x14ac:dyDescent="0.25">
      <c r="A399">
        <v>97.760672999999997</v>
      </c>
      <c r="B399" s="1">
        <f>DATE(2010,8,6) + TIME(18,15,22)</f>
        <v>40396.760671296295</v>
      </c>
      <c r="C399">
        <v>80</v>
      </c>
      <c r="D399">
        <v>79.887863159000005</v>
      </c>
      <c r="E399">
        <v>60</v>
      </c>
      <c r="F399">
        <v>41.837730407999999</v>
      </c>
      <c r="G399">
        <v>1333.6983643000001</v>
      </c>
      <c r="H399">
        <v>1332.6262207</v>
      </c>
      <c r="I399">
        <v>1328.3151855000001</v>
      </c>
      <c r="J399">
        <v>1327.4084473</v>
      </c>
      <c r="K399">
        <v>550</v>
      </c>
      <c r="L399">
        <v>0</v>
      </c>
      <c r="M399">
        <v>0</v>
      </c>
      <c r="N399">
        <v>550</v>
      </c>
    </row>
    <row r="400" spans="1:14" x14ac:dyDescent="0.25">
      <c r="A400">
        <v>98.772638999999998</v>
      </c>
      <c r="B400" s="1">
        <f>DATE(2010,8,7) + TIME(18,32,36)</f>
        <v>40397.772638888891</v>
      </c>
      <c r="C400">
        <v>80</v>
      </c>
      <c r="D400">
        <v>79.887969971000004</v>
      </c>
      <c r="E400">
        <v>60</v>
      </c>
      <c r="F400">
        <v>42.324806213000002</v>
      </c>
      <c r="G400">
        <v>1333.6971435999999</v>
      </c>
      <c r="H400">
        <v>1332.6257324000001</v>
      </c>
      <c r="I400">
        <v>1328.3211670000001</v>
      </c>
      <c r="J400">
        <v>1327.4177245999999</v>
      </c>
      <c r="K400">
        <v>550</v>
      </c>
      <c r="L400">
        <v>0</v>
      </c>
      <c r="M400">
        <v>0</v>
      </c>
      <c r="N400">
        <v>550</v>
      </c>
    </row>
    <row r="401" spans="1:14" x14ac:dyDescent="0.25">
      <c r="A401">
        <v>99.803008000000005</v>
      </c>
      <c r="B401" s="1">
        <f>DATE(2010,8,8) + TIME(19,16,19)</f>
        <v>40398.802997685183</v>
      </c>
      <c r="C401">
        <v>80</v>
      </c>
      <c r="D401">
        <v>79.888076781999999</v>
      </c>
      <c r="E401">
        <v>60</v>
      </c>
      <c r="F401">
        <v>42.806240082000002</v>
      </c>
      <c r="G401">
        <v>1333.6959228999999</v>
      </c>
      <c r="H401">
        <v>1332.6253661999999</v>
      </c>
      <c r="I401">
        <v>1328.3272704999999</v>
      </c>
      <c r="J401">
        <v>1327.4272461</v>
      </c>
      <c r="K401">
        <v>550</v>
      </c>
      <c r="L401">
        <v>0</v>
      </c>
      <c r="M401">
        <v>0</v>
      </c>
      <c r="N401">
        <v>550</v>
      </c>
    </row>
    <row r="402" spans="1:14" x14ac:dyDescent="0.25">
      <c r="A402">
        <v>100.85204400000001</v>
      </c>
      <c r="B402" s="1">
        <f>DATE(2010,8,9) + TIME(20,26,56)</f>
        <v>40399.852037037039</v>
      </c>
      <c r="C402">
        <v>80</v>
      </c>
      <c r="D402">
        <v>79.888183593999997</v>
      </c>
      <c r="E402">
        <v>60</v>
      </c>
      <c r="F402">
        <v>43.281467438</v>
      </c>
      <c r="G402">
        <v>1333.6947021000001</v>
      </c>
      <c r="H402">
        <v>1332.625</v>
      </c>
      <c r="I402">
        <v>1328.3334961</v>
      </c>
      <c r="J402">
        <v>1327.4368896000001</v>
      </c>
      <c r="K402">
        <v>550</v>
      </c>
      <c r="L402">
        <v>0</v>
      </c>
      <c r="M402">
        <v>0</v>
      </c>
      <c r="N402">
        <v>550</v>
      </c>
    </row>
    <row r="403" spans="1:14" x14ac:dyDescent="0.25">
      <c r="A403">
        <v>101.92344199999999</v>
      </c>
      <c r="B403" s="1">
        <f>DATE(2010,8,10) + TIME(22,9,45)</f>
        <v>40400.923437500001</v>
      </c>
      <c r="C403">
        <v>80</v>
      </c>
      <c r="D403">
        <v>79.888298035000005</v>
      </c>
      <c r="E403">
        <v>60</v>
      </c>
      <c r="F403">
        <v>43.750995635999999</v>
      </c>
      <c r="G403">
        <v>1333.6936035000001</v>
      </c>
      <c r="H403">
        <v>1332.6245117000001</v>
      </c>
      <c r="I403">
        <v>1328.3398437999999</v>
      </c>
      <c r="J403">
        <v>1327.4465332</v>
      </c>
      <c r="K403">
        <v>550</v>
      </c>
      <c r="L403">
        <v>0</v>
      </c>
      <c r="M403">
        <v>0</v>
      </c>
      <c r="N403">
        <v>550</v>
      </c>
    </row>
    <row r="404" spans="1:14" x14ac:dyDescent="0.25">
      <c r="A404">
        <v>102.46444700000001</v>
      </c>
      <c r="B404" s="1">
        <f>DATE(2010,8,11) + TIME(11,8,48)</f>
        <v>40401.464444444442</v>
      </c>
      <c r="C404">
        <v>80</v>
      </c>
      <c r="D404">
        <v>79.888336182000003</v>
      </c>
      <c r="E404">
        <v>60</v>
      </c>
      <c r="F404">
        <v>44.032054901000002</v>
      </c>
      <c r="G404">
        <v>1333.6925048999999</v>
      </c>
      <c r="H404">
        <v>1332.6242675999999</v>
      </c>
      <c r="I404">
        <v>1328.3474120999999</v>
      </c>
      <c r="J404">
        <v>1327.4555664</v>
      </c>
      <c r="K404">
        <v>550</v>
      </c>
      <c r="L404">
        <v>0</v>
      </c>
      <c r="M404">
        <v>0</v>
      </c>
      <c r="N404">
        <v>550</v>
      </c>
    </row>
    <row r="405" spans="1:14" x14ac:dyDescent="0.25">
      <c r="A405">
        <v>103.005453</v>
      </c>
      <c r="B405" s="1">
        <f>DATE(2010,8,12) + TIME(0,7,51)</f>
        <v>40402.00545138889</v>
      </c>
      <c r="C405">
        <v>80</v>
      </c>
      <c r="D405">
        <v>79.888389587000006</v>
      </c>
      <c r="E405">
        <v>60</v>
      </c>
      <c r="F405">
        <v>44.298236846999998</v>
      </c>
      <c r="G405">
        <v>1333.6918945</v>
      </c>
      <c r="H405">
        <v>1332.6241454999999</v>
      </c>
      <c r="I405">
        <v>1328.3505858999999</v>
      </c>
      <c r="J405">
        <v>1327.4611815999999</v>
      </c>
      <c r="K405">
        <v>550</v>
      </c>
      <c r="L405">
        <v>0</v>
      </c>
      <c r="M405">
        <v>0</v>
      </c>
      <c r="N405">
        <v>550</v>
      </c>
    </row>
    <row r="406" spans="1:14" x14ac:dyDescent="0.25">
      <c r="A406">
        <v>103.546458</v>
      </c>
      <c r="B406" s="1">
        <f>DATE(2010,8,12) + TIME(13,6,53)</f>
        <v>40402.546446759261</v>
      </c>
      <c r="C406">
        <v>80</v>
      </c>
      <c r="D406">
        <v>79.888435364000003</v>
      </c>
      <c r="E406">
        <v>60</v>
      </c>
      <c r="F406">
        <v>44.551956177000001</v>
      </c>
      <c r="G406">
        <v>1333.6912841999999</v>
      </c>
      <c r="H406">
        <v>1332.6239014</v>
      </c>
      <c r="I406">
        <v>1328.3538818</v>
      </c>
      <c r="J406">
        <v>1327.4665527</v>
      </c>
      <c r="K406">
        <v>550</v>
      </c>
      <c r="L406">
        <v>0</v>
      </c>
      <c r="M406">
        <v>0</v>
      </c>
      <c r="N406">
        <v>550</v>
      </c>
    </row>
    <row r="407" spans="1:14" x14ac:dyDescent="0.25">
      <c r="A407">
        <v>104.087463</v>
      </c>
      <c r="B407" s="1">
        <f>DATE(2010,8,13) + TIME(2,5,56)</f>
        <v>40403.087453703702</v>
      </c>
      <c r="C407">
        <v>80</v>
      </c>
      <c r="D407">
        <v>79.888488769999995</v>
      </c>
      <c r="E407">
        <v>60</v>
      </c>
      <c r="F407">
        <v>44.795139313</v>
      </c>
      <c r="G407">
        <v>1333.6907959</v>
      </c>
      <c r="H407">
        <v>1332.6237793</v>
      </c>
      <c r="I407">
        <v>1328.3571777</v>
      </c>
      <c r="J407">
        <v>1327.4719238</v>
      </c>
      <c r="K407">
        <v>550</v>
      </c>
      <c r="L407">
        <v>0</v>
      </c>
      <c r="M407">
        <v>0</v>
      </c>
      <c r="N407">
        <v>550</v>
      </c>
    </row>
    <row r="408" spans="1:14" x14ac:dyDescent="0.25">
      <c r="A408">
        <v>104.628469</v>
      </c>
      <c r="B408" s="1">
        <f>DATE(2010,8,13) + TIME(15,4,59)</f>
        <v>40403.628460648149</v>
      </c>
      <c r="C408">
        <v>80</v>
      </c>
      <c r="D408">
        <v>79.888542174999998</v>
      </c>
      <c r="E408">
        <v>60</v>
      </c>
      <c r="F408">
        <v>45.029304504000002</v>
      </c>
      <c r="G408">
        <v>1333.6901855000001</v>
      </c>
      <c r="H408">
        <v>1332.6236572</v>
      </c>
      <c r="I408">
        <v>1328.3603516000001</v>
      </c>
      <c r="J408">
        <v>1327.4770507999999</v>
      </c>
      <c r="K408">
        <v>550</v>
      </c>
      <c r="L408">
        <v>0</v>
      </c>
      <c r="M408">
        <v>0</v>
      </c>
      <c r="N408">
        <v>550</v>
      </c>
    </row>
    <row r="409" spans="1:14" x14ac:dyDescent="0.25">
      <c r="A409">
        <v>105.16947399999999</v>
      </c>
      <c r="B409" s="1">
        <f>DATE(2010,8,14) + TIME(4,4,2)</f>
        <v>40404.16946759259</v>
      </c>
      <c r="C409">
        <v>80</v>
      </c>
      <c r="D409">
        <v>79.888603209999999</v>
      </c>
      <c r="E409">
        <v>60</v>
      </c>
      <c r="F409">
        <v>45.255653381000002</v>
      </c>
      <c r="G409">
        <v>1333.6896973</v>
      </c>
      <c r="H409">
        <v>1332.6235352000001</v>
      </c>
      <c r="I409">
        <v>1328.3636475000001</v>
      </c>
      <c r="J409">
        <v>1327.4821777</v>
      </c>
      <c r="K409">
        <v>550</v>
      </c>
      <c r="L409">
        <v>0</v>
      </c>
      <c r="M409">
        <v>0</v>
      </c>
      <c r="N409">
        <v>550</v>
      </c>
    </row>
    <row r="410" spans="1:14" x14ac:dyDescent="0.25">
      <c r="A410">
        <v>105.71048</v>
      </c>
      <c r="B410" s="1">
        <f>DATE(2010,8,14) + TIME(17,3,5)</f>
        <v>40404.710474537038</v>
      </c>
      <c r="C410">
        <v>80</v>
      </c>
      <c r="D410">
        <v>79.888656616000006</v>
      </c>
      <c r="E410">
        <v>60</v>
      </c>
      <c r="F410">
        <v>45.475128173999998</v>
      </c>
      <c r="G410">
        <v>1333.6892089999999</v>
      </c>
      <c r="H410">
        <v>1332.6234131000001</v>
      </c>
      <c r="I410">
        <v>1328.3668213000001</v>
      </c>
      <c r="J410">
        <v>1327.4873047000001</v>
      </c>
      <c r="K410">
        <v>550</v>
      </c>
      <c r="L410">
        <v>0</v>
      </c>
      <c r="M410">
        <v>0</v>
      </c>
      <c r="N410">
        <v>550</v>
      </c>
    </row>
    <row r="411" spans="1:14" x14ac:dyDescent="0.25">
      <c r="A411">
        <v>106.251485</v>
      </c>
      <c r="B411" s="1">
        <f>DATE(2010,8,15) + TIME(6,2,8)</f>
        <v>40405.251481481479</v>
      </c>
      <c r="C411">
        <v>80</v>
      </c>
      <c r="D411">
        <v>79.888717650999993</v>
      </c>
      <c r="E411">
        <v>60</v>
      </c>
      <c r="F411">
        <v>45.688488006999997</v>
      </c>
      <c r="G411">
        <v>1333.6887207</v>
      </c>
      <c r="H411">
        <v>1332.6231689000001</v>
      </c>
      <c r="I411">
        <v>1328.3701172000001</v>
      </c>
      <c r="J411">
        <v>1327.4921875</v>
      </c>
      <c r="K411">
        <v>550</v>
      </c>
      <c r="L411">
        <v>0</v>
      </c>
      <c r="M411">
        <v>0</v>
      </c>
      <c r="N411">
        <v>550</v>
      </c>
    </row>
    <row r="412" spans="1:14" x14ac:dyDescent="0.25">
      <c r="A412">
        <v>106.79249</v>
      </c>
      <c r="B412" s="1">
        <f>DATE(2010,8,15) + TIME(19,1,11)</f>
        <v>40405.792488425926</v>
      </c>
      <c r="C412">
        <v>80</v>
      </c>
      <c r="D412">
        <v>79.888771057</v>
      </c>
      <c r="E412">
        <v>60</v>
      </c>
      <c r="F412">
        <v>45.896335602000001</v>
      </c>
      <c r="G412">
        <v>1333.6881103999999</v>
      </c>
      <c r="H412">
        <v>1332.6230469</v>
      </c>
      <c r="I412">
        <v>1328.3732910000001</v>
      </c>
      <c r="J412">
        <v>1327.4971923999999</v>
      </c>
      <c r="K412">
        <v>550</v>
      </c>
      <c r="L412">
        <v>0</v>
      </c>
      <c r="M412">
        <v>0</v>
      </c>
      <c r="N412">
        <v>550</v>
      </c>
    </row>
    <row r="413" spans="1:14" x14ac:dyDescent="0.25">
      <c r="A413">
        <v>107.333496</v>
      </c>
      <c r="B413" s="1">
        <f>DATE(2010,8,16) + TIME(8,0,14)</f>
        <v>40406.333495370367</v>
      </c>
      <c r="C413">
        <v>80</v>
      </c>
      <c r="D413">
        <v>79.888832092000001</v>
      </c>
      <c r="E413">
        <v>60</v>
      </c>
      <c r="F413">
        <v>46.099166869999998</v>
      </c>
      <c r="G413">
        <v>1333.6876221</v>
      </c>
      <c r="H413">
        <v>1332.6230469</v>
      </c>
      <c r="I413">
        <v>1328.3765868999999</v>
      </c>
      <c r="J413">
        <v>1327.5020752</v>
      </c>
      <c r="K413">
        <v>550</v>
      </c>
      <c r="L413">
        <v>0</v>
      </c>
      <c r="M413">
        <v>0</v>
      </c>
      <c r="N413">
        <v>550</v>
      </c>
    </row>
    <row r="414" spans="1:14" x14ac:dyDescent="0.25">
      <c r="A414">
        <v>108.41550700000001</v>
      </c>
      <c r="B414" s="1">
        <f>DATE(2010,8,17) + TIME(9,58,19)</f>
        <v>40407.415497685186</v>
      </c>
      <c r="C414">
        <v>80</v>
      </c>
      <c r="D414">
        <v>79.888969420999999</v>
      </c>
      <c r="E414">
        <v>60</v>
      </c>
      <c r="F414">
        <v>46.422958373999997</v>
      </c>
      <c r="G414">
        <v>1333.6871338000001</v>
      </c>
      <c r="H414">
        <v>1332.6228027</v>
      </c>
      <c r="I414">
        <v>1328.3790283000001</v>
      </c>
      <c r="J414">
        <v>1327.5074463000001</v>
      </c>
      <c r="K414">
        <v>550</v>
      </c>
      <c r="L414">
        <v>0</v>
      </c>
      <c r="M414">
        <v>0</v>
      </c>
      <c r="N414">
        <v>550</v>
      </c>
    </row>
    <row r="415" spans="1:14" x14ac:dyDescent="0.25">
      <c r="A415">
        <v>109.4996</v>
      </c>
      <c r="B415" s="1">
        <f>DATE(2010,8,18) + TIME(11,59,25)</f>
        <v>40408.499594907407</v>
      </c>
      <c r="C415">
        <v>80</v>
      </c>
      <c r="D415">
        <v>79.889099121000001</v>
      </c>
      <c r="E415">
        <v>60</v>
      </c>
      <c r="F415">
        <v>46.759109496999997</v>
      </c>
      <c r="G415">
        <v>1333.6861572</v>
      </c>
      <c r="H415">
        <v>1332.6225586</v>
      </c>
      <c r="I415">
        <v>1328.3852539</v>
      </c>
      <c r="J415">
        <v>1327.5158690999999</v>
      </c>
      <c r="K415">
        <v>550</v>
      </c>
      <c r="L415">
        <v>0</v>
      </c>
      <c r="M415">
        <v>0</v>
      </c>
      <c r="N415">
        <v>550</v>
      </c>
    </row>
    <row r="416" spans="1:14" x14ac:dyDescent="0.25">
      <c r="A416">
        <v>110.59929099999999</v>
      </c>
      <c r="B416" s="1">
        <f>DATE(2010,8,19) + TIME(14,22,58)</f>
        <v>40409.599282407406</v>
      </c>
      <c r="C416">
        <v>80</v>
      </c>
      <c r="D416">
        <v>79.889221191000004</v>
      </c>
      <c r="E416">
        <v>60</v>
      </c>
      <c r="F416">
        <v>47.101715087999999</v>
      </c>
      <c r="G416">
        <v>1333.6851807</v>
      </c>
      <c r="H416">
        <v>1332.6224365</v>
      </c>
      <c r="I416">
        <v>1328.3914795000001</v>
      </c>
      <c r="J416">
        <v>1327.5246582</v>
      </c>
      <c r="K416">
        <v>550</v>
      </c>
      <c r="L416">
        <v>0</v>
      </c>
      <c r="M416">
        <v>0</v>
      </c>
      <c r="N416">
        <v>550</v>
      </c>
    </row>
    <row r="417" spans="1:14" x14ac:dyDescent="0.25">
      <c r="A417">
        <v>111.71793700000001</v>
      </c>
      <c r="B417" s="1">
        <f>DATE(2010,8,20) + TIME(17,13,49)</f>
        <v>40410.717928240738</v>
      </c>
      <c r="C417">
        <v>80</v>
      </c>
      <c r="D417">
        <v>79.889343261999997</v>
      </c>
      <c r="E417">
        <v>60</v>
      </c>
      <c r="F417">
        <v>47.446605681999998</v>
      </c>
      <c r="G417">
        <v>1333.6842041</v>
      </c>
      <c r="H417">
        <v>1332.6221923999999</v>
      </c>
      <c r="I417">
        <v>1328.3978271000001</v>
      </c>
      <c r="J417">
        <v>1327.5335693</v>
      </c>
      <c r="K417">
        <v>550</v>
      </c>
      <c r="L417">
        <v>0</v>
      </c>
      <c r="M417">
        <v>0</v>
      </c>
      <c r="N417">
        <v>550</v>
      </c>
    </row>
    <row r="418" spans="1:14" x14ac:dyDescent="0.25">
      <c r="A418">
        <v>112.859634</v>
      </c>
      <c r="B418" s="1">
        <f>DATE(2010,8,21) + TIME(20,37,52)</f>
        <v>40411.859629629631</v>
      </c>
      <c r="C418">
        <v>80</v>
      </c>
      <c r="D418">
        <v>79.889465332</v>
      </c>
      <c r="E418">
        <v>60</v>
      </c>
      <c r="F418">
        <v>47.791564940999997</v>
      </c>
      <c r="G418">
        <v>1333.6833495999999</v>
      </c>
      <c r="H418">
        <v>1332.6220702999999</v>
      </c>
      <c r="I418">
        <v>1328.4041748</v>
      </c>
      <c r="J418">
        <v>1327.5427245999999</v>
      </c>
      <c r="K418">
        <v>550</v>
      </c>
      <c r="L418">
        <v>0</v>
      </c>
      <c r="M418">
        <v>0</v>
      </c>
      <c r="N418">
        <v>550</v>
      </c>
    </row>
    <row r="419" spans="1:14" x14ac:dyDescent="0.25">
      <c r="A419">
        <v>114.02860200000001</v>
      </c>
      <c r="B419" s="1">
        <f>DATE(2010,8,23) + TIME(0,41,11)</f>
        <v>40413.028599537036</v>
      </c>
      <c r="C419">
        <v>80</v>
      </c>
      <c r="D419">
        <v>79.889595032000003</v>
      </c>
      <c r="E419">
        <v>60</v>
      </c>
      <c r="F419">
        <v>48.135566711000003</v>
      </c>
      <c r="G419">
        <v>1333.6824951000001</v>
      </c>
      <c r="H419">
        <v>1332.6219481999999</v>
      </c>
      <c r="I419">
        <v>1328.4107666</v>
      </c>
      <c r="J419">
        <v>1327.5520019999999</v>
      </c>
      <c r="K419">
        <v>550</v>
      </c>
      <c r="L419">
        <v>0</v>
      </c>
      <c r="M419">
        <v>0</v>
      </c>
      <c r="N419">
        <v>550</v>
      </c>
    </row>
    <row r="420" spans="1:14" x14ac:dyDescent="0.25">
      <c r="A420">
        <v>115.225765</v>
      </c>
      <c r="B420" s="1">
        <f>DATE(2010,8,24) + TIME(5,25,6)</f>
        <v>40414.225763888891</v>
      </c>
      <c r="C420">
        <v>80</v>
      </c>
      <c r="D420">
        <v>79.889732361</v>
      </c>
      <c r="E420">
        <v>60</v>
      </c>
      <c r="F420">
        <v>48.477718353</v>
      </c>
      <c r="G420">
        <v>1333.6815185999999</v>
      </c>
      <c r="H420">
        <v>1332.6218262</v>
      </c>
      <c r="I420">
        <v>1328.4173584</v>
      </c>
      <c r="J420">
        <v>1327.5615233999999</v>
      </c>
      <c r="K420">
        <v>550</v>
      </c>
      <c r="L420">
        <v>0</v>
      </c>
      <c r="M420">
        <v>0</v>
      </c>
      <c r="N420">
        <v>550</v>
      </c>
    </row>
    <row r="421" spans="1:14" x14ac:dyDescent="0.25">
      <c r="A421">
        <v>116.44359799999999</v>
      </c>
      <c r="B421" s="1">
        <f>DATE(2010,8,25) + TIME(10,38,46)</f>
        <v>40415.44358796296</v>
      </c>
      <c r="C421">
        <v>80</v>
      </c>
      <c r="D421">
        <v>79.889862061000002</v>
      </c>
      <c r="E421">
        <v>60</v>
      </c>
      <c r="F421">
        <v>48.816047668000003</v>
      </c>
      <c r="G421">
        <v>1333.6806641000001</v>
      </c>
      <c r="H421">
        <v>1332.6217041</v>
      </c>
      <c r="I421">
        <v>1328.4241943</v>
      </c>
      <c r="J421">
        <v>1327.5711670000001</v>
      </c>
      <c r="K421">
        <v>550</v>
      </c>
      <c r="L421">
        <v>0</v>
      </c>
      <c r="M421">
        <v>0</v>
      </c>
      <c r="N421">
        <v>550</v>
      </c>
    </row>
    <row r="422" spans="1:14" x14ac:dyDescent="0.25">
      <c r="A422">
        <v>117.68324</v>
      </c>
      <c r="B422" s="1">
        <f>DATE(2010,8,26) + TIME(16,23,51)</f>
        <v>40416.683229166665</v>
      </c>
      <c r="C422">
        <v>80</v>
      </c>
      <c r="D422">
        <v>79.88999939</v>
      </c>
      <c r="E422">
        <v>60</v>
      </c>
      <c r="F422">
        <v>49.150081634999999</v>
      </c>
      <c r="G422">
        <v>1333.6798096</v>
      </c>
      <c r="H422">
        <v>1332.6217041</v>
      </c>
      <c r="I422">
        <v>1328.4310303</v>
      </c>
      <c r="J422">
        <v>1327.5808105000001</v>
      </c>
      <c r="K422">
        <v>550</v>
      </c>
      <c r="L422">
        <v>0</v>
      </c>
      <c r="M422">
        <v>0</v>
      </c>
      <c r="N422">
        <v>550</v>
      </c>
    </row>
    <row r="423" spans="1:14" x14ac:dyDescent="0.25">
      <c r="A423">
        <v>118.30781500000001</v>
      </c>
      <c r="B423" s="1">
        <f>DATE(2010,8,27) + TIME(7,23,15)</f>
        <v>40417.307812500003</v>
      </c>
      <c r="C423">
        <v>80</v>
      </c>
      <c r="D423">
        <v>79.890052795000003</v>
      </c>
      <c r="E423">
        <v>60</v>
      </c>
      <c r="F423">
        <v>49.355579376000001</v>
      </c>
      <c r="G423">
        <v>1333.6790771000001</v>
      </c>
      <c r="H423">
        <v>1332.6217041</v>
      </c>
      <c r="I423">
        <v>1328.4385986</v>
      </c>
      <c r="J423">
        <v>1327.5900879000001</v>
      </c>
      <c r="K423">
        <v>550</v>
      </c>
      <c r="L423">
        <v>0</v>
      </c>
      <c r="M423">
        <v>0</v>
      </c>
      <c r="N423">
        <v>550</v>
      </c>
    </row>
    <row r="424" spans="1:14" x14ac:dyDescent="0.25">
      <c r="A424">
        <v>118.929653</v>
      </c>
      <c r="B424" s="1">
        <f>DATE(2010,8,27) + TIME(22,18,42)</f>
        <v>40417.929652777777</v>
      </c>
      <c r="C424">
        <v>80</v>
      </c>
      <c r="D424">
        <v>79.890113830999994</v>
      </c>
      <c r="E424">
        <v>60</v>
      </c>
      <c r="F424">
        <v>49.547428130999997</v>
      </c>
      <c r="G424">
        <v>1333.6787108999999</v>
      </c>
      <c r="H424">
        <v>1332.6217041</v>
      </c>
      <c r="I424">
        <v>1328.4422606999999</v>
      </c>
      <c r="J424">
        <v>1327.5957031</v>
      </c>
      <c r="K424">
        <v>550</v>
      </c>
      <c r="L424">
        <v>0</v>
      </c>
      <c r="M424">
        <v>0</v>
      </c>
      <c r="N424">
        <v>550</v>
      </c>
    </row>
    <row r="425" spans="1:14" x14ac:dyDescent="0.25">
      <c r="A425">
        <v>119.550954</v>
      </c>
      <c r="B425" s="1">
        <f>DATE(2010,8,28) + TIME(13,13,22)</f>
        <v>40418.550949074073</v>
      </c>
      <c r="C425">
        <v>80</v>
      </c>
      <c r="D425">
        <v>79.890174865999995</v>
      </c>
      <c r="E425">
        <v>60</v>
      </c>
      <c r="F425">
        <v>49.728824615000001</v>
      </c>
      <c r="G425">
        <v>1333.6783447</v>
      </c>
      <c r="H425">
        <v>1332.6217041</v>
      </c>
      <c r="I425">
        <v>1328.4458007999999</v>
      </c>
      <c r="J425">
        <v>1327.6011963000001</v>
      </c>
      <c r="K425">
        <v>550</v>
      </c>
      <c r="L425">
        <v>0</v>
      </c>
      <c r="M425">
        <v>0</v>
      </c>
      <c r="N425">
        <v>550</v>
      </c>
    </row>
    <row r="426" spans="1:14" x14ac:dyDescent="0.25">
      <c r="A426">
        <v>120.172254</v>
      </c>
      <c r="B426" s="1">
        <f>DATE(2010,8,29) + TIME(4,8,2)</f>
        <v>40419.17224537037</v>
      </c>
      <c r="C426">
        <v>80</v>
      </c>
      <c r="D426">
        <v>79.890243530000006</v>
      </c>
      <c r="E426">
        <v>60</v>
      </c>
      <c r="F426">
        <v>49.901882172000001</v>
      </c>
      <c r="G426">
        <v>1333.6778564000001</v>
      </c>
      <c r="H426">
        <v>1332.6217041</v>
      </c>
      <c r="I426">
        <v>1328.4494629000001</v>
      </c>
      <c r="J426">
        <v>1327.6064452999999</v>
      </c>
      <c r="K426">
        <v>550</v>
      </c>
      <c r="L426">
        <v>0</v>
      </c>
      <c r="M426">
        <v>0</v>
      </c>
      <c r="N426">
        <v>550</v>
      </c>
    </row>
    <row r="427" spans="1:14" x14ac:dyDescent="0.25">
      <c r="A427">
        <v>120.793554</v>
      </c>
      <c r="B427" s="1">
        <f>DATE(2010,8,29) + TIME(19,2,43)</f>
        <v>40419.793553240743</v>
      </c>
      <c r="C427">
        <v>80</v>
      </c>
      <c r="D427">
        <v>79.890312195000007</v>
      </c>
      <c r="E427">
        <v>60</v>
      </c>
      <c r="F427">
        <v>50.068069457999997</v>
      </c>
      <c r="G427">
        <v>1333.6774902</v>
      </c>
      <c r="H427">
        <v>1332.6217041</v>
      </c>
      <c r="I427">
        <v>1328.4528809000001</v>
      </c>
      <c r="J427">
        <v>1327.6116943</v>
      </c>
      <c r="K427">
        <v>550</v>
      </c>
      <c r="L427">
        <v>0</v>
      </c>
      <c r="M427">
        <v>0</v>
      </c>
      <c r="N427">
        <v>550</v>
      </c>
    </row>
    <row r="428" spans="1:14" x14ac:dyDescent="0.25">
      <c r="A428">
        <v>121.41485400000001</v>
      </c>
      <c r="B428" s="1">
        <f>DATE(2010,8,30) + TIME(9,57,23)</f>
        <v>40420.414849537039</v>
      </c>
      <c r="C428">
        <v>80</v>
      </c>
      <c r="D428">
        <v>79.890380859000004</v>
      </c>
      <c r="E428">
        <v>60</v>
      </c>
      <c r="F428">
        <v>50.228507995999998</v>
      </c>
      <c r="G428">
        <v>1333.677124</v>
      </c>
      <c r="H428">
        <v>1332.6217041</v>
      </c>
      <c r="I428">
        <v>1328.4564209</v>
      </c>
      <c r="J428">
        <v>1327.6168213000001</v>
      </c>
      <c r="K428">
        <v>550</v>
      </c>
      <c r="L428">
        <v>0</v>
      </c>
      <c r="M428">
        <v>0</v>
      </c>
      <c r="N428">
        <v>550</v>
      </c>
    </row>
    <row r="429" spans="1:14" x14ac:dyDescent="0.25">
      <c r="A429">
        <v>122.03615499999999</v>
      </c>
      <c r="B429" s="1">
        <f>DATE(2010,8,31) + TIME(0,52,3)</f>
        <v>40421.036145833335</v>
      </c>
      <c r="C429">
        <v>80</v>
      </c>
      <c r="D429">
        <v>79.890449524000005</v>
      </c>
      <c r="E429">
        <v>60</v>
      </c>
      <c r="F429">
        <v>50.384094238000003</v>
      </c>
      <c r="G429">
        <v>1333.6767577999999</v>
      </c>
      <c r="H429">
        <v>1332.6217041</v>
      </c>
      <c r="I429">
        <v>1328.4599608999999</v>
      </c>
      <c r="J429">
        <v>1327.6218262</v>
      </c>
      <c r="K429">
        <v>550</v>
      </c>
      <c r="L429">
        <v>0</v>
      </c>
      <c r="M429">
        <v>0</v>
      </c>
      <c r="N429">
        <v>550</v>
      </c>
    </row>
    <row r="430" spans="1:14" x14ac:dyDescent="0.25">
      <c r="A430">
        <v>123</v>
      </c>
      <c r="B430" s="1">
        <f>DATE(2010,9,1) + TIME(0,0,0)</f>
        <v>40422</v>
      </c>
      <c r="C430">
        <v>80</v>
      </c>
      <c r="D430">
        <v>79.890563964999998</v>
      </c>
      <c r="E430">
        <v>60</v>
      </c>
      <c r="F430">
        <v>50.590019226000003</v>
      </c>
      <c r="G430">
        <v>1333.6763916</v>
      </c>
      <c r="H430">
        <v>1332.6217041</v>
      </c>
      <c r="I430">
        <v>1328.4631348</v>
      </c>
      <c r="J430">
        <v>1327.6269531</v>
      </c>
      <c r="K430">
        <v>550</v>
      </c>
      <c r="L430">
        <v>0</v>
      </c>
      <c r="M430">
        <v>0</v>
      </c>
      <c r="N430">
        <v>550</v>
      </c>
    </row>
    <row r="431" spans="1:14" x14ac:dyDescent="0.25">
      <c r="A431">
        <v>124.24260099999999</v>
      </c>
      <c r="B431" s="1">
        <f>DATE(2010,9,2) + TIME(5,49,20)</f>
        <v>40423.242592592593</v>
      </c>
      <c r="C431">
        <v>80</v>
      </c>
      <c r="D431">
        <v>79.890716553000004</v>
      </c>
      <c r="E431">
        <v>60</v>
      </c>
      <c r="F431">
        <v>50.833572388</v>
      </c>
      <c r="G431">
        <v>1333.6759033000001</v>
      </c>
      <c r="H431">
        <v>1332.6217041</v>
      </c>
      <c r="I431">
        <v>1328.4680175999999</v>
      </c>
      <c r="J431">
        <v>1327.6341553</v>
      </c>
      <c r="K431">
        <v>550</v>
      </c>
      <c r="L431">
        <v>0</v>
      </c>
      <c r="M431">
        <v>0</v>
      </c>
      <c r="N431">
        <v>550</v>
      </c>
    </row>
    <row r="432" spans="1:14" x14ac:dyDescent="0.25">
      <c r="A432">
        <v>125.495908</v>
      </c>
      <c r="B432" s="1">
        <f>DATE(2010,9,3) + TIME(11,54,6)</f>
        <v>40424.49590277778</v>
      </c>
      <c r="C432">
        <v>80</v>
      </c>
      <c r="D432">
        <v>79.890869140999996</v>
      </c>
      <c r="E432">
        <v>60</v>
      </c>
      <c r="F432">
        <v>51.087257385000001</v>
      </c>
      <c r="G432">
        <v>1333.6751709</v>
      </c>
      <c r="H432">
        <v>1332.6217041</v>
      </c>
      <c r="I432">
        <v>1328.4744873</v>
      </c>
      <c r="J432">
        <v>1327.6427002</v>
      </c>
      <c r="K432">
        <v>550</v>
      </c>
      <c r="L432">
        <v>0</v>
      </c>
      <c r="M432">
        <v>0</v>
      </c>
      <c r="N432">
        <v>550</v>
      </c>
    </row>
    <row r="433" spans="1:14" x14ac:dyDescent="0.25">
      <c r="A433">
        <v>126.76669099999999</v>
      </c>
      <c r="B433" s="1">
        <f>DATE(2010,9,4) + TIME(18,24,2)</f>
        <v>40425.766689814816</v>
      </c>
      <c r="C433">
        <v>80</v>
      </c>
      <c r="D433">
        <v>79.891014099000003</v>
      </c>
      <c r="E433">
        <v>60</v>
      </c>
      <c r="F433">
        <v>51.345420836999999</v>
      </c>
      <c r="G433">
        <v>1333.6745605000001</v>
      </c>
      <c r="H433">
        <v>1332.6218262</v>
      </c>
      <c r="I433">
        <v>1328.480957</v>
      </c>
      <c r="J433">
        <v>1327.6513672000001</v>
      </c>
      <c r="K433">
        <v>550</v>
      </c>
      <c r="L433">
        <v>0</v>
      </c>
      <c r="M433">
        <v>0</v>
      </c>
      <c r="N433">
        <v>550</v>
      </c>
    </row>
    <row r="434" spans="1:14" x14ac:dyDescent="0.25">
      <c r="A434">
        <v>128.05948699999999</v>
      </c>
      <c r="B434" s="1">
        <f>DATE(2010,9,6) + TIME(1,25,39)</f>
        <v>40427.059479166666</v>
      </c>
      <c r="C434">
        <v>80</v>
      </c>
      <c r="D434">
        <v>79.891159058</v>
      </c>
      <c r="E434">
        <v>60</v>
      </c>
      <c r="F434">
        <v>51.604747772000003</v>
      </c>
      <c r="G434">
        <v>1333.6738281</v>
      </c>
      <c r="H434">
        <v>1332.6218262</v>
      </c>
      <c r="I434">
        <v>1328.4874268000001</v>
      </c>
      <c r="J434">
        <v>1327.6602783000001</v>
      </c>
      <c r="K434">
        <v>550</v>
      </c>
      <c r="L434">
        <v>0</v>
      </c>
      <c r="M434">
        <v>0</v>
      </c>
      <c r="N434">
        <v>550</v>
      </c>
    </row>
    <row r="435" spans="1:14" x14ac:dyDescent="0.25">
      <c r="A435">
        <v>129.378908</v>
      </c>
      <c r="B435" s="1">
        <f>DATE(2010,9,7) + TIME(9,5,37)</f>
        <v>40428.378900462965</v>
      </c>
      <c r="C435">
        <v>80</v>
      </c>
      <c r="D435">
        <v>79.891304016000007</v>
      </c>
      <c r="E435">
        <v>60</v>
      </c>
      <c r="F435">
        <v>51.863124847000002</v>
      </c>
      <c r="G435">
        <v>1333.6732178</v>
      </c>
      <c r="H435">
        <v>1332.6219481999999</v>
      </c>
      <c r="I435">
        <v>1328.4940185999999</v>
      </c>
      <c r="J435">
        <v>1327.6691894999999</v>
      </c>
      <c r="K435">
        <v>550</v>
      </c>
      <c r="L435">
        <v>0</v>
      </c>
      <c r="M435">
        <v>0</v>
      </c>
      <c r="N435">
        <v>550</v>
      </c>
    </row>
    <row r="436" spans="1:14" x14ac:dyDescent="0.25">
      <c r="A436">
        <v>130.73030700000001</v>
      </c>
      <c r="B436" s="1">
        <f>DATE(2010,9,8) + TIME(17,31,38)</f>
        <v>40429.730300925927</v>
      </c>
      <c r="C436">
        <v>80</v>
      </c>
      <c r="D436">
        <v>79.891456603999998</v>
      </c>
      <c r="E436">
        <v>60</v>
      </c>
      <c r="F436">
        <v>52.119712829999997</v>
      </c>
      <c r="G436">
        <v>1333.6726074000001</v>
      </c>
      <c r="H436">
        <v>1332.6220702999999</v>
      </c>
      <c r="I436">
        <v>1328.5007324000001</v>
      </c>
      <c r="J436">
        <v>1327.6783447</v>
      </c>
      <c r="K436">
        <v>550</v>
      </c>
      <c r="L436">
        <v>0</v>
      </c>
      <c r="M436">
        <v>0</v>
      </c>
      <c r="N436">
        <v>550</v>
      </c>
    </row>
    <row r="437" spans="1:14" x14ac:dyDescent="0.25">
      <c r="A437">
        <v>132.10860500000001</v>
      </c>
      <c r="B437" s="1">
        <f>DATE(2010,9,10) + TIME(2,36,23)</f>
        <v>40431.108599537038</v>
      </c>
      <c r="C437">
        <v>80</v>
      </c>
      <c r="D437">
        <v>79.891609192000004</v>
      </c>
      <c r="E437">
        <v>60</v>
      </c>
      <c r="F437">
        <v>52.373271942000002</v>
      </c>
      <c r="G437">
        <v>1333.6717529</v>
      </c>
      <c r="H437">
        <v>1332.6220702999999</v>
      </c>
      <c r="I437">
        <v>1328.5074463000001</v>
      </c>
      <c r="J437">
        <v>1327.6875</v>
      </c>
      <c r="K437">
        <v>550</v>
      </c>
      <c r="L437">
        <v>0</v>
      </c>
      <c r="M437">
        <v>0</v>
      </c>
      <c r="N437">
        <v>550</v>
      </c>
    </row>
    <row r="438" spans="1:14" x14ac:dyDescent="0.25">
      <c r="A438">
        <v>133.519409</v>
      </c>
      <c r="B438" s="1">
        <f>DATE(2010,9,11) + TIME(12,27,56)</f>
        <v>40432.51939814815</v>
      </c>
      <c r="C438">
        <v>80</v>
      </c>
      <c r="D438">
        <v>79.891761779999996</v>
      </c>
      <c r="E438">
        <v>60</v>
      </c>
      <c r="F438">
        <v>52.623825072999999</v>
      </c>
      <c r="G438">
        <v>1333.6710204999999</v>
      </c>
      <c r="H438">
        <v>1332.6221923999999</v>
      </c>
      <c r="I438">
        <v>1328.5142822</v>
      </c>
      <c r="J438">
        <v>1327.6967772999999</v>
      </c>
      <c r="K438">
        <v>550</v>
      </c>
      <c r="L438">
        <v>0</v>
      </c>
      <c r="M438">
        <v>0</v>
      </c>
      <c r="N438">
        <v>550</v>
      </c>
    </row>
    <row r="439" spans="1:14" x14ac:dyDescent="0.25">
      <c r="A439">
        <v>134.23750000000001</v>
      </c>
      <c r="B439" s="1">
        <f>DATE(2010,9,12) + TIME(5,41,59)</f>
        <v>40433.237488425926</v>
      </c>
      <c r="C439">
        <v>80</v>
      </c>
      <c r="D439">
        <v>79.891822814999998</v>
      </c>
      <c r="E439">
        <v>60</v>
      </c>
      <c r="F439">
        <v>52.782451629999997</v>
      </c>
      <c r="G439">
        <v>1333.6702881000001</v>
      </c>
      <c r="H439">
        <v>1332.6223144999999</v>
      </c>
      <c r="I439">
        <v>1328.5216064000001</v>
      </c>
      <c r="J439">
        <v>1327.7055664</v>
      </c>
      <c r="K439">
        <v>550</v>
      </c>
      <c r="L439">
        <v>0</v>
      </c>
      <c r="M439">
        <v>0</v>
      </c>
      <c r="N439">
        <v>550</v>
      </c>
    </row>
    <row r="440" spans="1:14" x14ac:dyDescent="0.25">
      <c r="A440">
        <v>134.955591</v>
      </c>
      <c r="B440" s="1">
        <f>DATE(2010,9,12) + TIME(22,56,3)</f>
        <v>40433.955590277779</v>
      </c>
      <c r="C440">
        <v>80</v>
      </c>
      <c r="D440">
        <v>79.891891478999995</v>
      </c>
      <c r="E440">
        <v>60</v>
      </c>
      <c r="F440">
        <v>52.929237366000002</v>
      </c>
      <c r="G440">
        <v>1333.6699219</v>
      </c>
      <c r="H440">
        <v>1332.6223144999999</v>
      </c>
      <c r="I440">
        <v>1328.5252685999999</v>
      </c>
      <c r="J440">
        <v>1327.7110596</v>
      </c>
      <c r="K440">
        <v>550</v>
      </c>
      <c r="L440">
        <v>0</v>
      </c>
      <c r="M440">
        <v>0</v>
      </c>
      <c r="N440">
        <v>550</v>
      </c>
    </row>
    <row r="441" spans="1:14" x14ac:dyDescent="0.25">
      <c r="A441">
        <v>135.67368200000001</v>
      </c>
      <c r="B441" s="1">
        <f>DATE(2010,9,13) + TIME(16,10,6)</f>
        <v>40434.673680555556</v>
      </c>
      <c r="C441">
        <v>80</v>
      </c>
      <c r="D441">
        <v>79.891960143999995</v>
      </c>
      <c r="E441">
        <v>60</v>
      </c>
      <c r="F441">
        <v>53.066955565999997</v>
      </c>
      <c r="G441">
        <v>1333.6696777</v>
      </c>
      <c r="H441">
        <v>1332.6224365</v>
      </c>
      <c r="I441">
        <v>1328.5289307</v>
      </c>
      <c r="J441">
        <v>1327.7163086</v>
      </c>
      <c r="K441">
        <v>550</v>
      </c>
      <c r="L441">
        <v>0</v>
      </c>
      <c r="M441">
        <v>0</v>
      </c>
      <c r="N441">
        <v>550</v>
      </c>
    </row>
    <row r="442" spans="1:14" x14ac:dyDescent="0.25">
      <c r="A442">
        <v>136.391773</v>
      </c>
      <c r="B442" s="1">
        <f>DATE(2010,9,14) + TIME(9,24,9)</f>
        <v>40435.391770833332</v>
      </c>
      <c r="C442">
        <v>80</v>
      </c>
      <c r="D442">
        <v>79.892036438000005</v>
      </c>
      <c r="E442">
        <v>60</v>
      </c>
      <c r="F442">
        <v>53.197612761999999</v>
      </c>
      <c r="G442">
        <v>1333.6693115</v>
      </c>
      <c r="H442">
        <v>1332.6224365</v>
      </c>
      <c r="I442">
        <v>1328.5325928</v>
      </c>
      <c r="J442">
        <v>1327.7213135</v>
      </c>
      <c r="K442">
        <v>550</v>
      </c>
      <c r="L442">
        <v>0</v>
      </c>
      <c r="M442">
        <v>0</v>
      </c>
      <c r="N442">
        <v>550</v>
      </c>
    </row>
    <row r="443" spans="1:14" x14ac:dyDescent="0.25">
      <c r="A443">
        <v>137.10986500000001</v>
      </c>
      <c r="B443" s="1">
        <f>DATE(2010,9,15) + TIME(2,38,12)</f>
        <v>40436.109861111108</v>
      </c>
      <c r="C443">
        <v>80</v>
      </c>
      <c r="D443">
        <v>79.892112732000001</v>
      </c>
      <c r="E443">
        <v>60</v>
      </c>
      <c r="F443">
        <v>53.322647095000001</v>
      </c>
      <c r="G443">
        <v>1333.6689452999999</v>
      </c>
      <c r="H443">
        <v>1332.6225586</v>
      </c>
      <c r="I443">
        <v>1328.5361327999999</v>
      </c>
      <c r="J443">
        <v>1327.7263184000001</v>
      </c>
      <c r="K443">
        <v>550</v>
      </c>
      <c r="L443">
        <v>0</v>
      </c>
      <c r="M443">
        <v>0</v>
      </c>
      <c r="N443">
        <v>550</v>
      </c>
    </row>
    <row r="444" spans="1:14" x14ac:dyDescent="0.25">
      <c r="A444">
        <v>137.827956</v>
      </c>
      <c r="B444" s="1">
        <f>DATE(2010,9,15) + TIME(19,52,15)</f>
        <v>40436.827951388892</v>
      </c>
      <c r="C444">
        <v>80</v>
      </c>
      <c r="D444">
        <v>79.892189025999997</v>
      </c>
      <c r="E444">
        <v>60</v>
      </c>
      <c r="F444">
        <v>53.443107605000002</v>
      </c>
      <c r="G444">
        <v>1333.6687012</v>
      </c>
      <c r="H444">
        <v>1332.6226807</v>
      </c>
      <c r="I444">
        <v>1328.5396728999999</v>
      </c>
      <c r="J444">
        <v>1327.7312012</v>
      </c>
      <c r="K444">
        <v>550</v>
      </c>
      <c r="L444">
        <v>0</v>
      </c>
      <c r="M444">
        <v>0</v>
      </c>
      <c r="N444">
        <v>550</v>
      </c>
    </row>
    <row r="445" spans="1:14" x14ac:dyDescent="0.25">
      <c r="A445">
        <v>138.54604699999999</v>
      </c>
      <c r="B445" s="1">
        <f>DATE(2010,9,16) + TIME(13,6,18)</f>
        <v>40437.546041666668</v>
      </c>
      <c r="C445">
        <v>80</v>
      </c>
      <c r="D445">
        <v>79.892265320000007</v>
      </c>
      <c r="E445">
        <v>60</v>
      </c>
      <c r="F445">
        <v>53.559757232999999</v>
      </c>
      <c r="G445">
        <v>1333.6683350000001</v>
      </c>
      <c r="H445">
        <v>1332.6226807</v>
      </c>
      <c r="I445">
        <v>1328.5430908000001</v>
      </c>
      <c r="J445">
        <v>1327.7359618999999</v>
      </c>
      <c r="K445">
        <v>550</v>
      </c>
      <c r="L445">
        <v>0</v>
      </c>
      <c r="M445">
        <v>0</v>
      </c>
      <c r="N445">
        <v>550</v>
      </c>
    </row>
    <row r="446" spans="1:14" x14ac:dyDescent="0.25">
      <c r="A446">
        <v>139.264138</v>
      </c>
      <c r="B446" s="1">
        <f>DATE(2010,9,17) + TIME(6,20,21)</f>
        <v>40438.264131944445</v>
      </c>
      <c r="C446">
        <v>80</v>
      </c>
      <c r="D446">
        <v>79.892349242999998</v>
      </c>
      <c r="E446">
        <v>60</v>
      </c>
      <c r="F446">
        <v>53.673156738000003</v>
      </c>
      <c r="G446">
        <v>1333.6680908000001</v>
      </c>
      <c r="H446">
        <v>1332.6228027</v>
      </c>
      <c r="I446">
        <v>1328.5465088000001</v>
      </c>
      <c r="J446">
        <v>1327.7406006000001</v>
      </c>
      <c r="K446">
        <v>550</v>
      </c>
      <c r="L446">
        <v>0</v>
      </c>
      <c r="M446">
        <v>0</v>
      </c>
      <c r="N446">
        <v>550</v>
      </c>
    </row>
    <row r="447" spans="1:14" x14ac:dyDescent="0.25">
      <c r="A447">
        <v>139.98222899999999</v>
      </c>
      <c r="B447" s="1">
        <f>DATE(2010,9,17) + TIME(23,34,24)</f>
        <v>40438.982222222221</v>
      </c>
      <c r="C447">
        <v>80</v>
      </c>
      <c r="D447">
        <v>79.892425536999994</v>
      </c>
      <c r="E447">
        <v>60</v>
      </c>
      <c r="F447">
        <v>53.783725738999998</v>
      </c>
      <c r="G447">
        <v>1333.6677245999999</v>
      </c>
      <c r="H447">
        <v>1332.6229248</v>
      </c>
      <c r="I447">
        <v>1328.5499268000001</v>
      </c>
      <c r="J447">
        <v>1327.7451172000001</v>
      </c>
      <c r="K447">
        <v>550</v>
      </c>
      <c r="L447">
        <v>0</v>
      </c>
      <c r="M447">
        <v>0</v>
      </c>
      <c r="N447">
        <v>550</v>
      </c>
    </row>
    <row r="448" spans="1:14" x14ac:dyDescent="0.25">
      <c r="A448">
        <v>141.41841199999999</v>
      </c>
      <c r="B448" s="1">
        <f>DATE(2010,9,19) + TIME(10,2,30)</f>
        <v>40440.418402777781</v>
      </c>
      <c r="C448">
        <v>80</v>
      </c>
      <c r="D448">
        <v>79.892608643000003</v>
      </c>
      <c r="E448">
        <v>60</v>
      </c>
      <c r="F448">
        <v>53.9518013</v>
      </c>
      <c r="G448">
        <v>1333.6674805</v>
      </c>
      <c r="H448">
        <v>1332.6230469</v>
      </c>
      <c r="I448">
        <v>1328.5531006000001</v>
      </c>
      <c r="J448">
        <v>1327.7501221</v>
      </c>
      <c r="K448">
        <v>550</v>
      </c>
      <c r="L448">
        <v>0</v>
      </c>
      <c r="M448">
        <v>0</v>
      </c>
      <c r="N448">
        <v>550</v>
      </c>
    </row>
    <row r="449" spans="1:14" x14ac:dyDescent="0.25">
      <c r="A449">
        <v>142.85544999999999</v>
      </c>
      <c r="B449" s="1">
        <f>DATE(2010,9,20) + TIME(20,31,50)</f>
        <v>40441.855439814812</v>
      </c>
      <c r="C449">
        <v>80</v>
      </c>
      <c r="D449">
        <v>79.892768860000004</v>
      </c>
      <c r="E449">
        <v>60</v>
      </c>
      <c r="F449">
        <v>54.133312224999997</v>
      </c>
      <c r="G449">
        <v>1333.6668701000001</v>
      </c>
      <c r="H449">
        <v>1332.6231689000001</v>
      </c>
      <c r="I449">
        <v>1328.5593262</v>
      </c>
      <c r="J449">
        <v>1327.7578125</v>
      </c>
      <c r="K449">
        <v>550</v>
      </c>
      <c r="L449">
        <v>0</v>
      </c>
      <c r="M449">
        <v>0</v>
      </c>
      <c r="N449">
        <v>550</v>
      </c>
    </row>
    <row r="450" spans="1:14" x14ac:dyDescent="0.25">
      <c r="A450">
        <v>144.31501399999999</v>
      </c>
      <c r="B450" s="1">
        <f>DATE(2010,9,22) + TIME(7,33,37)</f>
        <v>40443.315011574072</v>
      </c>
      <c r="C450">
        <v>80</v>
      </c>
      <c r="D450">
        <v>79.892936707000004</v>
      </c>
      <c r="E450">
        <v>60</v>
      </c>
      <c r="F450">
        <v>54.321121216000002</v>
      </c>
      <c r="G450">
        <v>1333.6663818</v>
      </c>
      <c r="H450">
        <v>1332.6234131000001</v>
      </c>
      <c r="I450">
        <v>1328.5655518000001</v>
      </c>
      <c r="J450">
        <v>1327.7657471</v>
      </c>
      <c r="K450">
        <v>550</v>
      </c>
      <c r="L450">
        <v>0</v>
      </c>
      <c r="M450">
        <v>0</v>
      </c>
      <c r="N450">
        <v>550</v>
      </c>
    </row>
    <row r="451" spans="1:14" x14ac:dyDescent="0.25">
      <c r="A451">
        <v>145.802637</v>
      </c>
      <c r="B451" s="1">
        <f>DATE(2010,9,23) + TIME(19,15,47)</f>
        <v>40444.802627314813</v>
      </c>
      <c r="C451">
        <v>80</v>
      </c>
      <c r="D451">
        <v>79.893104553000001</v>
      </c>
      <c r="E451">
        <v>60</v>
      </c>
      <c r="F451">
        <v>54.511478424000003</v>
      </c>
      <c r="G451">
        <v>1333.6658935999999</v>
      </c>
      <c r="H451">
        <v>1332.6236572</v>
      </c>
      <c r="I451">
        <v>1328.5718993999999</v>
      </c>
      <c r="J451">
        <v>1327.7739257999999</v>
      </c>
      <c r="K451">
        <v>550</v>
      </c>
      <c r="L451">
        <v>0</v>
      </c>
      <c r="M451">
        <v>0</v>
      </c>
      <c r="N451">
        <v>550</v>
      </c>
    </row>
    <row r="452" spans="1:14" x14ac:dyDescent="0.25">
      <c r="A452">
        <v>147.32427000000001</v>
      </c>
      <c r="B452" s="1">
        <f>DATE(2010,9,25) + TIME(7,46,56)</f>
        <v>40446.324259259258</v>
      </c>
      <c r="C452">
        <v>80</v>
      </c>
      <c r="D452">
        <v>79.893272400000001</v>
      </c>
      <c r="E452">
        <v>60</v>
      </c>
      <c r="F452">
        <v>54.702590942</v>
      </c>
      <c r="G452">
        <v>1333.6654053</v>
      </c>
      <c r="H452">
        <v>1332.6240233999999</v>
      </c>
      <c r="I452">
        <v>1328.5783690999999</v>
      </c>
      <c r="J452">
        <v>1327.7822266000001</v>
      </c>
      <c r="K452">
        <v>550</v>
      </c>
      <c r="L452">
        <v>0</v>
      </c>
      <c r="M452">
        <v>0</v>
      </c>
      <c r="N452">
        <v>550</v>
      </c>
    </row>
    <row r="453" spans="1:14" x14ac:dyDescent="0.25">
      <c r="A453">
        <v>148.88554199999999</v>
      </c>
      <c r="B453" s="1">
        <f>DATE(2010,9,26) + TIME(21,15,10)</f>
        <v>40447.88553240741</v>
      </c>
      <c r="C453">
        <v>80</v>
      </c>
      <c r="D453">
        <v>79.893447875999996</v>
      </c>
      <c r="E453">
        <v>60</v>
      </c>
      <c r="F453">
        <v>54.893718718999999</v>
      </c>
      <c r="G453">
        <v>1333.6650391000001</v>
      </c>
      <c r="H453">
        <v>1332.6242675999999</v>
      </c>
      <c r="I453">
        <v>1328.5849608999999</v>
      </c>
      <c r="J453">
        <v>1327.7907714999999</v>
      </c>
      <c r="K453">
        <v>550</v>
      </c>
      <c r="L453">
        <v>0</v>
      </c>
      <c r="M453">
        <v>0</v>
      </c>
      <c r="N453">
        <v>550</v>
      </c>
    </row>
    <row r="454" spans="1:14" x14ac:dyDescent="0.25">
      <c r="A454">
        <v>150.47184300000001</v>
      </c>
      <c r="B454" s="1">
        <f>DATE(2010,9,28) + TIME(11,19,27)</f>
        <v>40449.47184027778</v>
      </c>
      <c r="C454">
        <v>80</v>
      </c>
      <c r="D454">
        <v>79.893623352000006</v>
      </c>
      <c r="E454">
        <v>60</v>
      </c>
      <c r="F454">
        <v>55.083400726000001</v>
      </c>
      <c r="G454">
        <v>1333.6645507999999</v>
      </c>
      <c r="H454">
        <v>1332.6246338000001</v>
      </c>
      <c r="I454">
        <v>1328.5916748</v>
      </c>
      <c r="J454">
        <v>1327.7993164</v>
      </c>
      <c r="K454">
        <v>550</v>
      </c>
      <c r="L454">
        <v>0</v>
      </c>
      <c r="M454">
        <v>0</v>
      </c>
      <c r="N454">
        <v>550</v>
      </c>
    </row>
    <row r="455" spans="1:14" x14ac:dyDescent="0.25">
      <c r="A455">
        <v>152.089393</v>
      </c>
      <c r="B455" s="1">
        <f>DATE(2010,9,30) + TIME(2,8,43)</f>
        <v>40451.089386574073</v>
      </c>
      <c r="C455">
        <v>80</v>
      </c>
      <c r="D455">
        <v>79.893806458</v>
      </c>
      <c r="E455">
        <v>60</v>
      </c>
      <c r="F455">
        <v>55.271430969000001</v>
      </c>
      <c r="G455">
        <v>1333.6641846</v>
      </c>
      <c r="H455">
        <v>1332.625</v>
      </c>
      <c r="I455">
        <v>1328.5983887</v>
      </c>
      <c r="J455">
        <v>1327.8079834</v>
      </c>
      <c r="K455">
        <v>550</v>
      </c>
      <c r="L455">
        <v>0</v>
      </c>
      <c r="M455">
        <v>0</v>
      </c>
      <c r="N455">
        <v>550</v>
      </c>
    </row>
    <row r="456" spans="1:14" x14ac:dyDescent="0.25">
      <c r="A456">
        <v>153</v>
      </c>
      <c r="B456" s="1">
        <f>DATE(2010,10,1) + TIME(0,0,0)</f>
        <v>40452</v>
      </c>
      <c r="C456">
        <v>80</v>
      </c>
      <c r="D456">
        <v>79.893890381000006</v>
      </c>
      <c r="E456">
        <v>60</v>
      </c>
      <c r="F456">
        <v>55.402481078999998</v>
      </c>
      <c r="G456">
        <v>1333.6638184000001</v>
      </c>
      <c r="H456">
        <v>1332.6253661999999</v>
      </c>
      <c r="I456">
        <v>1328.6052245999999</v>
      </c>
      <c r="J456">
        <v>1327.8162841999999</v>
      </c>
      <c r="K456">
        <v>550</v>
      </c>
      <c r="L456">
        <v>0</v>
      </c>
      <c r="M456">
        <v>0</v>
      </c>
      <c r="N456">
        <v>550</v>
      </c>
    </row>
    <row r="457" spans="1:14" x14ac:dyDescent="0.25">
      <c r="A457">
        <v>153.82629399999999</v>
      </c>
      <c r="B457" s="1">
        <f>DATE(2010,10,1) + TIME(19,49,51)</f>
        <v>40452.826284722221</v>
      </c>
      <c r="C457">
        <v>80</v>
      </c>
      <c r="D457">
        <v>79.893966675000001</v>
      </c>
      <c r="E457">
        <v>60</v>
      </c>
      <c r="F457">
        <v>55.515361786</v>
      </c>
      <c r="G457">
        <v>1333.6636963000001</v>
      </c>
      <c r="H457">
        <v>1332.6256103999999</v>
      </c>
      <c r="I457">
        <v>1328.609375</v>
      </c>
      <c r="J457">
        <v>1327.8218993999999</v>
      </c>
      <c r="K457">
        <v>550</v>
      </c>
      <c r="L457">
        <v>0</v>
      </c>
      <c r="M457">
        <v>0</v>
      </c>
      <c r="N457">
        <v>550</v>
      </c>
    </row>
    <row r="458" spans="1:14" x14ac:dyDescent="0.25">
      <c r="A458">
        <v>154.65024500000001</v>
      </c>
      <c r="B458" s="1">
        <f>DATE(2010,10,2) + TIME(15,36,21)</f>
        <v>40453.650243055556</v>
      </c>
      <c r="C458">
        <v>80</v>
      </c>
      <c r="D458">
        <v>79.894058228000006</v>
      </c>
      <c r="E458">
        <v>60</v>
      </c>
      <c r="F458">
        <v>55.620559692</v>
      </c>
      <c r="G458">
        <v>1333.6634521000001</v>
      </c>
      <c r="H458">
        <v>1332.6258545000001</v>
      </c>
      <c r="I458">
        <v>1328.6130370999999</v>
      </c>
      <c r="J458">
        <v>1327.8269043</v>
      </c>
      <c r="K458">
        <v>550</v>
      </c>
      <c r="L458">
        <v>0</v>
      </c>
      <c r="M458">
        <v>0</v>
      </c>
      <c r="N458">
        <v>550</v>
      </c>
    </row>
    <row r="459" spans="1:14" x14ac:dyDescent="0.25">
      <c r="A459">
        <v>155.47419600000001</v>
      </c>
      <c r="B459" s="1">
        <f>DATE(2010,10,3) + TIME(11,22,50)</f>
        <v>40454.474189814813</v>
      </c>
      <c r="C459">
        <v>80</v>
      </c>
      <c r="D459">
        <v>79.894142150999997</v>
      </c>
      <c r="E459">
        <v>60</v>
      </c>
      <c r="F459">
        <v>55.720233917000002</v>
      </c>
      <c r="G459">
        <v>1333.6633300999999</v>
      </c>
      <c r="H459">
        <v>1332.6260986</v>
      </c>
      <c r="I459">
        <v>1328.6165771000001</v>
      </c>
      <c r="J459">
        <v>1327.8316649999999</v>
      </c>
      <c r="K459">
        <v>550</v>
      </c>
      <c r="L459">
        <v>0</v>
      </c>
      <c r="M459">
        <v>0</v>
      </c>
      <c r="N459">
        <v>550</v>
      </c>
    </row>
    <row r="460" spans="1:14" x14ac:dyDescent="0.25">
      <c r="A460">
        <v>156.298147</v>
      </c>
      <c r="B460" s="1">
        <f>DATE(2010,10,4) + TIME(7,9,19)</f>
        <v>40455.298136574071</v>
      </c>
      <c r="C460">
        <v>80</v>
      </c>
      <c r="D460">
        <v>79.894233704000001</v>
      </c>
      <c r="E460">
        <v>60</v>
      </c>
      <c r="F460">
        <v>55.815738678000002</v>
      </c>
      <c r="G460">
        <v>1333.6632079999999</v>
      </c>
      <c r="H460">
        <v>1332.6262207</v>
      </c>
      <c r="I460">
        <v>1328.6201172000001</v>
      </c>
      <c r="J460">
        <v>1327.8363036999999</v>
      </c>
      <c r="K460">
        <v>550</v>
      </c>
      <c r="L460">
        <v>0</v>
      </c>
      <c r="M460">
        <v>0</v>
      </c>
      <c r="N460">
        <v>550</v>
      </c>
    </row>
    <row r="461" spans="1:14" x14ac:dyDescent="0.25">
      <c r="A461">
        <v>157.12209799999999</v>
      </c>
      <c r="B461" s="1">
        <f>DATE(2010,10,5) + TIME(2,55,49)</f>
        <v>40456.122094907405</v>
      </c>
      <c r="C461">
        <v>80</v>
      </c>
      <c r="D461">
        <v>79.894325256000002</v>
      </c>
      <c r="E461">
        <v>60</v>
      </c>
      <c r="F461">
        <v>55.908023833999998</v>
      </c>
      <c r="G461">
        <v>1333.6630858999999</v>
      </c>
      <c r="H461">
        <v>1332.6264647999999</v>
      </c>
      <c r="I461">
        <v>1328.6235352000001</v>
      </c>
      <c r="J461">
        <v>1327.8408202999999</v>
      </c>
      <c r="K461">
        <v>550</v>
      </c>
      <c r="L461">
        <v>0</v>
      </c>
      <c r="M461">
        <v>0</v>
      </c>
      <c r="N461">
        <v>550</v>
      </c>
    </row>
    <row r="462" spans="1:14" x14ac:dyDescent="0.25">
      <c r="A462">
        <v>157.94604899999999</v>
      </c>
      <c r="B462" s="1">
        <f>DATE(2010,10,5) + TIME(22,42,18)</f>
        <v>40456.94604166667</v>
      </c>
      <c r="C462">
        <v>80</v>
      </c>
      <c r="D462">
        <v>79.894416809000006</v>
      </c>
      <c r="E462">
        <v>60</v>
      </c>
      <c r="F462">
        <v>55.997741699000002</v>
      </c>
      <c r="G462">
        <v>1333.6628418</v>
      </c>
      <c r="H462">
        <v>1332.6267089999999</v>
      </c>
      <c r="I462">
        <v>1328.6269531</v>
      </c>
      <c r="J462">
        <v>1327.8453368999999</v>
      </c>
      <c r="K462">
        <v>550</v>
      </c>
      <c r="L462">
        <v>0</v>
      </c>
      <c r="M462">
        <v>0</v>
      </c>
      <c r="N462">
        <v>550</v>
      </c>
    </row>
    <row r="463" spans="1:14" x14ac:dyDescent="0.25">
      <c r="A463">
        <v>158.77000000000001</v>
      </c>
      <c r="B463" s="1">
        <f>DATE(2010,10,6) + TIME(18,28,48)</f>
        <v>40457.769999999997</v>
      </c>
      <c r="C463">
        <v>80</v>
      </c>
      <c r="D463">
        <v>79.894508361999996</v>
      </c>
      <c r="E463">
        <v>60</v>
      </c>
      <c r="F463">
        <v>56.085357666</v>
      </c>
      <c r="G463">
        <v>1333.6627197</v>
      </c>
      <c r="H463">
        <v>1332.6269531</v>
      </c>
      <c r="I463">
        <v>1328.630249</v>
      </c>
      <c r="J463">
        <v>1327.8496094</v>
      </c>
      <c r="K463">
        <v>550</v>
      </c>
      <c r="L463">
        <v>0</v>
      </c>
      <c r="M463">
        <v>0</v>
      </c>
      <c r="N463">
        <v>550</v>
      </c>
    </row>
    <row r="464" spans="1:14" x14ac:dyDescent="0.25">
      <c r="A464">
        <v>160.417902</v>
      </c>
      <c r="B464" s="1">
        <f>DATE(2010,10,8) + TIME(10,1,46)</f>
        <v>40459.417893518519</v>
      </c>
      <c r="C464">
        <v>80</v>
      </c>
      <c r="D464">
        <v>79.894714355000005</v>
      </c>
      <c r="E464">
        <v>60</v>
      </c>
      <c r="F464">
        <v>56.215965271000002</v>
      </c>
      <c r="G464">
        <v>1333.6625977000001</v>
      </c>
      <c r="H464">
        <v>1332.6271973</v>
      </c>
      <c r="I464">
        <v>1328.6334228999999</v>
      </c>
      <c r="J464">
        <v>1327.8543701000001</v>
      </c>
      <c r="K464">
        <v>550</v>
      </c>
      <c r="L464">
        <v>0</v>
      </c>
      <c r="M464">
        <v>0</v>
      </c>
      <c r="N464">
        <v>550</v>
      </c>
    </row>
    <row r="465" spans="1:14" x14ac:dyDescent="0.25">
      <c r="A465">
        <v>162.071564</v>
      </c>
      <c r="B465" s="1">
        <f>DATE(2010,10,10) + TIME(1,43,3)</f>
        <v>40461.071562500001</v>
      </c>
      <c r="C465">
        <v>80</v>
      </c>
      <c r="D465">
        <v>79.894912719999994</v>
      </c>
      <c r="E465">
        <v>60</v>
      </c>
      <c r="F465">
        <v>56.360965729</v>
      </c>
      <c r="G465">
        <v>1333.6623535000001</v>
      </c>
      <c r="H465">
        <v>1332.6275635</v>
      </c>
      <c r="I465">
        <v>1328.6395264</v>
      </c>
      <c r="J465">
        <v>1327.8615723</v>
      </c>
      <c r="K465">
        <v>550</v>
      </c>
      <c r="L465">
        <v>0</v>
      </c>
      <c r="M465">
        <v>0</v>
      </c>
      <c r="N465">
        <v>550</v>
      </c>
    </row>
    <row r="466" spans="1:14" x14ac:dyDescent="0.25">
      <c r="A466">
        <v>163.75086899999999</v>
      </c>
      <c r="B466" s="1">
        <f>DATE(2010,10,11) + TIME(18,1,15)</f>
        <v>40462.750868055555</v>
      </c>
      <c r="C466">
        <v>80</v>
      </c>
      <c r="D466">
        <v>79.895095824999999</v>
      </c>
      <c r="E466">
        <v>60</v>
      </c>
      <c r="F466">
        <v>56.513019561999997</v>
      </c>
      <c r="G466">
        <v>1333.6621094</v>
      </c>
      <c r="H466">
        <v>1332.6280518000001</v>
      </c>
      <c r="I466">
        <v>1328.6456298999999</v>
      </c>
      <c r="J466">
        <v>1327.8691406</v>
      </c>
      <c r="K466">
        <v>550</v>
      </c>
      <c r="L466">
        <v>0</v>
      </c>
      <c r="M466">
        <v>0</v>
      </c>
      <c r="N466">
        <v>550</v>
      </c>
    </row>
    <row r="467" spans="1:14" x14ac:dyDescent="0.25">
      <c r="A467">
        <v>165.462729</v>
      </c>
      <c r="B467" s="1">
        <f>DATE(2010,10,13) + TIME(11,6,19)</f>
        <v>40464.462719907409</v>
      </c>
      <c r="C467">
        <v>80</v>
      </c>
      <c r="D467">
        <v>79.895286560000002</v>
      </c>
      <c r="E467">
        <v>60</v>
      </c>
      <c r="F467">
        <v>56.668651580999999</v>
      </c>
      <c r="G467">
        <v>1333.6618652</v>
      </c>
      <c r="H467">
        <v>1332.6285399999999</v>
      </c>
      <c r="I467">
        <v>1328.6519774999999</v>
      </c>
      <c r="J467">
        <v>1327.8769531</v>
      </c>
      <c r="K467">
        <v>550</v>
      </c>
      <c r="L467">
        <v>0</v>
      </c>
      <c r="M467">
        <v>0</v>
      </c>
      <c r="N467">
        <v>550</v>
      </c>
    </row>
    <row r="468" spans="1:14" x14ac:dyDescent="0.25">
      <c r="A468">
        <v>167.21458799999999</v>
      </c>
      <c r="B468" s="1">
        <f>DATE(2010,10,15) + TIME(5,9,0)</f>
        <v>40466.214583333334</v>
      </c>
      <c r="C468">
        <v>80</v>
      </c>
      <c r="D468">
        <v>79.895484924000002</v>
      </c>
      <c r="E468">
        <v>60</v>
      </c>
      <c r="F468">
        <v>56.826339722</v>
      </c>
      <c r="G468">
        <v>1333.6616211</v>
      </c>
      <c r="H468">
        <v>1332.6290283000001</v>
      </c>
      <c r="I468">
        <v>1328.6583252</v>
      </c>
      <c r="J468">
        <v>1327.8848877</v>
      </c>
      <c r="K468">
        <v>550</v>
      </c>
      <c r="L468">
        <v>0</v>
      </c>
      <c r="M468">
        <v>0</v>
      </c>
      <c r="N468">
        <v>550</v>
      </c>
    </row>
    <row r="469" spans="1:14" x14ac:dyDescent="0.25">
      <c r="A469">
        <v>169.00913600000001</v>
      </c>
      <c r="B469" s="1">
        <f>DATE(2010,10,17) + TIME(0,13,9)</f>
        <v>40468.009131944447</v>
      </c>
      <c r="C469">
        <v>80</v>
      </c>
      <c r="D469">
        <v>79.895683289000004</v>
      </c>
      <c r="E469">
        <v>60</v>
      </c>
      <c r="F469">
        <v>56.985324859999999</v>
      </c>
      <c r="G469">
        <v>1333.6613769999999</v>
      </c>
      <c r="H469">
        <v>1332.6295166</v>
      </c>
      <c r="I469">
        <v>1328.6647949000001</v>
      </c>
      <c r="J469">
        <v>1327.8930664</v>
      </c>
      <c r="K469">
        <v>550</v>
      </c>
      <c r="L469">
        <v>0</v>
      </c>
      <c r="M469">
        <v>0</v>
      </c>
      <c r="N469">
        <v>550</v>
      </c>
    </row>
    <row r="470" spans="1:14" x14ac:dyDescent="0.25">
      <c r="A470">
        <v>170.847476</v>
      </c>
      <c r="B470" s="1">
        <f>DATE(2010,10,18) + TIME(20,20,21)</f>
        <v>40469.84746527778</v>
      </c>
      <c r="C470">
        <v>80</v>
      </c>
      <c r="D470">
        <v>79.895889281999999</v>
      </c>
      <c r="E470">
        <v>60</v>
      </c>
      <c r="F470">
        <v>57.145206451</v>
      </c>
      <c r="G470">
        <v>1333.6612548999999</v>
      </c>
      <c r="H470">
        <v>1332.6301269999999</v>
      </c>
      <c r="I470">
        <v>1328.6713867000001</v>
      </c>
      <c r="J470">
        <v>1327.9013672000001</v>
      </c>
      <c r="K470">
        <v>550</v>
      </c>
      <c r="L470">
        <v>0</v>
      </c>
      <c r="M470">
        <v>0</v>
      </c>
      <c r="N470">
        <v>550</v>
      </c>
    </row>
    <row r="471" spans="1:14" x14ac:dyDescent="0.25">
      <c r="A471">
        <v>172.715127</v>
      </c>
      <c r="B471" s="1">
        <f>DATE(2010,10,20) + TIME(17,9,47)</f>
        <v>40471.715127314812</v>
      </c>
      <c r="C471">
        <v>80</v>
      </c>
      <c r="D471">
        <v>79.896095275999997</v>
      </c>
      <c r="E471">
        <v>60</v>
      </c>
      <c r="F471">
        <v>57.305099487</v>
      </c>
      <c r="G471">
        <v>1333.6610106999999</v>
      </c>
      <c r="H471">
        <v>1332.6306152</v>
      </c>
      <c r="I471">
        <v>1328.6779785000001</v>
      </c>
      <c r="J471">
        <v>1327.9097899999999</v>
      </c>
      <c r="K471">
        <v>550</v>
      </c>
      <c r="L471">
        <v>0</v>
      </c>
      <c r="M471">
        <v>0</v>
      </c>
      <c r="N471">
        <v>550</v>
      </c>
    </row>
    <row r="472" spans="1:14" x14ac:dyDescent="0.25">
      <c r="A472">
        <v>174.59667200000001</v>
      </c>
      <c r="B472" s="1">
        <f>DATE(2010,10,22) + TIME(14,19,12)</f>
        <v>40473.596666666665</v>
      </c>
      <c r="C472">
        <v>80</v>
      </c>
      <c r="D472">
        <v>79.896301269999995</v>
      </c>
      <c r="E472">
        <v>60</v>
      </c>
      <c r="F472">
        <v>57.463874816999997</v>
      </c>
      <c r="G472">
        <v>1333.6608887</v>
      </c>
      <c r="H472">
        <v>1332.6312256000001</v>
      </c>
      <c r="I472">
        <v>1328.6846923999999</v>
      </c>
      <c r="J472">
        <v>1327.9182129000001</v>
      </c>
      <c r="K472">
        <v>550</v>
      </c>
      <c r="L472">
        <v>0</v>
      </c>
      <c r="M472">
        <v>0</v>
      </c>
      <c r="N472">
        <v>550</v>
      </c>
    </row>
    <row r="473" spans="1:14" x14ac:dyDescent="0.25">
      <c r="A473">
        <v>176.48093</v>
      </c>
      <c r="B473" s="1">
        <f>DATE(2010,10,24) + TIME(11,32,32)</f>
        <v>40475.480925925927</v>
      </c>
      <c r="C473">
        <v>80</v>
      </c>
      <c r="D473">
        <v>79.896507263000004</v>
      </c>
      <c r="E473">
        <v>60</v>
      </c>
      <c r="F473">
        <v>57.620410919000001</v>
      </c>
      <c r="G473">
        <v>1333.6607666</v>
      </c>
      <c r="H473">
        <v>1332.6318358999999</v>
      </c>
      <c r="I473">
        <v>1328.6912841999999</v>
      </c>
      <c r="J473">
        <v>1327.9267577999999</v>
      </c>
      <c r="K473">
        <v>550</v>
      </c>
      <c r="L473">
        <v>0</v>
      </c>
      <c r="M473">
        <v>0</v>
      </c>
      <c r="N473">
        <v>550</v>
      </c>
    </row>
    <row r="474" spans="1:14" x14ac:dyDescent="0.25">
      <c r="A474">
        <v>178.37661600000001</v>
      </c>
      <c r="B474" s="1">
        <f>DATE(2010,10,26) + TIME(9,2,19)</f>
        <v>40477.376608796294</v>
      </c>
      <c r="C474">
        <v>80</v>
      </c>
      <c r="D474">
        <v>79.896713257000002</v>
      </c>
      <c r="E474">
        <v>60</v>
      </c>
      <c r="F474">
        <v>57.774528502999999</v>
      </c>
      <c r="G474">
        <v>1333.6606445</v>
      </c>
      <c r="H474">
        <v>1332.6324463000001</v>
      </c>
      <c r="I474">
        <v>1328.6979980000001</v>
      </c>
      <c r="J474">
        <v>1327.9350586</v>
      </c>
      <c r="K474">
        <v>550</v>
      </c>
      <c r="L474">
        <v>0</v>
      </c>
      <c r="M474">
        <v>0</v>
      </c>
      <c r="N474">
        <v>550</v>
      </c>
    </row>
    <row r="475" spans="1:14" x14ac:dyDescent="0.25">
      <c r="A475">
        <v>180.280608</v>
      </c>
      <c r="B475" s="1">
        <f>DATE(2010,10,28) + TIME(6,44,4)</f>
        <v>40479.280601851853</v>
      </c>
      <c r="C475">
        <v>80</v>
      </c>
      <c r="D475">
        <v>79.896919249999996</v>
      </c>
      <c r="E475">
        <v>60</v>
      </c>
      <c r="F475">
        <v>57.926033019999998</v>
      </c>
      <c r="G475">
        <v>1333.6606445</v>
      </c>
      <c r="H475">
        <v>1332.6331786999999</v>
      </c>
      <c r="I475">
        <v>1328.7044678</v>
      </c>
      <c r="J475">
        <v>1327.9434814000001</v>
      </c>
      <c r="K475">
        <v>550</v>
      </c>
      <c r="L475">
        <v>0</v>
      </c>
      <c r="M475">
        <v>0</v>
      </c>
      <c r="N475">
        <v>550</v>
      </c>
    </row>
    <row r="476" spans="1:14" x14ac:dyDescent="0.25">
      <c r="A476">
        <v>182.19708199999999</v>
      </c>
      <c r="B476" s="1">
        <f>DATE(2010,10,30) + TIME(4,43,47)</f>
        <v>40481.197071759256</v>
      </c>
      <c r="C476">
        <v>80</v>
      </c>
      <c r="D476">
        <v>79.897132873999993</v>
      </c>
      <c r="E476">
        <v>60</v>
      </c>
      <c r="F476">
        <v>58.075027466000002</v>
      </c>
      <c r="G476">
        <v>1333.6605225000001</v>
      </c>
      <c r="H476">
        <v>1332.6337891000001</v>
      </c>
      <c r="I476">
        <v>1328.7110596</v>
      </c>
      <c r="J476">
        <v>1327.9516602000001</v>
      </c>
      <c r="K476">
        <v>550</v>
      </c>
      <c r="L476">
        <v>0</v>
      </c>
      <c r="M476">
        <v>0</v>
      </c>
      <c r="N476">
        <v>550</v>
      </c>
    </row>
    <row r="477" spans="1:14" x14ac:dyDescent="0.25">
      <c r="A477">
        <v>184</v>
      </c>
      <c r="B477" s="1">
        <f>DATE(2010,11,1) + TIME(0,0,0)</f>
        <v>40483</v>
      </c>
      <c r="C477">
        <v>80</v>
      </c>
      <c r="D477">
        <v>79.897323607999994</v>
      </c>
      <c r="E477">
        <v>60</v>
      </c>
      <c r="F477">
        <v>58.216800689999999</v>
      </c>
      <c r="G477">
        <v>1333.6605225000001</v>
      </c>
      <c r="H477">
        <v>1332.6343993999999</v>
      </c>
      <c r="I477">
        <v>1328.7175293</v>
      </c>
      <c r="J477">
        <v>1327.9599608999999</v>
      </c>
      <c r="K477">
        <v>550</v>
      </c>
      <c r="L477">
        <v>0</v>
      </c>
      <c r="M477">
        <v>0</v>
      </c>
      <c r="N477">
        <v>550</v>
      </c>
    </row>
    <row r="478" spans="1:14" x14ac:dyDescent="0.25">
      <c r="A478">
        <v>184.000001</v>
      </c>
      <c r="B478" s="1">
        <f>DATE(2010,11,1) + TIME(0,0,0)</f>
        <v>40483</v>
      </c>
      <c r="C478">
        <v>80</v>
      </c>
      <c r="D478">
        <v>79.897293090999995</v>
      </c>
      <c r="E478">
        <v>60</v>
      </c>
      <c r="F478">
        <v>58.216838836999997</v>
      </c>
      <c r="G478">
        <v>1332.3975829999999</v>
      </c>
      <c r="H478">
        <v>1332.7150879000001</v>
      </c>
      <c r="I478">
        <v>1329.6330565999999</v>
      </c>
      <c r="J478">
        <v>1328.9860839999999</v>
      </c>
      <c r="K478">
        <v>0</v>
      </c>
      <c r="L478">
        <v>550</v>
      </c>
      <c r="M478">
        <v>550</v>
      </c>
      <c r="N478">
        <v>0</v>
      </c>
    </row>
    <row r="479" spans="1:14" x14ac:dyDescent="0.25">
      <c r="A479">
        <v>184.00000399999999</v>
      </c>
      <c r="B479" s="1">
        <f>DATE(2010,11,1) + TIME(0,0,0)</f>
        <v>40483</v>
      </c>
      <c r="C479">
        <v>80</v>
      </c>
      <c r="D479">
        <v>79.897247313999998</v>
      </c>
      <c r="E479">
        <v>60</v>
      </c>
      <c r="F479">
        <v>58.216888427999997</v>
      </c>
      <c r="G479">
        <v>1332.0858154</v>
      </c>
      <c r="H479">
        <v>1332.4833983999999</v>
      </c>
      <c r="I479">
        <v>1329.9512939000001</v>
      </c>
      <c r="J479">
        <v>1329.3586425999999</v>
      </c>
      <c r="K479">
        <v>0</v>
      </c>
      <c r="L479">
        <v>550</v>
      </c>
      <c r="M479">
        <v>550</v>
      </c>
      <c r="N479">
        <v>0</v>
      </c>
    </row>
    <row r="480" spans="1:14" x14ac:dyDescent="0.25">
      <c r="A480">
        <v>184.000013</v>
      </c>
      <c r="B480" s="1">
        <f>DATE(2010,11,1) + TIME(0,0,1)</f>
        <v>40483.000011574077</v>
      </c>
      <c r="C480">
        <v>80</v>
      </c>
      <c r="D480">
        <v>79.897201538000004</v>
      </c>
      <c r="E480">
        <v>60</v>
      </c>
      <c r="F480">
        <v>58.216949462999999</v>
      </c>
      <c r="G480">
        <v>1331.776001</v>
      </c>
      <c r="H480">
        <v>1332.1865233999999</v>
      </c>
      <c r="I480">
        <v>1330.3693848</v>
      </c>
      <c r="J480">
        <v>1329.7717285000001</v>
      </c>
      <c r="K480">
        <v>0</v>
      </c>
      <c r="L480">
        <v>550</v>
      </c>
      <c r="M480">
        <v>550</v>
      </c>
      <c r="N480">
        <v>0</v>
      </c>
    </row>
    <row r="481" spans="1:14" x14ac:dyDescent="0.25">
      <c r="A481">
        <v>184.00004000000001</v>
      </c>
      <c r="B481" s="1">
        <f>DATE(2010,11,1) + TIME(0,0,3)</f>
        <v>40483.000034722223</v>
      </c>
      <c r="C481">
        <v>80</v>
      </c>
      <c r="D481">
        <v>79.897155761999997</v>
      </c>
      <c r="E481">
        <v>60</v>
      </c>
      <c r="F481">
        <v>58.217021942000002</v>
      </c>
      <c r="G481">
        <v>1331.4885254000001</v>
      </c>
      <c r="H481">
        <v>1331.8666992000001</v>
      </c>
      <c r="I481">
        <v>1330.8126221</v>
      </c>
      <c r="J481">
        <v>1330.1951904</v>
      </c>
      <c r="K481">
        <v>0</v>
      </c>
      <c r="L481">
        <v>550</v>
      </c>
      <c r="M481">
        <v>550</v>
      </c>
      <c r="N481">
        <v>0</v>
      </c>
    </row>
    <row r="482" spans="1:14" x14ac:dyDescent="0.25">
      <c r="A482">
        <v>184.00012100000001</v>
      </c>
      <c r="B482" s="1">
        <f>DATE(2010,11,1) + TIME(0,0,10)</f>
        <v>40483.000115740739</v>
      </c>
      <c r="C482">
        <v>80</v>
      </c>
      <c r="D482">
        <v>79.897109985</v>
      </c>
      <c r="E482">
        <v>60</v>
      </c>
      <c r="F482">
        <v>58.217128754000001</v>
      </c>
      <c r="G482">
        <v>1331.2177733999999</v>
      </c>
      <c r="H482">
        <v>1331.5388184000001</v>
      </c>
      <c r="I482">
        <v>1331.2397461</v>
      </c>
      <c r="J482">
        <v>1330.6000977000001</v>
      </c>
      <c r="K482">
        <v>0</v>
      </c>
      <c r="L482">
        <v>550</v>
      </c>
      <c r="M482">
        <v>550</v>
      </c>
      <c r="N482">
        <v>0</v>
      </c>
    </row>
    <row r="483" spans="1:14" x14ac:dyDescent="0.25">
      <c r="A483">
        <v>184.00036399999999</v>
      </c>
      <c r="B483" s="1">
        <f>DATE(2010,11,1) + TIME(0,0,31)</f>
        <v>40483.000358796293</v>
      </c>
      <c r="C483">
        <v>80</v>
      </c>
      <c r="D483">
        <v>79.897048949999999</v>
      </c>
      <c r="E483">
        <v>60</v>
      </c>
      <c r="F483">
        <v>58.217342377000001</v>
      </c>
      <c r="G483">
        <v>1330.9869385</v>
      </c>
      <c r="H483">
        <v>1331.2463379000001</v>
      </c>
      <c r="I483">
        <v>1331.6038818</v>
      </c>
      <c r="J483">
        <v>1330.9357910000001</v>
      </c>
      <c r="K483">
        <v>0</v>
      </c>
      <c r="L483">
        <v>550</v>
      </c>
      <c r="M483">
        <v>550</v>
      </c>
      <c r="N483">
        <v>0</v>
      </c>
    </row>
    <row r="484" spans="1:14" x14ac:dyDescent="0.25">
      <c r="A484">
        <v>184.001093</v>
      </c>
      <c r="B484" s="1">
        <f>DATE(2010,11,1) + TIME(0,1,34)</f>
        <v>40483.001087962963</v>
      </c>
      <c r="C484">
        <v>80</v>
      </c>
      <c r="D484">
        <v>79.896957396999994</v>
      </c>
      <c r="E484">
        <v>60</v>
      </c>
      <c r="F484">
        <v>58.217895507999998</v>
      </c>
      <c r="G484">
        <v>1330.8250731999999</v>
      </c>
      <c r="H484">
        <v>1331.046875</v>
      </c>
      <c r="I484">
        <v>1331.847168</v>
      </c>
      <c r="J484">
        <v>1331.1549072</v>
      </c>
      <c r="K484">
        <v>0</v>
      </c>
      <c r="L484">
        <v>550</v>
      </c>
      <c r="M484">
        <v>550</v>
      </c>
      <c r="N484">
        <v>0</v>
      </c>
    </row>
    <row r="485" spans="1:14" x14ac:dyDescent="0.25">
      <c r="A485">
        <v>184.00327999999999</v>
      </c>
      <c r="B485" s="1">
        <f>DATE(2010,11,1) + TIME(0,4,43)</f>
        <v>40483.003275462965</v>
      </c>
      <c r="C485">
        <v>80</v>
      </c>
      <c r="D485">
        <v>79.896713257000002</v>
      </c>
      <c r="E485">
        <v>60</v>
      </c>
      <c r="F485">
        <v>58.219509125000002</v>
      </c>
      <c r="G485">
        <v>1330.7348632999999</v>
      </c>
      <c r="H485">
        <v>1330.9433594</v>
      </c>
      <c r="I485">
        <v>1331.9667969</v>
      </c>
      <c r="J485">
        <v>1331.2620850000001</v>
      </c>
      <c r="K485">
        <v>0</v>
      </c>
      <c r="L485">
        <v>550</v>
      </c>
      <c r="M485">
        <v>550</v>
      </c>
      <c r="N485">
        <v>0</v>
      </c>
    </row>
    <row r="486" spans="1:14" x14ac:dyDescent="0.25">
      <c r="A486">
        <v>184.00984099999999</v>
      </c>
      <c r="B486" s="1">
        <f>DATE(2010,11,1) + TIME(0,14,10)</f>
        <v>40483.009837962964</v>
      </c>
      <c r="C486">
        <v>80</v>
      </c>
      <c r="D486">
        <v>79.896011353000006</v>
      </c>
      <c r="E486">
        <v>60</v>
      </c>
      <c r="F486">
        <v>58.224311829000001</v>
      </c>
      <c r="G486">
        <v>1330.6968993999999</v>
      </c>
      <c r="H486">
        <v>1330.9017334</v>
      </c>
      <c r="I486">
        <v>1332.0048827999999</v>
      </c>
      <c r="J486">
        <v>1331.2963867000001</v>
      </c>
      <c r="K486">
        <v>0</v>
      </c>
      <c r="L486">
        <v>550</v>
      </c>
      <c r="M486">
        <v>550</v>
      </c>
      <c r="N486">
        <v>0</v>
      </c>
    </row>
    <row r="487" spans="1:14" x14ac:dyDescent="0.25">
      <c r="A487">
        <v>184.02952400000001</v>
      </c>
      <c r="B487" s="1">
        <f>DATE(2010,11,1) + TIME(0,42,30)</f>
        <v>40483.029513888891</v>
      </c>
      <c r="C487">
        <v>80</v>
      </c>
      <c r="D487">
        <v>79.893913268999995</v>
      </c>
      <c r="E487">
        <v>60</v>
      </c>
      <c r="F487">
        <v>58.238506317000002</v>
      </c>
      <c r="G487">
        <v>1330.6866454999999</v>
      </c>
      <c r="H487">
        <v>1330.8900146000001</v>
      </c>
      <c r="I487">
        <v>1332.0079346</v>
      </c>
      <c r="J487">
        <v>1331.2998047000001</v>
      </c>
      <c r="K487">
        <v>0</v>
      </c>
      <c r="L487">
        <v>550</v>
      </c>
      <c r="M487">
        <v>550</v>
      </c>
      <c r="N487">
        <v>0</v>
      </c>
    </row>
    <row r="488" spans="1:14" x14ac:dyDescent="0.25">
      <c r="A488">
        <v>184.088573</v>
      </c>
      <c r="B488" s="1">
        <f>DATE(2010,11,1) + TIME(2,7,32)</f>
        <v>40483.088564814818</v>
      </c>
      <c r="C488">
        <v>80</v>
      </c>
      <c r="D488">
        <v>79.887649535999998</v>
      </c>
      <c r="E488">
        <v>60</v>
      </c>
      <c r="F488">
        <v>58.279277802000003</v>
      </c>
      <c r="G488">
        <v>1330.6848144999999</v>
      </c>
      <c r="H488">
        <v>1330.8846435999999</v>
      </c>
      <c r="I488">
        <v>1332.0014647999999</v>
      </c>
      <c r="J488">
        <v>1331.2966309000001</v>
      </c>
      <c r="K488">
        <v>0</v>
      </c>
      <c r="L488">
        <v>550</v>
      </c>
      <c r="M488">
        <v>550</v>
      </c>
      <c r="N488">
        <v>0</v>
      </c>
    </row>
    <row r="489" spans="1:14" x14ac:dyDescent="0.25">
      <c r="A489">
        <v>184.19127800000001</v>
      </c>
      <c r="B489" s="1">
        <f>DATE(2010,11,1) + TIME(4,35,26)</f>
        <v>40483.19127314815</v>
      </c>
      <c r="C489">
        <v>80</v>
      </c>
      <c r="D489">
        <v>79.876792907999999</v>
      </c>
      <c r="E489">
        <v>60</v>
      </c>
      <c r="F489">
        <v>58.345691680999998</v>
      </c>
      <c r="G489">
        <v>1330.6833495999999</v>
      </c>
      <c r="H489">
        <v>1330.8742675999999</v>
      </c>
      <c r="I489">
        <v>1332</v>
      </c>
      <c r="J489">
        <v>1331.2969971</v>
      </c>
      <c r="K489">
        <v>0</v>
      </c>
      <c r="L489">
        <v>550</v>
      </c>
      <c r="M489">
        <v>550</v>
      </c>
      <c r="N489">
        <v>0</v>
      </c>
    </row>
    <row r="490" spans="1:14" x14ac:dyDescent="0.25">
      <c r="A490">
        <v>184.29638499999999</v>
      </c>
      <c r="B490" s="1">
        <f>DATE(2010,11,1) + TIME(7,6,47)</f>
        <v>40483.296377314815</v>
      </c>
      <c r="C490">
        <v>80</v>
      </c>
      <c r="D490">
        <v>79.865699767999999</v>
      </c>
      <c r="E490">
        <v>60</v>
      </c>
      <c r="F490">
        <v>58.410312652999998</v>
      </c>
      <c r="G490">
        <v>1330.6812743999999</v>
      </c>
      <c r="H490">
        <v>1330.8576660000001</v>
      </c>
      <c r="I490">
        <v>1332.0147704999999</v>
      </c>
      <c r="J490">
        <v>1331.3071289</v>
      </c>
      <c r="K490">
        <v>0</v>
      </c>
      <c r="L490">
        <v>550</v>
      </c>
      <c r="M490">
        <v>550</v>
      </c>
      <c r="N490">
        <v>0</v>
      </c>
    </row>
    <row r="491" spans="1:14" x14ac:dyDescent="0.25">
      <c r="A491">
        <v>184.40369200000001</v>
      </c>
      <c r="B491" s="1">
        <f>DATE(2010,11,1) + TIME(9,41,19)</f>
        <v>40483.403692129628</v>
      </c>
      <c r="C491">
        <v>80</v>
      </c>
      <c r="D491">
        <v>79.854393005000006</v>
      </c>
      <c r="E491">
        <v>60</v>
      </c>
      <c r="F491">
        <v>58.473072051999999</v>
      </c>
      <c r="G491">
        <v>1330.6784668</v>
      </c>
      <c r="H491">
        <v>1330.8428954999999</v>
      </c>
      <c r="I491">
        <v>1332.0321045000001</v>
      </c>
      <c r="J491">
        <v>1331.3187256000001</v>
      </c>
      <c r="K491">
        <v>0</v>
      </c>
      <c r="L491">
        <v>550</v>
      </c>
      <c r="M491">
        <v>550</v>
      </c>
      <c r="N491">
        <v>0</v>
      </c>
    </row>
    <row r="492" spans="1:14" x14ac:dyDescent="0.25">
      <c r="A492">
        <v>184.512663</v>
      </c>
      <c r="B492" s="1">
        <f>DATE(2010,11,1) + TIME(12,18,14)</f>
        <v>40483.512662037036</v>
      </c>
      <c r="C492">
        <v>80</v>
      </c>
      <c r="D492">
        <v>79.842918396000002</v>
      </c>
      <c r="E492">
        <v>60</v>
      </c>
      <c r="F492">
        <v>58.533756255999997</v>
      </c>
      <c r="G492">
        <v>1330.6750488</v>
      </c>
      <c r="H492">
        <v>1330.8293457</v>
      </c>
      <c r="I492">
        <v>1332.0518798999999</v>
      </c>
      <c r="J492">
        <v>1331.3319091999999</v>
      </c>
      <c r="K492">
        <v>0</v>
      </c>
      <c r="L492">
        <v>550</v>
      </c>
      <c r="M492">
        <v>550</v>
      </c>
      <c r="N492">
        <v>0</v>
      </c>
    </row>
    <row r="493" spans="1:14" x14ac:dyDescent="0.25">
      <c r="A493">
        <v>184.623279</v>
      </c>
      <c r="B493" s="1">
        <f>DATE(2010,11,1) + TIME(14,57,31)</f>
        <v>40483.62327546296</v>
      </c>
      <c r="C493">
        <v>80</v>
      </c>
      <c r="D493">
        <v>79.831275939999998</v>
      </c>
      <c r="E493">
        <v>60</v>
      </c>
      <c r="F493">
        <v>58.592449188000003</v>
      </c>
      <c r="G493">
        <v>1330.6717529</v>
      </c>
      <c r="H493">
        <v>1330.8157959</v>
      </c>
      <c r="I493">
        <v>1332.0738524999999</v>
      </c>
      <c r="J493">
        <v>1331.3464355000001</v>
      </c>
      <c r="K493">
        <v>0</v>
      </c>
      <c r="L493">
        <v>550</v>
      </c>
      <c r="M493">
        <v>550</v>
      </c>
      <c r="N493">
        <v>0</v>
      </c>
    </row>
    <row r="494" spans="1:14" x14ac:dyDescent="0.25">
      <c r="A494">
        <v>184.735511</v>
      </c>
      <c r="B494" s="1">
        <f>DATE(2010,11,1) + TIME(17,39,8)</f>
        <v>40483.735509259262</v>
      </c>
      <c r="C494">
        <v>80</v>
      </c>
      <c r="D494">
        <v>79.819473267000006</v>
      </c>
      <c r="E494">
        <v>60</v>
      </c>
      <c r="F494">
        <v>58.649230957</v>
      </c>
      <c r="G494">
        <v>1330.668457</v>
      </c>
      <c r="H494">
        <v>1330.8023682</v>
      </c>
      <c r="I494">
        <v>1332.0979004000001</v>
      </c>
      <c r="J494">
        <v>1331.3624268000001</v>
      </c>
      <c r="K494">
        <v>0</v>
      </c>
      <c r="L494">
        <v>550</v>
      </c>
      <c r="M494">
        <v>550</v>
      </c>
      <c r="N494">
        <v>0</v>
      </c>
    </row>
    <row r="495" spans="1:14" x14ac:dyDescent="0.25">
      <c r="A495">
        <v>184.84919400000001</v>
      </c>
      <c r="B495" s="1">
        <f>DATE(2010,11,1) + TIME(20,22,50)</f>
        <v>40483.849189814813</v>
      </c>
      <c r="C495">
        <v>80</v>
      </c>
      <c r="D495">
        <v>79.807518005000006</v>
      </c>
      <c r="E495">
        <v>60</v>
      </c>
      <c r="F495">
        <v>58.704101561999998</v>
      </c>
      <c r="G495">
        <v>1330.6654053</v>
      </c>
      <c r="H495">
        <v>1330.7890625</v>
      </c>
      <c r="I495">
        <v>1332.1239014</v>
      </c>
      <c r="J495">
        <v>1331.3796387</v>
      </c>
      <c r="K495">
        <v>0</v>
      </c>
      <c r="L495">
        <v>550</v>
      </c>
      <c r="M495">
        <v>550</v>
      </c>
      <c r="N495">
        <v>0</v>
      </c>
    </row>
    <row r="496" spans="1:14" x14ac:dyDescent="0.25">
      <c r="A496">
        <v>184.96441100000001</v>
      </c>
      <c r="B496" s="1">
        <f>DATE(2010,11,1) + TIME(23,8,45)</f>
        <v>40483.964409722219</v>
      </c>
      <c r="C496">
        <v>80</v>
      </c>
      <c r="D496">
        <v>79.795402526999993</v>
      </c>
      <c r="E496">
        <v>60</v>
      </c>
      <c r="F496">
        <v>58.757179260000001</v>
      </c>
      <c r="G496">
        <v>1330.6623535000001</v>
      </c>
      <c r="H496">
        <v>1330.7758789</v>
      </c>
      <c r="I496">
        <v>1332.1516113</v>
      </c>
      <c r="J496">
        <v>1331.3978271000001</v>
      </c>
      <c r="K496">
        <v>0</v>
      </c>
      <c r="L496">
        <v>550</v>
      </c>
      <c r="M496">
        <v>550</v>
      </c>
      <c r="N496">
        <v>0</v>
      </c>
    </row>
    <row r="497" spans="1:14" x14ac:dyDescent="0.25">
      <c r="A497">
        <v>185.081219</v>
      </c>
      <c r="B497" s="1">
        <f>DATE(2010,11,2) + TIME(1,56,57)</f>
        <v>40484.08121527778</v>
      </c>
      <c r="C497">
        <v>80</v>
      </c>
      <c r="D497">
        <v>79.783111571999996</v>
      </c>
      <c r="E497">
        <v>60</v>
      </c>
      <c r="F497">
        <v>58.808567046999997</v>
      </c>
      <c r="G497">
        <v>1330.6593018000001</v>
      </c>
      <c r="H497">
        <v>1330.7626952999999</v>
      </c>
      <c r="I497">
        <v>1332.1809082</v>
      </c>
      <c r="J497">
        <v>1331.4172363</v>
      </c>
      <c r="K497">
        <v>0</v>
      </c>
      <c r="L497">
        <v>550</v>
      </c>
      <c r="M497">
        <v>550</v>
      </c>
      <c r="N497">
        <v>0</v>
      </c>
    </row>
    <row r="498" spans="1:14" x14ac:dyDescent="0.25">
      <c r="A498">
        <v>185.199693</v>
      </c>
      <c r="B498" s="1">
        <f>DATE(2010,11,2) + TIME(4,47,33)</f>
        <v>40484.199687499997</v>
      </c>
      <c r="C498">
        <v>80</v>
      </c>
      <c r="D498">
        <v>79.770645142000006</v>
      </c>
      <c r="E498">
        <v>60</v>
      </c>
      <c r="F498">
        <v>58.858348845999998</v>
      </c>
      <c r="G498">
        <v>1330.6564940999999</v>
      </c>
      <c r="H498">
        <v>1330.7496338000001</v>
      </c>
      <c r="I498">
        <v>1332.2117920000001</v>
      </c>
      <c r="J498">
        <v>1331.4375</v>
      </c>
      <c r="K498">
        <v>0</v>
      </c>
      <c r="L498">
        <v>550</v>
      </c>
      <c r="M498">
        <v>550</v>
      </c>
      <c r="N498">
        <v>0</v>
      </c>
    </row>
    <row r="499" spans="1:14" x14ac:dyDescent="0.25">
      <c r="A499">
        <v>185.31990999999999</v>
      </c>
      <c r="B499" s="1">
        <f>DATE(2010,11,2) + TIME(7,40,40)</f>
        <v>40484.319907407407</v>
      </c>
      <c r="C499">
        <v>80</v>
      </c>
      <c r="D499">
        <v>79.757980347</v>
      </c>
      <c r="E499">
        <v>60</v>
      </c>
      <c r="F499">
        <v>58.906608581999997</v>
      </c>
      <c r="G499">
        <v>1330.6535644999999</v>
      </c>
      <c r="H499">
        <v>1330.7366943</v>
      </c>
      <c r="I499">
        <v>1332.2440185999999</v>
      </c>
      <c r="J499">
        <v>1331.4587402</v>
      </c>
      <c r="K499">
        <v>0</v>
      </c>
      <c r="L499">
        <v>550</v>
      </c>
      <c r="M499">
        <v>550</v>
      </c>
      <c r="N499">
        <v>0</v>
      </c>
    </row>
    <row r="500" spans="1:14" x14ac:dyDescent="0.25">
      <c r="A500">
        <v>185.44197299999999</v>
      </c>
      <c r="B500" s="1">
        <f>DATE(2010,11,2) + TIME(10,36,26)</f>
        <v>40484.441967592589</v>
      </c>
      <c r="C500">
        <v>80</v>
      </c>
      <c r="D500">
        <v>79.745117187999995</v>
      </c>
      <c r="E500">
        <v>60</v>
      </c>
      <c r="F500">
        <v>58.953433990000001</v>
      </c>
      <c r="G500">
        <v>1330.6508789</v>
      </c>
      <c r="H500">
        <v>1330.7237548999999</v>
      </c>
      <c r="I500">
        <v>1332.2774658000001</v>
      </c>
      <c r="J500">
        <v>1331.4808350000001</v>
      </c>
      <c r="K500">
        <v>0</v>
      </c>
      <c r="L500">
        <v>550</v>
      </c>
      <c r="M500">
        <v>550</v>
      </c>
      <c r="N500">
        <v>0</v>
      </c>
    </row>
    <row r="501" spans="1:14" x14ac:dyDescent="0.25">
      <c r="A501">
        <v>185.56601800000001</v>
      </c>
      <c r="B501" s="1">
        <f>DATE(2010,11,2) + TIME(13,35,3)</f>
        <v>40484.566006944442</v>
      </c>
      <c r="C501">
        <v>80</v>
      </c>
      <c r="D501">
        <v>79.732025145999998</v>
      </c>
      <c r="E501">
        <v>60</v>
      </c>
      <c r="F501">
        <v>58.998897552000003</v>
      </c>
      <c r="G501">
        <v>1330.6480713000001</v>
      </c>
      <c r="H501">
        <v>1330.7109375</v>
      </c>
      <c r="I501">
        <v>1332.3120117000001</v>
      </c>
      <c r="J501">
        <v>1331.5036620999999</v>
      </c>
      <c r="K501">
        <v>0</v>
      </c>
      <c r="L501">
        <v>550</v>
      </c>
      <c r="M501">
        <v>550</v>
      </c>
      <c r="N501">
        <v>0</v>
      </c>
    </row>
    <row r="502" spans="1:14" x14ac:dyDescent="0.25">
      <c r="A502">
        <v>185.69219200000001</v>
      </c>
      <c r="B502" s="1">
        <f>DATE(2010,11,2) + TIME(16,36,45)</f>
        <v>40484.692187499997</v>
      </c>
      <c r="C502">
        <v>80</v>
      </c>
      <c r="D502">
        <v>79.718696593999994</v>
      </c>
      <c r="E502">
        <v>60</v>
      </c>
      <c r="F502">
        <v>59.043083191000001</v>
      </c>
      <c r="G502">
        <v>1330.6453856999999</v>
      </c>
      <c r="H502">
        <v>1330.6981201000001</v>
      </c>
      <c r="I502">
        <v>1332.3477783000001</v>
      </c>
      <c r="J502">
        <v>1331.5272216999999</v>
      </c>
      <c r="K502">
        <v>0</v>
      </c>
      <c r="L502">
        <v>550</v>
      </c>
      <c r="M502">
        <v>550</v>
      </c>
      <c r="N502">
        <v>0</v>
      </c>
    </row>
    <row r="503" spans="1:14" x14ac:dyDescent="0.25">
      <c r="A503">
        <v>185.82066499999999</v>
      </c>
      <c r="B503" s="1">
        <f>DATE(2010,11,2) + TIME(19,41,45)</f>
        <v>40484.820659722223</v>
      </c>
      <c r="C503">
        <v>80</v>
      </c>
      <c r="D503">
        <v>79.705101013000004</v>
      </c>
      <c r="E503">
        <v>60</v>
      </c>
      <c r="F503">
        <v>59.086059570000003</v>
      </c>
      <c r="G503">
        <v>1330.6427002</v>
      </c>
      <c r="H503">
        <v>1330.6853027</v>
      </c>
      <c r="I503">
        <v>1332.3843993999999</v>
      </c>
      <c r="J503">
        <v>1331.5513916</v>
      </c>
      <c r="K503">
        <v>0</v>
      </c>
      <c r="L503">
        <v>550</v>
      </c>
      <c r="M503">
        <v>550</v>
      </c>
      <c r="N503">
        <v>0</v>
      </c>
    </row>
    <row r="504" spans="1:14" x14ac:dyDescent="0.25">
      <c r="A504">
        <v>185.95163400000001</v>
      </c>
      <c r="B504" s="1">
        <f>DATE(2010,11,2) + TIME(22,50,21)</f>
        <v>40484.951631944445</v>
      </c>
      <c r="C504">
        <v>80</v>
      </c>
      <c r="D504">
        <v>79.691215514999996</v>
      </c>
      <c r="E504">
        <v>60</v>
      </c>
      <c r="F504">
        <v>59.127891540999997</v>
      </c>
      <c r="G504">
        <v>1330.6401367000001</v>
      </c>
      <c r="H504">
        <v>1330.6724853999999</v>
      </c>
      <c r="I504">
        <v>1332.421875</v>
      </c>
      <c r="J504">
        <v>1331.5761719</v>
      </c>
      <c r="K504">
        <v>0</v>
      </c>
      <c r="L504">
        <v>550</v>
      </c>
      <c r="M504">
        <v>550</v>
      </c>
      <c r="N504">
        <v>0</v>
      </c>
    </row>
    <row r="505" spans="1:14" x14ac:dyDescent="0.25">
      <c r="A505">
        <v>186.08532199999999</v>
      </c>
      <c r="B505" s="1">
        <f>DATE(2010,11,3) + TIME(2,2,51)</f>
        <v>40485.085312499999</v>
      </c>
      <c r="C505">
        <v>80</v>
      </c>
      <c r="D505">
        <v>79.677024841000005</v>
      </c>
      <c r="E505">
        <v>60</v>
      </c>
      <c r="F505">
        <v>59.168640136999997</v>
      </c>
      <c r="G505">
        <v>1330.6374512</v>
      </c>
      <c r="H505">
        <v>1330.659668</v>
      </c>
      <c r="I505">
        <v>1332.4602050999999</v>
      </c>
      <c r="J505">
        <v>1331.6014404</v>
      </c>
      <c r="K505">
        <v>0</v>
      </c>
      <c r="L505">
        <v>550</v>
      </c>
      <c r="M505">
        <v>550</v>
      </c>
      <c r="N505">
        <v>0</v>
      </c>
    </row>
    <row r="506" spans="1:14" x14ac:dyDescent="0.25">
      <c r="A506">
        <v>186.22199000000001</v>
      </c>
      <c r="B506" s="1">
        <f>DATE(2010,11,3) + TIME(5,19,39)</f>
        <v>40485.221979166665</v>
      </c>
      <c r="C506">
        <v>80</v>
      </c>
      <c r="D506">
        <v>79.662483214999995</v>
      </c>
      <c r="E506">
        <v>60</v>
      </c>
      <c r="F506">
        <v>59.208374022999998</v>
      </c>
      <c r="G506">
        <v>1330.6348877</v>
      </c>
      <c r="H506">
        <v>1330.6468506000001</v>
      </c>
      <c r="I506">
        <v>1332.4991454999999</v>
      </c>
      <c r="J506">
        <v>1331.6271973</v>
      </c>
      <c r="K506">
        <v>0</v>
      </c>
      <c r="L506">
        <v>550</v>
      </c>
      <c r="M506">
        <v>550</v>
      </c>
      <c r="N506">
        <v>0</v>
      </c>
    </row>
    <row r="507" spans="1:14" x14ac:dyDescent="0.25">
      <c r="A507">
        <v>186.36193599999999</v>
      </c>
      <c r="B507" s="1">
        <f>DATE(2010,11,3) + TIME(8,41,11)</f>
        <v>40485.361932870372</v>
      </c>
      <c r="C507">
        <v>80</v>
      </c>
      <c r="D507">
        <v>79.647567749000004</v>
      </c>
      <c r="E507">
        <v>60</v>
      </c>
      <c r="F507">
        <v>59.247142791999998</v>
      </c>
      <c r="G507">
        <v>1330.6322021000001</v>
      </c>
      <c r="H507">
        <v>1330.6339111</v>
      </c>
      <c r="I507">
        <v>1332.5388184000001</v>
      </c>
      <c r="J507">
        <v>1331.6534423999999</v>
      </c>
      <c r="K507">
        <v>0</v>
      </c>
      <c r="L507">
        <v>550</v>
      </c>
      <c r="M507">
        <v>550</v>
      </c>
      <c r="N507">
        <v>0</v>
      </c>
    </row>
    <row r="508" spans="1:14" x14ac:dyDescent="0.25">
      <c r="A508">
        <v>186.50549899999999</v>
      </c>
      <c r="B508" s="1">
        <f>DATE(2010,11,3) + TIME(12,7,55)</f>
        <v>40485.505497685182</v>
      </c>
      <c r="C508">
        <v>80</v>
      </c>
      <c r="D508">
        <v>79.632194518999995</v>
      </c>
      <c r="E508">
        <v>60</v>
      </c>
      <c r="F508">
        <v>59.285003662000001</v>
      </c>
      <c r="G508">
        <v>1330.6260986</v>
      </c>
      <c r="H508">
        <v>1330.6223144999999</v>
      </c>
      <c r="I508">
        <v>1332.5789795000001</v>
      </c>
      <c r="J508">
        <v>1331.6799315999999</v>
      </c>
      <c r="K508">
        <v>0</v>
      </c>
      <c r="L508">
        <v>550</v>
      </c>
      <c r="M508">
        <v>550</v>
      </c>
      <c r="N508">
        <v>0</v>
      </c>
    </row>
    <row r="509" spans="1:14" x14ac:dyDescent="0.25">
      <c r="A509">
        <v>186.65305900000001</v>
      </c>
      <c r="B509" s="1">
        <f>DATE(2010,11,3) + TIME(15,40,24)</f>
        <v>40485.653055555558</v>
      </c>
      <c r="C509">
        <v>80</v>
      </c>
      <c r="D509">
        <v>79.616310119999994</v>
      </c>
      <c r="E509">
        <v>60</v>
      </c>
      <c r="F509">
        <v>59.321994781000001</v>
      </c>
      <c r="G509">
        <v>1330.6193848</v>
      </c>
      <c r="H509">
        <v>1330.6110839999999</v>
      </c>
      <c r="I509">
        <v>1332.619751</v>
      </c>
      <c r="J509">
        <v>1331.7069091999999</v>
      </c>
      <c r="K509">
        <v>0</v>
      </c>
      <c r="L509">
        <v>550</v>
      </c>
      <c r="M509">
        <v>550</v>
      </c>
      <c r="N509">
        <v>0</v>
      </c>
    </row>
    <row r="510" spans="1:14" x14ac:dyDescent="0.25">
      <c r="A510">
        <v>186.805047</v>
      </c>
      <c r="B510" s="1">
        <f>DATE(2010,11,3) + TIME(19,19,16)</f>
        <v>40485.805046296293</v>
      </c>
      <c r="C510">
        <v>80</v>
      </c>
      <c r="D510">
        <v>79.599876404</v>
      </c>
      <c r="E510">
        <v>60</v>
      </c>
      <c r="F510">
        <v>59.358158111999998</v>
      </c>
      <c r="G510">
        <v>1330.6124268000001</v>
      </c>
      <c r="H510">
        <v>1330.5996094</v>
      </c>
      <c r="I510">
        <v>1332.6608887</v>
      </c>
      <c r="J510">
        <v>1331.7341309000001</v>
      </c>
      <c r="K510">
        <v>0</v>
      </c>
      <c r="L510">
        <v>550</v>
      </c>
      <c r="M510">
        <v>550</v>
      </c>
      <c r="N510">
        <v>0</v>
      </c>
    </row>
    <row r="511" spans="1:14" x14ac:dyDescent="0.25">
      <c r="A511">
        <v>186.96201300000001</v>
      </c>
      <c r="B511" s="1">
        <f>DATE(2010,11,3) + TIME(23,5,17)</f>
        <v>40485.962002314816</v>
      </c>
      <c r="C511">
        <v>80</v>
      </c>
      <c r="D511">
        <v>79.582809448000006</v>
      </c>
      <c r="E511">
        <v>60</v>
      </c>
      <c r="F511">
        <v>59.393531799000002</v>
      </c>
      <c r="G511">
        <v>1330.6054687999999</v>
      </c>
      <c r="H511">
        <v>1330.5881348</v>
      </c>
      <c r="I511">
        <v>1332.7025146000001</v>
      </c>
      <c r="J511">
        <v>1331.7615966999999</v>
      </c>
      <c r="K511">
        <v>0</v>
      </c>
      <c r="L511">
        <v>550</v>
      </c>
      <c r="M511">
        <v>550</v>
      </c>
      <c r="N511">
        <v>0</v>
      </c>
    </row>
    <row r="512" spans="1:14" x14ac:dyDescent="0.25">
      <c r="A512">
        <v>187.124573</v>
      </c>
      <c r="B512" s="1">
        <f>DATE(2010,11,4) + TIME(2,59,23)</f>
        <v>40486.124571759261</v>
      </c>
      <c r="C512">
        <v>80</v>
      </c>
      <c r="D512">
        <v>79.565032959000007</v>
      </c>
      <c r="E512">
        <v>60</v>
      </c>
      <c r="F512">
        <v>59.428146362</v>
      </c>
      <c r="G512">
        <v>1330.5985106999999</v>
      </c>
      <c r="H512">
        <v>1330.5764160000001</v>
      </c>
      <c r="I512">
        <v>1332.7443848</v>
      </c>
      <c r="J512">
        <v>1331.7894286999999</v>
      </c>
      <c r="K512">
        <v>0</v>
      </c>
      <c r="L512">
        <v>550</v>
      </c>
      <c r="M512">
        <v>550</v>
      </c>
      <c r="N512">
        <v>0</v>
      </c>
    </row>
    <row r="513" spans="1:14" x14ac:dyDescent="0.25">
      <c r="A513">
        <v>187.29344800000001</v>
      </c>
      <c r="B513" s="1">
        <f>DATE(2010,11,4) + TIME(7,2,33)</f>
        <v>40486.293437499997</v>
      </c>
      <c r="C513">
        <v>80</v>
      </c>
      <c r="D513">
        <v>79.546455382999994</v>
      </c>
      <c r="E513">
        <v>60</v>
      </c>
      <c r="F513">
        <v>59.462036132999998</v>
      </c>
      <c r="G513">
        <v>1330.5913086</v>
      </c>
      <c r="H513">
        <v>1330.5644531</v>
      </c>
      <c r="I513">
        <v>1332.7866211</v>
      </c>
      <c r="J513">
        <v>1331.8173827999999</v>
      </c>
      <c r="K513">
        <v>0</v>
      </c>
      <c r="L513">
        <v>550</v>
      </c>
      <c r="M513">
        <v>550</v>
      </c>
      <c r="N513">
        <v>0</v>
      </c>
    </row>
    <row r="514" spans="1:14" x14ac:dyDescent="0.25">
      <c r="A514">
        <v>187.469494</v>
      </c>
      <c r="B514" s="1">
        <f>DATE(2010,11,4) + TIME(11,16,4)</f>
        <v>40486.469490740739</v>
      </c>
      <c r="C514">
        <v>80</v>
      </c>
      <c r="D514">
        <v>79.526901245000005</v>
      </c>
      <c r="E514">
        <v>60</v>
      </c>
      <c r="F514">
        <v>59.495208740000002</v>
      </c>
      <c r="G514">
        <v>1330.5838623</v>
      </c>
      <c r="H514">
        <v>1330.5522461</v>
      </c>
      <c r="I514">
        <v>1332.8291016000001</v>
      </c>
      <c r="J514">
        <v>1331.8455810999999</v>
      </c>
      <c r="K514">
        <v>0</v>
      </c>
      <c r="L514">
        <v>550</v>
      </c>
      <c r="M514">
        <v>550</v>
      </c>
      <c r="N514">
        <v>0</v>
      </c>
    </row>
    <row r="515" spans="1:14" x14ac:dyDescent="0.25">
      <c r="A515">
        <v>187.653739</v>
      </c>
      <c r="B515" s="1">
        <f>DATE(2010,11,4) + TIME(15,41,23)</f>
        <v>40486.653738425928</v>
      </c>
      <c r="C515">
        <v>80</v>
      </c>
      <c r="D515">
        <v>79.506210327000005</v>
      </c>
      <c r="E515">
        <v>60</v>
      </c>
      <c r="F515">
        <v>59.527683258000003</v>
      </c>
      <c r="G515">
        <v>1330.5762939000001</v>
      </c>
      <c r="H515">
        <v>1330.5397949000001</v>
      </c>
      <c r="I515">
        <v>1332.8717041</v>
      </c>
      <c r="J515">
        <v>1331.8739014</v>
      </c>
      <c r="K515">
        <v>0</v>
      </c>
      <c r="L515">
        <v>550</v>
      </c>
      <c r="M515">
        <v>550</v>
      </c>
      <c r="N515">
        <v>0</v>
      </c>
    </row>
    <row r="516" spans="1:14" x14ac:dyDescent="0.25">
      <c r="A516">
        <v>187.84742299999999</v>
      </c>
      <c r="B516" s="1">
        <f>DATE(2010,11,4) + TIME(20,20,17)</f>
        <v>40486.847418981481</v>
      </c>
      <c r="C516">
        <v>80</v>
      </c>
      <c r="D516">
        <v>79.484214782999999</v>
      </c>
      <c r="E516">
        <v>60</v>
      </c>
      <c r="F516">
        <v>59.559463501000003</v>
      </c>
      <c r="G516">
        <v>1330.5684814000001</v>
      </c>
      <c r="H516">
        <v>1330.5269774999999</v>
      </c>
      <c r="I516">
        <v>1332.9145507999999</v>
      </c>
      <c r="J516">
        <v>1331.9023437999999</v>
      </c>
      <c r="K516">
        <v>0</v>
      </c>
      <c r="L516">
        <v>550</v>
      </c>
      <c r="M516">
        <v>550</v>
      </c>
      <c r="N516">
        <v>0</v>
      </c>
    </row>
    <row r="517" spans="1:14" x14ac:dyDescent="0.25">
      <c r="A517">
        <v>188.051298</v>
      </c>
      <c r="B517" s="1">
        <f>DATE(2010,11,5) + TIME(1,13,52)</f>
        <v>40487.051296296297</v>
      </c>
      <c r="C517">
        <v>80</v>
      </c>
      <c r="D517">
        <v>79.460792541999993</v>
      </c>
      <c r="E517">
        <v>60</v>
      </c>
      <c r="F517">
        <v>59.590442656999997</v>
      </c>
      <c r="G517">
        <v>1330.5603027</v>
      </c>
      <c r="H517">
        <v>1330.5137939000001</v>
      </c>
      <c r="I517">
        <v>1332.9575195</v>
      </c>
      <c r="J517">
        <v>1331.9309082</v>
      </c>
      <c r="K517">
        <v>0</v>
      </c>
      <c r="L517">
        <v>550</v>
      </c>
      <c r="M517">
        <v>550</v>
      </c>
      <c r="N517">
        <v>0</v>
      </c>
    </row>
    <row r="518" spans="1:14" x14ac:dyDescent="0.25">
      <c r="A518">
        <v>188.265377</v>
      </c>
      <c r="B518" s="1">
        <f>DATE(2010,11,5) + TIME(6,22,8)</f>
        <v>40487.265370370369</v>
      </c>
      <c r="C518">
        <v>80</v>
      </c>
      <c r="D518">
        <v>79.435897827000005</v>
      </c>
      <c r="E518">
        <v>60</v>
      </c>
      <c r="F518">
        <v>59.620403289999999</v>
      </c>
      <c r="G518">
        <v>1330.5518798999999</v>
      </c>
      <c r="H518">
        <v>1330.5001221</v>
      </c>
      <c r="I518">
        <v>1333.0003661999999</v>
      </c>
      <c r="J518">
        <v>1331.9594727000001</v>
      </c>
      <c r="K518">
        <v>0</v>
      </c>
      <c r="L518">
        <v>550</v>
      </c>
      <c r="M518">
        <v>550</v>
      </c>
      <c r="N518">
        <v>0</v>
      </c>
    </row>
    <row r="519" spans="1:14" x14ac:dyDescent="0.25">
      <c r="A519">
        <v>188.49100100000001</v>
      </c>
      <c r="B519" s="1">
        <f>DATE(2010,11,5) + TIME(11,47,2)</f>
        <v>40487.490995370368</v>
      </c>
      <c r="C519">
        <v>80</v>
      </c>
      <c r="D519">
        <v>79.409324646000002</v>
      </c>
      <c r="E519">
        <v>60</v>
      </c>
      <c r="F519">
        <v>59.649250031000001</v>
      </c>
      <c r="G519">
        <v>1330.5429687999999</v>
      </c>
      <c r="H519">
        <v>1330.4859618999999</v>
      </c>
      <c r="I519">
        <v>1333.0399170000001</v>
      </c>
      <c r="J519">
        <v>1331.9857178</v>
      </c>
      <c r="K519">
        <v>0</v>
      </c>
      <c r="L519">
        <v>550</v>
      </c>
      <c r="M519">
        <v>550</v>
      </c>
      <c r="N519">
        <v>0</v>
      </c>
    </row>
    <row r="520" spans="1:14" x14ac:dyDescent="0.25">
      <c r="A520">
        <v>188.730163</v>
      </c>
      <c r="B520" s="1">
        <f>DATE(2010,11,5) + TIME(17,31,26)</f>
        <v>40487.730162037034</v>
      </c>
      <c r="C520">
        <v>80</v>
      </c>
      <c r="D520">
        <v>79.380798339999998</v>
      </c>
      <c r="E520">
        <v>60</v>
      </c>
      <c r="F520">
        <v>59.676971436000002</v>
      </c>
      <c r="G520">
        <v>1330.5338135</v>
      </c>
      <c r="H520">
        <v>1330.4713135</v>
      </c>
      <c r="I520">
        <v>1333.0787353999999</v>
      </c>
      <c r="J520">
        <v>1332.0115966999999</v>
      </c>
      <c r="K520">
        <v>0</v>
      </c>
      <c r="L520">
        <v>550</v>
      </c>
      <c r="M520">
        <v>550</v>
      </c>
      <c r="N520">
        <v>0</v>
      </c>
    </row>
    <row r="521" spans="1:14" x14ac:dyDescent="0.25">
      <c r="A521">
        <v>188.984859</v>
      </c>
      <c r="B521" s="1">
        <f>DATE(2010,11,5) + TIME(23,38,11)</f>
        <v>40487.984849537039</v>
      </c>
      <c r="C521">
        <v>80</v>
      </c>
      <c r="D521">
        <v>79.350013732999997</v>
      </c>
      <c r="E521">
        <v>60</v>
      </c>
      <c r="F521">
        <v>59.703498840000002</v>
      </c>
      <c r="G521">
        <v>1330.5240478999999</v>
      </c>
      <c r="H521">
        <v>1330.4560547000001</v>
      </c>
      <c r="I521">
        <v>1333.1170654</v>
      </c>
      <c r="J521">
        <v>1332.0372314000001</v>
      </c>
      <c r="K521">
        <v>0</v>
      </c>
      <c r="L521">
        <v>550</v>
      </c>
      <c r="M521">
        <v>550</v>
      </c>
      <c r="N521">
        <v>0</v>
      </c>
    </row>
    <row r="522" spans="1:14" x14ac:dyDescent="0.25">
      <c r="A522">
        <v>189.24333300000001</v>
      </c>
      <c r="B522" s="1">
        <f>DATE(2010,11,6) + TIME(5,50,23)</f>
        <v>40488.243321759262</v>
      </c>
      <c r="C522">
        <v>80</v>
      </c>
      <c r="D522">
        <v>79.318321228000002</v>
      </c>
      <c r="E522">
        <v>60</v>
      </c>
      <c r="F522">
        <v>59.727596282999997</v>
      </c>
      <c r="G522">
        <v>1330.5137939000001</v>
      </c>
      <c r="H522">
        <v>1330.4400635</v>
      </c>
      <c r="I522">
        <v>1333.1524658000001</v>
      </c>
      <c r="J522">
        <v>1332.0607910000001</v>
      </c>
      <c r="K522">
        <v>0</v>
      </c>
      <c r="L522">
        <v>550</v>
      </c>
      <c r="M522">
        <v>550</v>
      </c>
      <c r="N522">
        <v>0</v>
      </c>
    </row>
    <row r="523" spans="1:14" x14ac:dyDescent="0.25">
      <c r="A523">
        <v>189.37376800000001</v>
      </c>
      <c r="B523" s="1">
        <f>DATE(2010,11,6) + TIME(8,58,13)</f>
        <v>40488.373761574076</v>
      </c>
      <c r="C523">
        <v>80</v>
      </c>
      <c r="D523">
        <v>79.301994324000006</v>
      </c>
      <c r="E523">
        <v>60</v>
      </c>
      <c r="F523">
        <v>59.739246368000003</v>
      </c>
      <c r="G523">
        <v>1330.5037841999999</v>
      </c>
      <c r="H523">
        <v>1330.4246826000001</v>
      </c>
      <c r="I523">
        <v>1333.1860352000001</v>
      </c>
      <c r="J523">
        <v>1332.0822754000001</v>
      </c>
      <c r="K523">
        <v>0</v>
      </c>
      <c r="L523">
        <v>550</v>
      </c>
      <c r="M523">
        <v>550</v>
      </c>
      <c r="N523">
        <v>0</v>
      </c>
    </row>
    <row r="524" spans="1:14" x14ac:dyDescent="0.25">
      <c r="A524">
        <v>189.50420399999999</v>
      </c>
      <c r="B524" s="1">
        <f>DATE(2010,11,6) + TIME(12,6,3)</f>
        <v>40488.504201388889</v>
      </c>
      <c r="C524">
        <v>80</v>
      </c>
      <c r="D524">
        <v>79.285537719999994</v>
      </c>
      <c r="E524">
        <v>60</v>
      </c>
      <c r="F524">
        <v>59.750194550000003</v>
      </c>
      <c r="G524">
        <v>1330.4984131000001</v>
      </c>
      <c r="H524">
        <v>1330.4163818</v>
      </c>
      <c r="I524">
        <v>1333.2009277</v>
      </c>
      <c r="J524">
        <v>1332.0922852000001</v>
      </c>
      <c r="K524">
        <v>0</v>
      </c>
      <c r="L524">
        <v>550</v>
      </c>
      <c r="M524">
        <v>550</v>
      </c>
      <c r="N524">
        <v>0</v>
      </c>
    </row>
    <row r="525" spans="1:14" x14ac:dyDescent="0.25">
      <c r="A525">
        <v>189.63463999999999</v>
      </c>
      <c r="B525" s="1">
        <f>DATE(2010,11,6) + TIME(15,13,52)</f>
        <v>40488.634629629632</v>
      </c>
      <c r="C525">
        <v>80</v>
      </c>
      <c r="D525">
        <v>79.268966675000001</v>
      </c>
      <c r="E525">
        <v>60</v>
      </c>
      <c r="F525">
        <v>59.760482787999997</v>
      </c>
      <c r="G525">
        <v>1330.4930420000001</v>
      </c>
      <c r="H525">
        <v>1330.4082031</v>
      </c>
      <c r="I525">
        <v>1333.2152100000001</v>
      </c>
      <c r="J525">
        <v>1332.1018065999999</v>
      </c>
      <c r="K525">
        <v>0</v>
      </c>
      <c r="L525">
        <v>550</v>
      </c>
      <c r="M525">
        <v>550</v>
      </c>
      <c r="N525">
        <v>0</v>
      </c>
    </row>
    <row r="526" spans="1:14" x14ac:dyDescent="0.25">
      <c r="A526">
        <v>189.765075</v>
      </c>
      <c r="B526" s="1">
        <f>DATE(2010,11,6) + TIME(18,21,42)</f>
        <v>40488.765069444446</v>
      </c>
      <c r="C526">
        <v>80</v>
      </c>
      <c r="D526">
        <v>79.252258300999998</v>
      </c>
      <c r="E526">
        <v>60</v>
      </c>
      <c r="F526">
        <v>59.770137787000003</v>
      </c>
      <c r="G526">
        <v>1330.487793</v>
      </c>
      <c r="H526">
        <v>1330.4000243999999</v>
      </c>
      <c r="I526">
        <v>1333.2288818</v>
      </c>
      <c r="J526">
        <v>1332.1108397999999</v>
      </c>
      <c r="K526">
        <v>0</v>
      </c>
      <c r="L526">
        <v>550</v>
      </c>
      <c r="M526">
        <v>550</v>
      </c>
      <c r="N526">
        <v>0</v>
      </c>
    </row>
    <row r="527" spans="1:14" x14ac:dyDescent="0.25">
      <c r="A527">
        <v>189.895511</v>
      </c>
      <c r="B527" s="1">
        <f>DATE(2010,11,6) + TIME(21,29,32)</f>
        <v>40488.895509259259</v>
      </c>
      <c r="C527">
        <v>80</v>
      </c>
      <c r="D527">
        <v>79.235427856000001</v>
      </c>
      <c r="E527">
        <v>60</v>
      </c>
      <c r="F527">
        <v>59.779193878000001</v>
      </c>
      <c r="G527">
        <v>1330.4825439000001</v>
      </c>
      <c r="H527">
        <v>1330.3919678</v>
      </c>
      <c r="I527">
        <v>1333.2418213000001</v>
      </c>
      <c r="J527">
        <v>1332.1196289</v>
      </c>
      <c r="K527">
        <v>0</v>
      </c>
      <c r="L527">
        <v>550</v>
      </c>
      <c r="M527">
        <v>550</v>
      </c>
      <c r="N527">
        <v>0</v>
      </c>
    </row>
    <row r="528" spans="1:14" x14ac:dyDescent="0.25">
      <c r="A528">
        <v>190.025947</v>
      </c>
      <c r="B528" s="1">
        <f>DATE(2010,11,7) + TIME(0,37,21)</f>
        <v>40489.025937500002</v>
      </c>
      <c r="C528">
        <v>80</v>
      </c>
      <c r="D528">
        <v>79.218460082999997</v>
      </c>
      <c r="E528">
        <v>60</v>
      </c>
      <c r="F528">
        <v>59.787685394</v>
      </c>
      <c r="G528">
        <v>1330.4772949000001</v>
      </c>
      <c r="H528">
        <v>1330.3840332</v>
      </c>
      <c r="I528">
        <v>1333.2542725000001</v>
      </c>
      <c r="J528">
        <v>1332.1279297000001</v>
      </c>
      <c r="K528">
        <v>0</v>
      </c>
      <c r="L528">
        <v>550</v>
      </c>
      <c r="M528">
        <v>550</v>
      </c>
      <c r="N528">
        <v>0</v>
      </c>
    </row>
    <row r="529" spans="1:14" x14ac:dyDescent="0.25">
      <c r="A529">
        <v>190.15638200000001</v>
      </c>
      <c r="B529" s="1">
        <f>DATE(2010,11,7) + TIME(3,45,11)</f>
        <v>40489.156377314815</v>
      </c>
      <c r="C529">
        <v>80</v>
      </c>
      <c r="D529">
        <v>79.201339722</v>
      </c>
      <c r="E529">
        <v>60</v>
      </c>
      <c r="F529">
        <v>59.795642852999997</v>
      </c>
      <c r="G529">
        <v>1330.4720459</v>
      </c>
      <c r="H529">
        <v>1330.3760986</v>
      </c>
      <c r="I529">
        <v>1333.2659911999999</v>
      </c>
      <c r="J529">
        <v>1332.1357422000001</v>
      </c>
      <c r="K529">
        <v>0</v>
      </c>
      <c r="L529">
        <v>550</v>
      </c>
      <c r="M529">
        <v>550</v>
      </c>
      <c r="N529">
        <v>0</v>
      </c>
    </row>
    <row r="530" spans="1:14" x14ac:dyDescent="0.25">
      <c r="A530">
        <v>190.28681800000001</v>
      </c>
      <c r="B530" s="1">
        <f>DATE(2010,11,7) + TIME(6,53,1)</f>
        <v>40489.286817129629</v>
      </c>
      <c r="C530">
        <v>80</v>
      </c>
      <c r="D530">
        <v>79.184066771999994</v>
      </c>
      <c r="E530">
        <v>60</v>
      </c>
      <c r="F530">
        <v>59.803085326999998</v>
      </c>
      <c r="G530">
        <v>1330.4667969</v>
      </c>
      <c r="H530">
        <v>1330.3682861</v>
      </c>
      <c r="I530">
        <v>1333.2752685999999</v>
      </c>
      <c r="J530">
        <v>1332.1419678</v>
      </c>
      <c r="K530">
        <v>0</v>
      </c>
      <c r="L530">
        <v>550</v>
      </c>
      <c r="M530">
        <v>550</v>
      </c>
      <c r="N530">
        <v>0</v>
      </c>
    </row>
    <row r="531" spans="1:14" x14ac:dyDescent="0.25">
      <c r="A531">
        <v>190.54768899999999</v>
      </c>
      <c r="B531" s="1">
        <f>DATE(2010,11,7) + TIME(13,8,40)</f>
        <v>40489.547685185185</v>
      </c>
      <c r="C531">
        <v>80</v>
      </c>
      <c r="D531">
        <v>79.149505614999995</v>
      </c>
      <c r="E531">
        <v>60</v>
      </c>
      <c r="F531">
        <v>59.816009520999998</v>
      </c>
      <c r="G531">
        <v>1330.4611815999999</v>
      </c>
      <c r="H531">
        <v>1330.3598632999999</v>
      </c>
      <c r="I531">
        <v>1333.2823486</v>
      </c>
      <c r="J531">
        <v>1332.1472168</v>
      </c>
      <c r="K531">
        <v>0</v>
      </c>
      <c r="L531">
        <v>550</v>
      </c>
      <c r="M531">
        <v>550</v>
      </c>
      <c r="N531">
        <v>0</v>
      </c>
    </row>
    <row r="532" spans="1:14" x14ac:dyDescent="0.25">
      <c r="A532">
        <v>190.80950899999999</v>
      </c>
      <c r="B532" s="1">
        <f>DATE(2010,11,7) + TIME(19,25,41)</f>
        <v>40489.809502314813</v>
      </c>
      <c r="C532">
        <v>80</v>
      </c>
      <c r="D532">
        <v>79.114257812000005</v>
      </c>
      <c r="E532">
        <v>60</v>
      </c>
      <c r="F532">
        <v>59.827396393000001</v>
      </c>
      <c r="G532">
        <v>1330.4511719</v>
      </c>
      <c r="H532">
        <v>1330.3450928</v>
      </c>
      <c r="I532">
        <v>1333.2983397999999</v>
      </c>
      <c r="J532">
        <v>1332.1579589999999</v>
      </c>
      <c r="K532">
        <v>0</v>
      </c>
      <c r="L532">
        <v>550</v>
      </c>
      <c r="M532">
        <v>550</v>
      </c>
      <c r="N532">
        <v>0</v>
      </c>
    </row>
    <row r="533" spans="1:14" x14ac:dyDescent="0.25">
      <c r="A533">
        <v>191.075534</v>
      </c>
      <c r="B533" s="1">
        <f>DATE(2010,11,8) + TIME(1,48,46)</f>
        <v>40490.075532407405</v>
      </c>
      <c r="C533">
        <v>80</v>
      </c>
      <c r="D533">
        <v>79.077888489000003</v>
      </c>
      <c r="E533">
        <v>60</v>
      </c>
      <c r="F533">
        <v>59.837509154999999</v>
      </c>
      <c r="G533">
        <v>1330.4412841999999</v>
      </c>
      <c r="H533">
        <v>1330.3303223</v>
      </c>
      <c r="I533">
        <v>1333.3126221</v>
      </c>
      <c r="J533">
        <v>1332.1677245999999</v>
      </c>
      <c r="K533">
        <v>0</v>
      </c>
      <c r="L533">
        <v>550</v>
      </c>
      <c r="M533">
        <v>550</v>
      </c>
      <c r="N533">
        <v>0</v>
      </c>
    </row>
    <row r="534" spans="1:14" x14ac:dyDescent="0.25">
      <c r="A534">
        <v>191.34663399999999</v>
      </c>
      <c r="B534" s="1">
        <f>DATE(2010,11,8) + TIME(8,19,9)</f>
        <v>40490.346631944441</v>
      </c>
      <c r="C534">
        <v>80</v>
      </c>
      <c r="D534">
        <v>79.040260314999998</v>
      </c>
      <c r="E534">
        <v>60</v>
      </c>
      <c r="F534">
        <v>59.846488952999998</v>
      </c>
      <c r="G534">
        <v>1330.4312743999999</v>
      </c>
      <c r="H534">
        <v>1330.3155518000001</v>
      </c>
      <c r="I534">
        <v>1333.3256836</v>
      </c>
      <c r="J534">
        <v>1332.1766356999999</v>
      </c>
      <c r="K534">
        <v>0</v>
      </c>
      <c r="L534">
        <v>550</v>
      </c>
      <c r="M534">
        <v>550</v>
      </c>
      <c r="N534">
        <v>0</v>
      </c>
    </row>
    <row r="535" spans="1:14" x14ac:dyDescent="0.25">
      <c r="A535">
        <v>191.62380899999999</v>
      </c>
      <c r="B535" s="1">
        <f>DATE(2010,11,8) + TIME(14,58,17)</f>
        <v>40490.623807870368</v>
      </c>
      <c r="C535">
        <v>80</v>
      </c>
      <c r="D535">
        <v>79.001220703000001</v>
      </c>
      <c r="E535">
        <v>60</v>
      </c>
      <c r="F535">
        <v>59.854450225999997</v>
      </c>
      <c r="G535">
        <v>1330.4211425999999</v>
      </c>
      <c r="H535">
        <v>1330.3007812000001</v>
      </c>
      <c r="I535">
        <v>1333.3374022999999</v>
      </c>
      <c r="J535">
        <v>1332.1848144999999</v>
      </c>
      <c r="K535">
        <v>0</v>
      </c>
      <c r="L535">
        <v>550</v>
      </c>
      <c r="M535">
        <v>550</v>
      </c>
      <c r="N535">
        <v>0</v>
      </c>
    </row>
    <row r="536" spans="1:14" x14ac:dyDescent="0.25">
      <c r="A536">
        <v>191.90812</v>
      </c>
      <c r="B536" s="1">
        <f>DATE(2010,11,8) + TIME(21,47,41)</f>
        <v>40490.908113425925</v>
      </c>
      <c r="C536">
        <v>80</v>
      </c>
      <c r="D536">
        <v>78.960594177000004</v>
      </c>
      <c r="E536">
        <v>60</v>
      </c>
      <c r="F536">
        <v>59.861499786000003</v>
      </c>
      <c r="G536">
        <v>1330.4110106999999</v>
      </c>
      <c r="H536">
        <v>1330.2857666</v>
      </c>
      <c r="I536">
        <v>1333.3481445</v>
      </c>
      <c r="J536">
        <v>1332.1922606999999</v>
      </c>
      <c r="K536">
        <v>0</v>
      </c>
      <c r="L536">
        <v>550</v>
      </c>
      <c r="M536">
        <v>550</v>
      </c>
      <c r="N536">
        <v>0</v>
      </c>
    </row>
    <row r="537" spans="1:14" x14ac:dyDescent="0.25">
      <c r="A537">
        <v>192.20068000000001</v>
      </c>
      <c r="B537" s="1">
        <f>DATE(2010,11,9) + TIME(4,48,58)</f>
        <v>40491.200671296298</v>
      </c>
      <c r="C537">
        <v>80</v>
      </c>
      <c r="D537">
        <v>78.918182372999993</v>
      </c>
      <c r="E537">
        <v>60</v>
      </c>
      <c r="F537">
        <v>59.867736815999997</v>
      </c>
      <c r="G537">
        <v>1330.4007568</v>
      </c>
      <c r="H537">
        <v>1330.2707519999999</v>
      </c>
      <c r="I537">
        <v>1333.3579102000001</v>
      </c>
      <c r="J537">
        <v>1332.1990966999999</v>
      </c>
      <c r="K537">
        <v>0</v>
      </c>
      <c r="L537">
        <v>550</v>
      </c>
      <c r="M537">
        <v>550</v>
      </c>
      <c r="N537">
        <v>0</v>
      </c>
    </row>
    <row r="538" spans="1:14" x14ac:dyDescent="0.25">
      <c r="A538">
        <v>192.502782</v>
      </c>
      <c r="B538" s="1">
        <f>DATE(2010,11,9) + TIME(12,4,0)</f>
        <v>40491.50277777778</v>
      </c>
      <c r="C538">
        <v>80</v>
      </c>
      <c r="D538">
        <v>78.873764038000004</v>
      </c>
      <c r="E538">
        <v>60</v>
      </c>
      <c r="F538">
        <v>59.873237609999997</v>
      </c>
      <c r="G538">
        <v>1330.3902588000001</v>
      </c>
      <c r="H538">
        <v>1330.2554932</v>
      </c>
      <c r="I538">
        <v>1333.3666992000001</v>
      </c>
      <c r="J538">
        <v>1332.2054443</v>
      </c>
      <c r="K538">
        <v>0</v>
      </c>
      <c r="L538">
        <v>550</v>
      </c>
      <c r="M538">
        <v>550</v>
      </c>
      <c r="N538">
        <v>0</v>
      </c>
    </row>
    <row r="539" spans="1:14" x14ac:dyDescent="0.25">
      <c r="A539">
        <v>192.815867</v>
      </c>
      <c r="B539" s="1">
        <f>DATE(2010,11,9) + TIME(19,34,50)</f>
        <v>40491.81585648148</v>
      </c>
      <c r="C539">
        <v>80</v>
      </c>
      <c r="D539">
        <v>78.827087402000004</v>
      </c>
      <c r="E539">
        <v>60</v>
      </c>
      <c r="F539">
        <v>59.878074646000002</v>
      </c>
      <c r="G539">
        <v>1330.3795166</v>
      </c>
      <c r="H539">
        <v>1330.2398682</v>
      </c>
      <c r="I539">
        <v>1333.3734131000001</v>
      </c>
      <c r="J539">
        <v>1332.2103271000001</v>
      </c>
      <c r="K539">
        <v>0</v>
      </c>
      <c r="L539">
        <v>550</v>
      </c>
      <c r="M539">
        <v>550</v>
      </c>
      <c r="N539">
        <v>0</v>
      </c>
    </row>
    <row r="540" spans="1:14" x14ac:dyDescent="0.25">
      <c r="A540">
        <v>193.14170200000001</v>
      </c>
      <c r="B540" s="1">
        <f>DATE(2010,11,10) + TIME(3,24,3)</f>
        <v>40492.141701388886</v>
      </c>
      <c r="C540">
        <v>80</v>
      </c>
      <c r="D540">
        <v>78.777832031000003</v>
      </c>
      <c r="E540">
        <v>60</v>
      </c>
      <c r="F540">
        <v>59.882308960000003</v>
      </c>
      <c r="G540">
        <v>1330.3685303</v>
      </c>
      <c r="H540">
        <v>1330.223999</v>
      </c>
      <c r="I540">
        <v>1333.3778076000001</v>
      </c>
      <c r="J540">
        <v>1332.2138672000001</v>
      </c>
      <c r="K540">
        <v>0</v>
      </c>
      <c r="L540">
        <v>550</v>
      </c>
      <c r="M540">
        <v>550</v>
      </c>
      <c r="N540">
        <v>0</v>
      </c>
    </row>
    <row r="541" spans="1:14" x14ac:dyDescent="0.25">
      <c r="A541">
        <v>193.483137</v>
      </c>
      <c r="B541" s="1">
        <f>DATE(2010,11,10) + TIME(11,35,43)</f>
        <v>40492.483136574076</v>
      </c>
      <c r="C541">
        <v>80</v>
      </c>
      <c r="D541">
        <v>78.725524902000004</v>
      </c>
      <c r="E541">
        <v>60</v>
      </c>
      <c r="F541">
        <v>59.886013030999997</v>
      </c>
      <c r="G541">
        <v>1330.3571777</v>
      </c>
      <c r="H541">
        <v>1330.2077637</v>
      </c>
      <c r="I541">
        <v>1333.3817139</v>
      </c>
      <c r="J541">
        <v>1332.2169189000001</v>
      </c>
      <c r="K541">
        <v>0</v>
      </c>
      <c r="L541">
        <v>550</v>
      </c>
      <c r="M541">
        <v>550</v>
      </c>
      <c r="N541">
        <v>0</v>
      </c>
    </row>
    <row r="542" spans="1:14" x14ac:dyDescent="0.25">
      <c r="A542">
        <v>193.83542399999999</v>
      </c>
      <c r="B542" s="1">
        <f>DATE(2010,11,10) + TIME(20,3,0)</f>
        <v>40492.835416666669</v>
      </c>
      <c r="C542">
        <v>80</v>
      </c>
      <c r="D542">
        <v>78.670783997000001</v>
      </c>
      <c r="E542">
        <v>60</v>
      </c>
      <c r="F542">
        <v>59.889190673999998</v>
      </c>
      <c r="G542">
        <v>1330.3455810999999</v>
      </c>
      <c r="H542">
        <v>1330.1910399999999</v>
      </c>
      <c r="I542">
        <v>1333.3850098</v>
      </c>
      <c r="J542">
        <v>1332.2197266000001</v>
      </c>
      <c r="K542">
        <v>0</v>
      </c>
      <c r="L542">
        <v>550</v>
      </c>
      <c r="M542">
        <v>550</v>
      </c>
      <c r="N542">
        <v>0</v>
      </c>
    </row>
    <row r="543" spans="1:14" x14ac:dyDescent="0.25">
      <c r="A543">
        <v>194.19855200000001</v>
      </c>
      <c r="B543" s="1">
        <f>DATE(2010,11,11) + TIME(4,45,54)</f>
        <v>40493.198541666665</v>
      </c>
      <c r="C543">
        <v>80</v>
      </c>
      <c r="D543">
        <v>78.613555907999995</v>
      </c>
      <c r="E543">
        <v>60</v>
      </c>
      <c r="F543">
        <v>59.891895294000001</v>
      </c>
      <c r="G543">
        <v>1330.3337402</v>
      </c>
      <c r="H543">
        <v>1330.1740723</v>
      </c>
      <c r="I543">
        <v>1333.3876952999999</v>
      </c>
      <c r="J543">
        <v>1332.222168</v>
      </c>
      <c r="K543">
        <v>0</v>
      </c>
      <c r="L543">
        <v>550</v>
      </c>
      <c r="M543">
        <v>550</v>
      </c>
      <c r="N543">
        <v>0</v>
      </c>
    </row>
    <row r="544" spans="1:14" x14ac:dyDescent="0.25">
      <c r="A544">
        <v>194.57390899999999</v>
      </c>
      <c r="B544" s="1">
        <f>DATE(2010,11,11) + TIME(13,46,25)</f>
        <v>40493.573900462965</v>
      </c>
      <c r="C544">
        <v>80</v>
      </c>
      <c r="D544">
        <v>78.553573607999994</v>
      </c>
      <c r="E544">
        <v>60</v>
      </c>
      <c r="F544">
        <v>59.894199370999999</v>
      </c>
      <c r="G544">
        <v>1330.3217772999999</v>
      </c>
      <c r="H544">
        <v>1330.1568603999999</v>
      </c>
      <c r="I544">
        <v>1333.3898925999999</v>
      </c>
      <c r="J544">
        <v>1332.2242432</v>
      </c>
      <c r="K544">
        <v>0</v>
      </c>
      <c r="L544">
        <v>550</v>
      </c>
      <c r="M544">
        <v>550</v>
      </c>
      <c r="N544">
        <v>0</v>
      </c>
    </row>
    <row r="545" spans="1:14" x14ac:dyDescent="0.25">
      <c r="A545">
        <v>194.96307899999999</v>
      </c>
      <c r="B545" s="1">
        <f>DATE(2010,11,11) + TIME(23,6,49)</f>
        <v>40493.963067129633</v>
      </c>
      <c r="C545">
        <v>80</v>
      </c>
      <c r="D545">
        <v>78.490531920999999</v>
      </c>
      <c r="E545">
        <v>60</v>
      </c>
      <c r="F545">
        <v>59.896156310999999</v>
      </c>
      <c r="G545">
        <v>1330.3094481999999</v>
      </c>
      <c r="H545">
        <v>1330.1394043</v>
      </c>
      <c r="I545">
        <v>1333.3914795000001</v>
      </c>
      <c r="J545">
        <v>1332.2260742000001</v>
      </c>
      <c r="K545">
        <v>0</v>
      </c>
      <c r="L545">
        <v>550</v>
      </c>
      <c r="M545">
        <v>550</v>
      </c>
      <c r="N545">
        <v>0</v>
      </c>
    </row>
    <row r="546" spans="1:14" x14ac:dyDescent="0.25">
      <c r="A546">
        <v>195.36784399999999</v>
      </c>
      <c r="B546" s="1">
        <f>DATE(2010,11,12) + TIME(8,49,41)</f>
        <v>40494.367835648147</v>
      </c>
      <c r="C546">
        <v>80</v>
      </c>
      <c r="D546">
        <v>78.424087524000001</v>
      </c>
      <c r="E546">
        <v>60</v>
      </c>
      <c r="F546">
        <v>59.89781189</v>
      </c>
      <c r="G546">
        <v>1330.2969971</v>
      </c>
      <c r="H546">
        <v>1330.1217041</v>
      </c>
      <c r="I546">
        <v>1333.3925781</v>
      </c>
      <c r="J546">
        <v>1332.2276611</v>
      </c>
      <c r="K546">
        <v>0</v>
      </c>
      <c r="L546">
        <v>550</v>
      </c>
      <c r="M546">
        <v>550</v>
      </c>
      <c r="N546">
        <v>0</v>
      </c>
    </row>
    <row r="547" spans="1:14" x14ac:dyDescent="0.25">
      <c r="A547">
        <v>195.79021900000001</v>
      </c>
      <c r="B547" s="1">
        <f>DATE(2010,11,12) + TIME(18,57,54)</f>
        <v>40494.790208333332</v>
      </c>
      <c r="C547">
        <v>80</v>
      </c>
      <c r="D547">
        <v>78.353828429999993</v>
      </c>
      <c r="E547">
        <v>60</v>
      </c>
      <c r="F547">
        <v>59.899208068999997</v>
      </c>
      <c r="G547">
        <v>1330.2843018000001</v>
      </c>
      <c r="H547">
        <v>1330.1035156</v>
      </c>
      <c r="I547">
        <v>1333.3930664</v>
      </c>
      <c r="J547">
        <v>1332.2288818</v>
      </c>
      <c r="K547">
        <v>0</v>
      </c>
      <c r="L547">
        <v>550</v>
      </c>
      <c r="M547">
        <v>550</v>
      </c>
      <c r="N547">
        <v>0</v>
      </c>
    </row>
    <row r="548" spans="1:14" x14ac:dyDescent="0.25">
      <c r="A548">
        <v>196.232539</v>
      </c>
      <c r="B548" s="1">
        <f>DATE(2010,11,13) + TIME(5,34,51)</f>
        <v>40495.232534722221</v>
      </c>
      <c r="C548">
        <v>80</v>
      </c>
      <c r="D548">
        <v>78.279304503999995</v>
      </c>
      <c r="E548">
        <v>60</v>
      </c>
      <c r="F548">
        <v>59.900379180999998</v>
      </c>
      <c r="G548">
        <v>1330.2711182</v>
      </c>
      <c r="H548">
        <v>1330.0849608999999</v>
      </c>
      <c r="I548">
        <v>1333.3931885</v>
      </c>
      <c r="J548">
        <v>1332.2297363</v>
      </c>
      <c r="K548">
        <v>0</v>
      </c>
      <c r="L548">
        <v>550</v>
      </c>
      <c r="M548">
        <v>550</v>
      </c>
      <c r="N548">
        <v>0</v>
      </c>
    </row>
    <row r="549" spans="1:14" x14ac:dyDescent="0.25">
      <c r="A549">
        <v>196.68960100000001</v>
      </c>
      <c r="B549" s="1">
        <f>DATE(2010,11,13) + TIME(16,33,1)</f>
        <v>40495.68959490741</v>
      </c>
      <c r="C549">
        <v>80</v>
      </c>
      <c r="D549">
        <v>78.201240540000001</v>
      </c>
      <c r="E549">
        <v>60</v>
      </c>
      <c r="F549">
        <v>59.901348114000001</v>
      </c>
      <c r="G549">
        <v>1330.2576904</v>
      </c>
      <c r="H549">
        <v>1330.065918</v>
      </c>
      <c r="I549">
        <v>1333.3929443</v>
      </c>
      <c r="J549">
        <v>1332.2304687999999</v>
      </c>
      <c r="K549">
        <v>0</v>
      </c>
      <c r="L549">
        <v>550</v>
      </c>
      <c r="M549">
        <v>550</v>
      </c>
      <c r="N549">
        <v>0</v>
      </c>
    </row>
    <row r="550" spans="1:14" x14ac:dyDescent="0.25">
      <c r="A550">
        <v>197.15241700000001</v>
      </c>
      <c r="B550" s="1">
        <f>DATE(2010,11,14) + TIME(3,39,28)</f>
        <v>40496.152407407404</v>
      </c>
      <c r="C550">
        <v>80</v>
      </c>
      <c r="D550">
        <v>78.120994568</v>
      </c>
      <c r="E550">
        <v>60</v>
      </c>
      <c r="F550">
        <v>59.902126312</v>
      </c>
      <c r="G550">
        <v>1330.2440185999999</v>
      </c>
      <c r="H550">
        <v>1330.0466309000001</v>
      </c>
      <c r="I550">
        <v>1333.3922118999999</v>
      </c>
      <c r="J550">
        <v>1332.2310791</v>
      </c>
      <c r="K550">
        <v>0</v>
      </c>
      <c r="L550">
        <v>550</v>
      </c>
      <c r="M550">
        <v>550</v>
      </c>
      <c r="N550">
        <v>0</v>
      </c>
    </row>
    <row r="551" spans="1:14" x14ac:dyDescent="0.25">
      <c r="A551">
        <v>197.62295800000001</v>
      </c>
      <c r="B551" s="1">
        <f>DATE(2010,11,14) + TIME(14,57,3)</f>
        <v>40496.62295138889</v>
      </c>
      <c r="C551">
        <v>80</v>
      </c>
      <c r="D551">
        <v>78.038230896000002</v>
      </c>
      <c r="E551">
        <v>60</v>
      </c>
      <c r="F551">
        <v>59.902755737</v>
      </c>
      <c r="G551">
        <v>1330.2304687999999</v>
      </c>
      <c r="H551">
        <v>1330.0274658000001</v>
      </c>
      <c r="I551">
        <v>1333.3911132999999</v>
      </c>
      <c r="J551">
        <v>1332.2313231999999</v>
      </c>
      <c r="K551">
        <v>0</v>
      </c>
      <c r="L551">
        <v>550</v>
      </c>
      <c r="M551">
        <v>550</v>
      </c>
      <c r="N551">
        <v>0</v>
      </c>
    </row>
    <row r="552" spans="1:14" x14ac:dyDescent="0.25">
      <c r="A552">
        <v>198.10339200000001</v>
      </c>
      <c r="B552" s="1">
        <f>DATE(2010,11,15) + TIME(2,28,53)</f>
        <v>40497.103391203702</v>
      </c>
      <c r="C552">
        <v>80</v>
      </c>
      <c r="D552">
        <v>77.952560425000001</v>
      </c>
      <c r="E552">
        <v>60</v>
      </c>
      <c r="F552">
        <v>59.903263092000003</v>
      </c>
      <c r="G552">
        <v>1330.2167969</v>
      </c>
      <c r="H552">
        <v>1330.0081786999999</v>
      </c>
      <c r="I552">
        <v>1333.3897704999999</v>
      </c>
      <c r="J552">
        <v>1332.2314452999999</v>
      </c>
      <c r="K552">
        <v>0</v>
      </c>
      <c r="L552">
        <v>550</v>
      </c>
      <c r="M552">
        <v>550</v>
      </c>
      <c r="N552">
        <v>0</v>
      </c>
    </row>
    <row r="553" spans="1:14" x14ac:dyDescent="0.25">
      <c r="A553">
        <v>198.59528</v>
      </c>
      <c r="B553" s="1">
        <f>DATE(2010,11,15) + TIME(14,17,12)</f>
        <v>40497.595277777778</v>
      </c>
      <c r="C553">
        <v>80</v>
      </c>
      <c r="D553">
        <v>77.863693237000007</v>
      </c>
      <c r="E553">
        <v>60</v>
      </c>
      <c r="F553">
        <v>59.903675079000003</v>
      </c>
      <c r="G553">
        <v>1330.203125</v>
      </c>
      <c r="H553">
        <v>1329.9888916</v>
      </c>
      <c r="I553">
        <v>1333.3881836</v>
      </c>
      <c r="J553">
        <v>1332.2313231999999</v>
      </c>
      <c r="K553">
        <v>0</v>
      </c>
      <c r="L553">
        <v>550</v>
      </c>
      <c r="M553">
        <v>550</v>
      </c>
      <c r="N553">
        <v>0</v>
      </c>
    </row>
    <row r="554" spans="1:14" x14ac:dyDescent="0.25">
      <c r="A554">
        <v>199.09814299999999</v>
      </c>
      <c r="B554" s="1">
        <f>DATE(2010,11,16) + TIME(2,21,19)</f>
        <v>40498.098136574074</v>
      </c>
      <c r="C554">
        <v>80</v>
      </c>
      <c r="D554">
        <v>77.771644592000001</v>
      </c>
      <c r="E554">
        <v>60</v>
      </c>
      <c r="F554">
        <v>59.904003142999997</v>
      </c>
      <c r="G554">
        <v>1330.1893310999999</v>
      </c>
      <c r="H554">
        <v>1329.9694824000001</v>
      </c>
      <c r="I554">
        <v>1333.3863524999999</v>
      </c>
      <c r="J554">
        <v>1332.2312012</v>
      </c>
      <c r="K554">
        <v>0</v>
      </c>
      <c r="L554">
        <v>550</v>
      </c>
      <c r="M554">
        <v>550</v>
      </c>
      <c r="N554">
        <v>0</v>
      </c>
    </row>
    <row r="555" spans="1:14" x14ac:dyDescent="0.25">
      <c r="A555">
        <v>199.613866</v>
      </c>
      <c r="B555" s="1">
        <f>DATE(2010,11,16) + TIME(14,43,58)</f>
        <v>40498.613865740743</v>
      </c>
      <c r="C555">
        <v>80</v>
      </c>
      <c r="D555">
        <v>77.676048279</v>
      </c>
      <c r="E555">
        <v>60</v>
      </c>
      <c r="F555">
        <v>59.904262543000002</v>
      </c>
      <c r="G555">
        <v>1330.1754149999999</v>
      </c>
      <c r="H555">
        <v>1329.9500731999999</v>
      </c>
      <c r="I555">
        <v>1333.3842772999999</v>
      </c>
      <c r="J555">
        <v>1332.230957</v>
      </c>
      <c r="K555">
        <v>0</v>
      </c>
      <c r="L555">
        <v>550</v>
      </c>
      <c r="M555">
        <v>550</v>
      </c>
      <c r="N555">
        <v>0</v>
      </c>
    </row>
    <row r="556" spans="1:14" x14ac:dyDescent="0.25">
      <c r="A556">
        <v>200.14171300000001</v>
      </c>
      <c r="B556" s="1">
        <f>DATE(2010,11,17) + TIME(3,24,3)</f>
        <v>40499.141701388886</v>
      </c>
      <c r="C556">
        <v>80</v>
      </c>
      <c r="D556">
        <v>77.576972960999996</v>
      </c>
      <c r="E556">
        <v>60</v>
      </c>
      <c r="F556">
        <v>59.904464722</v>
      </c>
      <c r="G556">
        <v>1330.161499</v>
      </c>
      <c r="H556">
        <v>1329.9304199000001</v>
      </c>
      <c r="I556">
        <v>1333.3820800999999</v>
      </c>
      <c r="J556">
        <v>1332.2304687999999</v>
      </c>
      <c r="K556">
        <v>0</v>
      </c>
      <c r="L556">
        <v>550</v>
      </c>
      <c r="M556">
        <v>550</v>
      </c>
      <c r="N556">
        <v>0</v>
      </c>
    </row>
    <row r="557" spans="1:14" x14ac:dyDescent="0.25">
      <c r="A557">
        <v>200.678754</v>
      </c>
      <c r="B557" s="1">
        <f>DATE(2010,11,17) + TIME(16,17,24)</f>
        <v>40499.678749999999</v>
      </c>
      <c r="C557">
        <v>80</v>
      </c>
      <c r="D557">
        <v>77.474868774000001</v>
      </c>
      <c r="E557">
        <v>60</v>
      </c>
      <c r="F557">
        <v>59.904617309999999</v>
      </c>
      <c r="G557">
        <v>1330.1474608999999</v>
      </c>
      <c r="H557">
        <v>1329.9107666</v>
      </c>
      <c r="I557">
        <v>1333.3796387</v>
      </c>
      <c r="J557">
        <v>1332.2301024999999</v>
      </c>
      <c r="K557">
        <v>0</v>
      </c>
      <c r="L557">
        <v>550</v>
      </c>
      <c r="M557">
        <v>550</v>
      </c>
      <c r="N557">
        <v>0</v>
      </c>
    </row>
    <row r="558" spans="1:14" x14ac:dyDescent="0.25">
      <c r="A558">
        <v>201.22709900000001</v>
      </c>
      <c r="B558" s="1">
        <f>DATE(2010,11,18) + TIME(5,27,1)</f>
        <v>40500.227094907408</v>
      </c>
      <c r="C558">
        <v>80</v>
      </c>
      <c r="D558">
        <v>77.369338988999999</v>
      </c>
      <c r="E558">
        <v>60</v>
      </c>
      <c r="F558">
        <v>59.904735565000003</v>
      </c>
      <c r="G558">
        <v>1330.1334228999999</v>
      </c>
      <c r="H558">
        <v>1329.8911132999999</v>
      </c>
      <c r="I558">
        <v>1333.3770752</v>
      </c>
      <c r="J558">
        <v>1332.2294922000001</v>
      </c>
      <c r="K558">
        <v>0</v>
      </c>
      <c r="L558">
        <v>550</v>
      </c>
      <c r="M558">
        <v>550</v>
      </c>
      <c r="N558">
        <v>0</v>
      </c>
    </row>
    <row r="559" spans="1:14" x14ac:dyDescent="0.25">
      <c r="A559">
        <v>201.78889100000001</v>
      </c>
      <c r="B559" s="1">
        <f>DATE(2010,11,18) + TIME(18,56,0)</f>
        <v>40500.788888888892</v>
      </c>
      <c r="C559">
        <v>80</v>
      </c>
      <c r="D559">
        <v>77.259986877000003</v>
      </c>
      <c r="E559">
        <v>60</v>
      </c>
      <c r="F559">
        <v>59.904815673999998</v>
      </c>
      <c r="G559">
        <v>1330.1192627</v>
      </c>
      <c r="H559">
        <v>1329.8714600000001</v>
      </c>
      <c r="I559">
        <v>1333.3745117000001</v>
      </c>
      <c r="J559">
        <v>1332.2288818</v>
      </c>
      <c r="K559">
        <v>0</v>
      </c>
      <c r="L559">
        <v>550</v>
      </c>
      <c r="M559">
        <v>550</v>
      </c>
      <c r="N559">
        <v>0</v>
      </c>
    </row>
    <row r="560" spans="1:14" x14ac:dyDescent="0.25">
      <c r="A560">
        <v>202.366421</v>
      </c>
      <c r="B560" s="1">
        <f>DATE(2010,11,19) + TIME(8,47,38)</f>
        <v>40501.366412037038</v>
      </c>
      <c r="C560">
        <v>80</v>
      </c>
      <c r="D560">
        <v>77.146354674999998</v>
      </c>
      <c r="E560">
        <v>60</v>
      </c>
      <c r="F560">
        <v>59.904872894</v>
      </c>
      <c r="G560">
        <v>1330.1051024999999</v>
      </c>
      <c r="H560">
        <v>1329.8516846</v>
      </c>
      <c r="I560">
        <v>1333.3717041</v>
      </c>
      <c r="J560">
        <v>1332.2282714999999</v>
      </c>
      <c r="K560">
        <v>0</v>
      </c>
      <c r="L560">
        <v>550</v>
      </c>
      <c r="M560">
        <v>550</v>
      </c>
      <c r="N560">
        <v>0</v>
      </c>
    </row>
    <row r="561" spans="1:14" x14ac:dyDescent="0.25">
      <c r="A561">
        <v>202.962188</v>
      </c>
      <c r="B561" s="1">
        <f>DATE(2010,11,19) + TIME(23,5,33)</f>
        <v>40501.962187500001</v>
      </c>
      <c r="C561">
        <v>80</v>
      </c>
      <c r="D561">
        <v>77.02796936</v>
      </c>
      <c r="E561">
        <v>60</v>
      </c>
      <c r="F561">
        <v>59.904903412000003</v>
      </c>
      <c r="G561">
        <v>1330.0908202999999</v>
      </c>
      <c r="H561">
        <v>1329.8316649999999</v>
      </c>
      <c r="I561">
        <v>1333.3688964999999</v>
      </c>
      <c r="J561">
        <v>1332.2275391000001</v>
      </c>
      <c r="K561">
        <v>0</v>
      </c>
      <c r="L561">
        <v>550</v>
      </c>
      <c r="M561">
        <v>550</v>
      </c>
      <c r="N561">
        <v>0</v>
      </c>
    </row>
    <row r="562" spans="1:14" x14ac:dyDescent="0.25">
      <c r="A562">
        <v>203.57889900000001</v>
      </c>
      <c r="B562" s="1">
        <f>DATE(2010,11,20) + TIME(13,53,36)</f>
        <v>40502.578888888886</v>
      </c>
      <c r="C562">
        <v>80</v>
      </c>
      <c r="D562">
        <v>76.904266356999997</v>
      </c>
      <c r="E562">
        <v>60</v>
      </c>
      <c r="F562">
        <v>59.904918670999997</v>
      </c>
      <c r="G562">
        <v>1330.0762939000001</v>
      </c>
      <c r="H562">
        <v>1329.8115233999999</v>
      </c>
      <c r="I562">
        <v>1333.3659668</v>
      </c>
      <c r="J562">
        <v>1332.2268065999999</v>
      </c>
      <c r="K562">
        <v>0</v>
      </c>
      <c r="L562">
        <v>550</v>
      </c>
      <c r="M562">
        <v>550</v>
      </c>
      <c r="N562">
        <v>0</v>
      </c>
    </row>
    <row r="563" spans="1:14" x14ac:dyDescent="0.25">
      <c r="A563">
        <v>204.216587</v>
      </c>
      <c r="B563" s="1">
        <f>DATE(2010,11,21) + TIME(5,11,53)</f>
        <v>40503.216585648152</v>
      </c>
      <c r="C563">
        <v>80</v>
      </c>
      <c r="D563">
        <v>76.775177002000007</v>
      </c>
      <c r="E563">
        <v>60</v>
      </c>
      <c r="F563">
        <v>59.904914855999998</v>
      </c>
      <c r="G563">
        <v>1330.0616454999999</v>
      </c>
      <c r="H563">
        <v>1329.7911377</v>
      </c>
      <c r="I563">
        <v>1333.3629149999999</v>
      </c>
      <c r="J563">
        <v>1332.2260742000001</v>
      </c>
      <c r="K563">
        <v>0</v>
      </c>
      <c r="L563">
        <v>550</v>
      </c>
      <c r="M563">
        <v>550</v>
      </c>
      <c r="N563">
        <v>0</v>
      </c>
    </row>
    <row r="564" spans="1:14" x14ac:dyDescent="0.25">
      <c r="A564">
        <v>204.870181</v>
      </c>
      <c r="B564" s="1">
        <f>DATE(2010,11,21) + TIME(20,53,3)</f>
        <v>40503.870173611111</v>
      </c>
      <c r="C564">
        <v>80</v>
      </c>
      <c r="D564">
        <v>76.641510010000005</v>
      </c>
      <c r="E564">
        <v>60</v>
      </c>
      <c r="F564">
        <v>59.904895781999997</v>
      </c>
      <c r="G564">
        <v>1330.0467529</v>
      </c>
      <c r="H564">
        <v>1329.7705077999999</v>
      </c>
      <c r="I564">
        <v>1333.3597411999999</v>
      </c>
      <c r="J564">
        <v>1332.2253418</v>
      </c>
      <c r="K564">
        <v>0</v>
      </c>
      <c r="L564">
        <v>550</v>
      </c>
      <c r="M564">
        <v>550</v>
      </c>
      <c r="N564">
        <v>0</v>
      </c>
    </row>
    <row r="565" spans="1:14" x14ac:dyDescent="0.25">
      <c r="A565">
        <v>205.54243</v>
      </c>
      <c r="B565" s="1">
        <f>DATE(2010,11,22) + TIME(13,1,5)</f>
        <v>40504.54241898148</v>
      </c>
      <c r="C565">
        <v>80</v>
      </c>
      <c r="D565">
        <v>76.502754210999996</v>
      </c>
      <c r="E565">
        <v>60</v>
      </c>
      <c r="F565">
        <v>59.904865264999998</v>
      </c>
      <c r="G565">
        <v>1330.0318603999999</v>
      </c>
      <c r="H565">
        <v>1329.7497559000001</v>
      </c>
      <c r="I565">
        <v>1333.3566894999999</v>
      </c>
      <c r="J565">
        <v>1332.2244873</v>
      </c>
      <c r="K565">
        <v>0</v>
      </c>
      <c r="L565">
        <v>550</v>
      </c>
      <c r="M565">
        <v>550</v>
      </c>
      <c r="N565">
        <v>0</v>
      </c>
    </row>
    <row r="566" spans="1:14" x14ac:dyDescent="0.25">
      <c r="A566">
        <v>206.234005</v>
      </c>
      <c r="B566" s="1">
        <f>DATE(2010,11,23) + TIME(5,36,58)</f>
        <v>40505.23400462963</v>
      </c>
      <c r="C566">
        <v>80</v>
      </c>
      <c r="D566">
        <v>76.358757018999995</v>
      </c>
      <c r="E566">
        <v>60</v>
      </c>
      <c r="F566">
        <v>59.904823303000001</v>
      </c>
      <c r="G566">
        <v>1330.0167236</v>
      </c>
      <c r="H566">
        <v>1329.7287598</v>
      </c>
      <c r="I566">
        <v>1333.3533935999999</v>
      </c>
      <c r="J566">
        <v>1332.2236327999999</v>
      </c>
      <c r="K566">
        <v>0</v>
      </c>
      <c r="L566">
        <v>550</v>
      </c>
      <c r="M566">
        <v>550</v>
      </c>
      <c r="N566">
        <v>0</v>
      </c>
    </row>
    <row r="567" spans="1:14" x14ac:dyDescent="0.25">
      <c r="A567">
        <v>206.93474699999999</v>
      </c>
      <c r="B567" s="1">
        <f>DATE(2010,11,23) + TIME(22,26,2)</f>
        <v>40505.934745370374</v>
      </c>
      <c r="C567">
        <v>80</v>
      </c>
      <c r="D567">
        <v>76.211273192999997</v>
      </c>
      <c r="E567">
        <v>60</v>
      </c>
      <c r="F567">
        <v>59.904769897000001</v>
      </c>
      <c r="G567">
        <v>1330.0015868999999</v>
      </c>
      <c r="H567">
        <v>1329.7077637</v>
      </c>
      <c r="I567">
        <v>1333.3502197</v>
      </c>
      <c r="J567">
        <v>1332.2229004000001</v>
      </c>
      <c r="K567">
        <v>0</v>
      </c>
      <c r="L567">
        <v>550</v>
      </c>
      <c r="M567">
        <v>550</v>
      </c>
      <c r="N567">
        <v>0</v>
      </c>
    </row>
    <row r="568" spans="1:14" x14ac:dyDescent="0.25">
      <c r="A568">
        <v>207.64780200000001</v>
      </c>
      <c r="B568" s="1">
        <f>DATE(2010,11,24) + TIME(15,32,50)</f>
        <v>40506.647800925923</v>
      </c>
      <c r="C568">
        <v>80</v>
      </c>
      <c r="D568">
        <v>76.059814453000001</v>
      </c>
      <c r="E568">
        <v>60</v>
      </c>
      <c r="F568">
        <v>59.904708862</v>
      </c>
      <c r="G568">
        <v>1329.9864502</v>
      </c>
      <c r="H568">
        <v>1329.6867675999999</v>
      </c>
      <c r="I568">
        <v>1333.3469238</v>
      </c>
      <c r="J568">
        <v>1332.222168</v>
      </c>
      <c r="K568">
        <v>0</v>
      </c>
      <c r="L568">
        <v>550</v>
      </c>
      <c r="M568">
        <v>550</v>
      </c>
      <c r="N568">
        <v>0</v>
      </c>
    </row>
    <row r="569" spans="1:14" x14ac:dyDescent="0.25">
      <c r="A569">
        <v>208.37625299999999</v>
      </c>
      <c r="B569" s="1">
        <f>DATE(2010,11,25) + TIME(9,1,48)</f>
        <v>40507.376250000001</v>
      </c>
      <c r="C569">
        <v>80</v>
      </c>
      <c r="D569">
        <v>75.903884887999993</v>
      </c>
      <c r="E569">
        <v>60</v>
      </c>
      <c r="F569">
        <v>59.904644011999999</v>
      </c>
      <c r="G569">
        <v>1329.9714355000001</v>
      </c>
      <c r="H569">
        <v>1329.6658935999999</v>
      </c>
      <c r="I569">
        <v>1333.34375</v>
      </c>
      <c r="J569">
        <v>1332.2213135</v>
      </c>
      <c r="K569">
        <v>0</v>
      </c>
      <c r="L569">
        <v>550</v>
      </c>
      <c r="M569">
        <v>550</v>
      </c>
      <c r="N569">
        <v>0</v>
      </c>
    </row>
    <row r="570" spans="1:14" x14ac:dyDescent="0.25">
      <c r="A570">
        <v>209.11515800000001</v>
      </c>
      <c r="B570" s="1">
        <f>DATE(2010,11,26) + TIME(2,45,49)</f>
        <v>40508.11515046296</v>
      </c>
      <c r="C570">
        <v>80</v>
      </c>
      <c r="D570">
        <v>75.744384765999996</v>
      </c>
      <c r="E570">
        <v>60</v>
      </c>
      <c r="F570">
        <v>59.904571533000002</v>
      </c>
      <c r="G570">
        <v>1329.9562988</v>
      </c>
      <c r="H570">
        <v>1329.6450195</v>
      </c>
      <c r="I570">
        <v>1333.3405762</v>
      </c>
      <c r="J570">
        <v>1332.2205810999999</v>
      </c>
      <c r="K570">
        <v>0</v>
      </c>
      <c r="L570">
        <v>550</v>
      </c>
      <c r="M570">
        <v>550</v>
      </c>
      <c r="N570">
        <v>0</v>
      </c>
    </row>
    <row r="571" spans="1:14" x14ac:dyDescent="0.25">
      <c r="A571">
        <v>209.85738799999999</v>
      </c>
      <c r="B571" s="1">
        <f>DATE(2010,11,26) + TIME(20,34,38)</f>
        <v>40508.85738425926</v>
      </c>
      <c r="C571">
        <v>80</v>
      </c>
      <c r="D571">
        <v>75.582672118999994</v>
      </c>
      <c r="E571">
        <v>60</v>
      </c>
      <c r="F571">
        <v>59.904499053999999</v>
      </c>
      <c r="G571">
        <v>1329.9412841999999</v>
      </c>
      <c r="H571">
        <v>1329.6242675999999</v>
      </c>
      <c r="I571">
        <v>1333.3374022999999</v>
      </c>
      <c r="J571">
        <v>1332.2199707</v>
      </c>
      <c r="K571">
        <v>0</v>
      </c>
      <c r="L571">
        <v>550</v>
      </c>
      <c r="M571">
        <v>550</v>
      </c>
      <c r="N571">
        <v>0</v>
      </c>
    </row>
    <row r="572" spans="1:14" x14ac:dyDescent="0.25">
      <c r="A572">
        <v>210.606211</v>
      </c>
      <c r="B572" s="1">
        <f>DATE(2010,11,27) + TIME(14,32,56)</f>
        <v>40509.606203703705</v>
      </c>
      <c r="C572">
        <v>80</v>
      </c>
      <c r="D572">
        <v>75.418327332000004</v>
      </c>
      <c r="E572">
        <v>60</v>
      </c>
      <c r="F572">
        <v>59.904422760000003</v>
      </c>
      <c r="G572">
        <v>1329.9265137</v>
      </c>
      <c r="H572">
        <v>1329.6037598</v>
      </c>
      <c r="I572">
        <v>1333.3343506000001</v>
      </c>
      <c r="J572">
        <v>1332.2192382999999</v>
      </c>
      <c r="K572">
        <v>0</v>
      </c>
      <c r="L572">
        <v>550</v>
      </c>
      <c r="M572">
        <v>550</v>
      </c>
      <c r="N572">
        <v>0</v>
      </c>
    </row>
    <row r="573" spans="1:14" x14ac:dyDescent="0.25">
      <c r="A573">
        <v>211.36479800000001</v>
      </c>
      <c r="B573" s="1">
        <f>DATE(2010,11,28) + TIME(8,45,18)</f>
        <v>40510.364791666667</v>
      </c>
      <c r="C573">
        <v>80</v>
      </c>
      <c r="D573">
        <v>75.250923157000003</v>
      </c>
      <c r="E573">
        <v>60</v>
      </c>
      <c r="F573">
        <v>59.904342651</v>
      </c>
      <c r="G573">
        <v>1329.9119873</v>
      </c>
      <c r="H573">
        <v>1329.5836182</v>
      </c>
      <c r="I573">
        <v>1333.3314209</v>
      </c>
      <c r="J573">
        <v>1332.2186279</v>
      </c>
      <c r="K573">
        <v>0</v>
      </c>
      <c r="L573">
        <v>550</v>
      </c>
      <c r="M573">
        <v>550</v>
      </c>
      <c r="N573">
        <v>0</v>
      </c>
    </row>
    <row r="574" spans="1:14" x14ac:dyDescent="0.25">
      <c r="A574">
        <v>212.13632000000001</v>
      </c>
      <c r="B574" s="1">
        <f>DATE(2010,11,29) + TIME(3,16,18)</f>
        <v>40511.136319444442</v>
      </c>
      <c r="C574">
        <v>80</v>
      </c>
      <c r="D574">
        <v>75.079986571999996</v>
      </c>
      <c r="E574">
        <v>60</v>
      </c>
      <c r="F574">
        <v>59.904262543000002</v>
      </c>
      <c r="G574">
        <v>1329.8974608999999</v>
      </c>
      <c r="H574">
        <v>1329.5634766000001</v>
      </c>
      <c r="I574">
        <v>1333.3283690999999</v>
      </c>
      <c r="J574">
        <v>1332.2180175999999</v>
      </c>
      <c r="K574">
        <v>0</v>
      </c>
      <c r="L574">
        <v>550</v>
      </c>
      <c r="M574">
        <v>550</v>
      </c>
      <c r="N574">
        <v>0</v>
      </c>
    </row>
    <row r="575" spans="1:14" x14ac:dyDescent="0.25">
      <c r="A575">
        <v>212.924026</v>
      </c>
      <c r="B575" s="1">
        <f>DATE(2010,11,29) + TIME(22,10,35)</f>
        <v>40511.924016203702</v>
      </c>
      <c r="C575">
        <v>80</v>
      </c>
      <c r="D575">
        <v>74.904930114999999</v>
      </c>
      <c r="E575">
        <v>60</v>
      </c>
      <c r="F575">
        <v>59.904186248999999</v>
      </c>
      <c r="G575">
        <v>1329.8829346</v>
      </c>
      <c r="H575">
        <v>1329.543457</v>
      </c>
      <c r="I575">
        <v>1333.3255615</v>
      </c>
      <c r="J575">
        <v>1332.2174072</v>
      </c>
      <c r="K575">
        <v>0</v>
      </c>
      <c r="L575">
        <v>550</v>
      </c>
      <c r="M575">
        <v>550</v>
      </c>
      <c r="N575">
        <v>0</v>
      </c>
    </row>
    <row r="576" spans="1:14" x14ac:dyDescent="0.25">
      <c r="A576">
        <v>213.73132899999999</v>
      </c>
      <c r="B576" s="1">
        <f>DATE(2010,11,30) + TIME(17,33,6)</f>
        <v>40512.731319444443</v>
      </c>
      <c r="C576">
        <v>80</v>
      </c>
      <c r="D576">
        <v>74.725189209000007</v>
      </c>
      <c r="E576">
        <v>60</v>
      </c>
      <c r="F576">
        <v>59.904106140000003</v>
      </c>
      <c r="G576">
        <v>1329.8685303</v>
      </c>
      <c r="H576">
        <v>1329.5234375</v>
      </c>
      <c r="I576">
        <v>1333.3226318</v>
      </c>
      <c r="J576">
        <v>1332.2169189000001</v>
      </c>
      <c r="K576">
        <v>0</v>
      </c>
      <c r="L576">
        <v>550</v>
      </c>
      <c r="M576">
        <v>550</v>
      </c>
      <c r="N576">
        <v>0</v>
      </c>
    </row>
    <row r="577" spans="1:14" x14ac:dyDescent="0.25">
      <c r="A577">
        <v>214</v>
      </c>
      <c r="B577" s="1">
        <f>DATE(2010,12,1) + TIME(0,0,0)</f>
        <v>40513</v>
      </c>
      <c r="C577">
        <v>80</v>
      </c>
      <c r="D577">
        <v>74.655166625999996</v>
      </c>
      <c r="E577">
        <v>60</v>
      </c>
      <c r="F577">
        <v>59.904052733999997</v>
      </c>
      <c r="G577">
        <v>1329.8544922000001</v>
      </c>
      <c r="H577">
        <v>1329.5043945</v>
      </c>
      <c r="I577">
        <v>1333.3198242000001</v>
      </c>
      <c r="J577">
        <v>1332.2164307</v>
      </c>
      <c r="K577">
        <v>0</v>
      </c>
      <c r="L577">
        <v>550</v>
      </c>
      <c r="M577">
        <v>550</v>
      </c>
      <c r="N577">
        <v>0</v>
      </c>
    </row>
    <row r="578" spans="1:14" x14ac:dyDescent="0.25">
      <c r="A578">
        <v>214.830592</v>
      </c>
      <c r="B578" s="1">
        <f>DATE(2010,12,1) + TIME(19,56,3)</f>
        <v>40513.830590277779</v>
      </c>
      <c r="C578">
        <v>80</v>
      </c>
      <c r="D578">
        <v>74.471878051999994</v>
      </c>
      <c r="E578">
        <v>60</v>
      </c>
      <c r="F578">
        <v>59.903987884999999</v>
      </c>
      <c r="G578">
        <v>1329.8487548999999</v>
      </c>
      <c r="H578">
        <v>1329.4958495999999</v>
      </c>
      <c r="I578">
        <v>1333.3188477000001</v>
      </c>
      <c r="J578">
        <v>1332.2161865</v>
      </c>
      <c r="K578">
        <v>0</v>
      </c>
      <c r="L578">
        <v>550</v>
      </c>
      <c r="M578">
        <v>550</v>
      </c>
      <c r="N578">
        <v>0</v>
      </c>
    </row>
    <row r="579" spans="1:14" x14ac:dyDescent="0.25">
      <c r="A579">
        <v>215.69649000000001</v>
      </c>
      <c r="B579" s="1">
        <f>DATE(2010,12,2) + TIME(16,42,56)</f>
        <v>40514.696481481478</v>
      </c>
      <c r="C579">
        <v>80</v>
      </c>
      <c r="D579">
        <v>74.280998229999994</v>
      </c>
      <c r="E579">
        <v>60</v>
      </c>
      <c r="F579">
        <v>59.903915404999999</v>
      </c>
      <c r="G579">
        <v>1329.8343506000001</v>
      </c>
      <c r="H579">
        <v>1329.4760742000001</v>
      </c>
      <c r="I579">
        <v>1333.3160399999999</v>
      </c>
      <c r="J579">
        <v>1332.2156981999999</v>
      </c>
      <c r="K579">
        <v>0</v>
      </c>
      <c r="L579">
        <v>550</v>
      </c>
      <c r="M579">
        <v>550</v>
      </c>
      <c r="N579">
        <v>0</v>
      </c>
    </row>
    <row r="580" spans="1:14" x14ac:dyDescent="0.25">
      <c r="A580">
        <v>216.57175000000001</v>
      </c>
      <c r="B580" s="1">
        <f>DATE(2010,12,3) + TIME(13,43,19)</f>
        <v>40515.571747685186</v>
      </c>
      <c r="C580">
        <v>80</v>
      </c>
      <c r="D580">
        <v>74.086883545000006</v>
      </c>
      <c r="E580">
        <v>60</v>
      </c>
      <c r="F580">
        <v>59.903842926000003</v>
      </c>
      <c r="G580">
        <v>1329.8198242000001</v>
      </c>
      <c r="H580">
        <v>1329.4560547000001</v>
      </c>
      <c r="I580">
        <v>1333.3132324000001</v>
      </c>
      <c r="J580">
        <v>1332.215332</v>
      </c>
      <c r="K580">
        <v>0</v>
      </c>
      <c r="L580">
        <v>550</v>
      </c>
      <c r="M580">
        <v>550</v>
      </c>
      <c r="N580">
        <v>0</v>
      </c>
    </row>
    <row r="581" spans="1:14" x14ac:dyDescent="0.25">
      <c r="A581">
        <v>217.460127</v>
      </c>
      <c r="B581" s="1">
        <f>DATE(2010,12,4) + TIME(11,2,35)</f>
        <v>40516.460127314815</v>
      </c>
      <c r="C581">
        <v>80</v>
      </c>
      <c r="D581">
        <v>73.889183044000006</v>
      </c>
      <c r="E581">
        <v>60</v>
      </c>
      <c r="F581">
        <v>59.903766632</v>
      </c>
      <c r="G581">
        <v>1329.8052978999999</v>
      </c>
      <c r="H581">
        <v>1329.4361572</v>
      </c>
      <c r="I581">
        <v>1333.3105469</v>
      </c>
      <c r="J581">
        <v>1332.2149658000001</v>
      </c>
      <c r="K581">
        <v>0</v>
      </c>
      <c r="L581">
        <v>550</v>
      </c>
      <c r="M581">
        <v>550</v>
      </c>
      <c r="N581">
        <v>0</v>
      </c>
    </row>
    <row r="582" spans="1:14" x14ac:dyDescent="0.25">
      <c r="A582">
        <v>218.36534700000001</v>
      </c>
      <c r="B582" s="1">
        <f>DATE(2010,12,5) + TIME(8,46,5)</f>
        <v>40517.365335648145</v>
      </c>
      <c r="C582">
        <v>80</v>
      </c>
      <c r="D582">
        <v>73.687469481999997</v>
      </c>
      <c r="E582">
        <v>60</v>
      </c>
      <c r="F582">
        <v>59.903694153000004</v>
      </c>
      <c r="G582">
        <v>1329.7908935999999</v>
      </c>
      <c r="H582">
        <v>1329.4163818</v>
      </c>
      <c r="I582">
        <v>1333.3078613</v>
      </c>
      <c r="J582">
        <v>1332.2145995999999</v>
      </c>
      <c r="K582">
        <v>0</v>
      </c>
      <c r="L582">
        <v>550</v>
      </c>
      <c r="M582">
        <v>550</v>
      </c>
      <c r="N582">
        <v>0</v>
      </c>
    </row>
    <row r="583" spans="1:14" x14ac:dyDescent="0.25">
      <c r="A583">
        <v>219.29172299999999</v>
      </c>
      <c r="B583" s="1">
        <f>DATE(2010,12,6) + TIME(7,0,4)</f>
        <v>40518.291712962964</v>
      </c>
      <c r="C583">
        <v>80</v>
      </c>
      <c r="D583">
        <v>73.481163025000001</v>
      </c>
      <c r="E583">
        <v>60</v>
      </c>
      <c r="F583">
        <v>59.903621674</v>
      </c>
      <c r="G583">
        <v>1329.7766113</v>
      </c>
      <c r="H583">
        <v>1329.3966064000001</v>
      </c>
      <c r="I583">
        <v>1333.3052978999999</v>
      </c>
      <c r="J583">
        <v>1332.2142334</v>
      </c>
      <c r="K583">
        <v>0</v>
      </c>
      <c r="L583">
        <v>550</v>
      </c>
      <c r="M583">
        <v>550</v>
      </c>
      <c r="N583">
        <v>0</v>
      </c>
    </row>
    <row r="584" spans="1:14" x14ac:dyDescent="0.25">
      <c r="A584">
        <v>220.244125</v>
      </c>
      <c r="B584" s="1">
        <f>DATE(2010,12,7) + TIME(5,51,32)</f>
        <v>40519.244120370371</v>
      </c>
      <c r="C584">
        <v>80</v>
      </c>
      <c r="D584">
        <v>73.269546508999994</v>
      </c>
      <c r="E584">
        <v>60</v>
      </c>
      <c r="F584">
        <v>59.903549194</v>
      </c>
      <c r="G584">
        <v>1329.762207</v>
      </c>
      <c r="H584">
        <v>1329.3767089999999</v>
      </c>
      <c r="I584">
        <v>1333.3026123</v>
      </c>
      <c r="J584">
        <v>1332.2139893000001</v>
      </c>
      <c r="K584">
        <v>0</v>
      </c>
      <c r="L584">
        <v>550</v>
      </c>
      <c r="M584">
        <v>550</v>
      </c>
      <c r="N584">
        <v>0</v>
      </c>
    </row>
    <row r="585" spans="1:14" x14ac:dyDescent="0.25">
      <c r="A585">
        <v>221.227892</v>
      </c>
      <c r="B585" s="1">
        <f>DATE(2010,12,8) + TIME(5,28,9)</f>
        <v>40520.227881944447</v>
      </c>
      <c r="C585">
        <v>80</v>
      </c>
      <c r="D585">
        <v>73.051795959000003</v>
      </c>
      <c r="E585">
        <v>60</v>
      </c>
      <c r="F585">
        <v>59.903480530000003</v>
      </c>
      <c r="G585">
        <v>1329.7478027</v>
      </c>
      <c r="H585">
        <v>1329.3569336</v>
      </c>
      <c r="I585">
        <v>1333.3000488</v>
      </c>
      <c r="J585">
        <v>1332.2137451000001</v>
      </c>
      <c r="K585">
        <v>0</v>
      </c>
      <c r="L585">
        <v>550</v>
      </c>
      <c r="M585">
        <v>550</v>
      </c>
      <c r="N585">
        <v>0</v>
      </c>
    </row>
    <row r="586" spans="1:14" x14ac:dyDescent="0.25">
      <c r="A586">
        <v>222.22107600000001</v>
      </c>
      <c r="B586" s="1">
        <f>DATE(2010,12,9) + TIME(5,18,20)</f>
        <v>40521.221064814818</v>
      </c>
      <c r="C586">
        <v>80</v>
      </c>
      <c r="D586">
        <v>72.831459045000003</v>
      </c>
      <c r="E586">
        <v>60</v>
      </c>
      <c r="F586">
        <v>59.903411865000002</v>
      </c>
      <c r="G586">
        <v>1329.7332764</v>
      </c>
      <c r="H586">
        <v>1329.3369141000001</v>
      </c>
      <c r="I586">
        <v>1333.2974853999999</v>
      </c>
      <c r="J586">
        <v>1332.213501</v>
      </c>
      <c r="K586">
        <v>0</v>
      </c>
      <c r="L586">
        <v>550</v>
      </c>
      <c r="M586">
        <v>550</v>
      </c>
      <c r="N586">
        <v>0</v>
      </c>
    </row>
    <row r="587" spans="1:14" x14ac:dyDescent="0.25">
      <c r="A587">
        <v>223.218063</v>
      </c>
      <c r="B587" s="1">
        <f>DATE(2010,12,10) + TIME(5,14,0)</f>
        <v>40522.218055555553</v>
      </c>
      <c r="C587">
        <v>80</v>
      </c>
      <c r="D587">
        <v>72.609779357999997</v>
      </c>
      <c r="E587">
        <v>60</v>
      </c>
      <c r="F587">
        <v>59.903347015000001</v>
      </c>
      <c r="G587">
        <v>1329.7188721</v>
      </c>
      <c r="H587">
        <v>1329.3171387</v>
      </c>
      <c r="I587">
        <v>1333.2950439000001</v>
      </c>
      <c r="J587">
        <v>1332.2133789</v>
      </c>
      <c r="K587">
        <v>0</v>
      </c>
      <c r="L587">
        <v>550</v>
      </c>
      <c r="M587">
        <v>550</v>
      </c>
      <c r="N587">
        <v>0</v>
      </c>
    </row>
    <row r="588" spans="1:14" x14ac:dyDescent="0.25">
      <c r="A588">
        <v>224.22304800000001</v>
      </c>
      <c r="B588" s="1">
        <f>DATE(2010,12,11) + TIME(5,21,11)</f>
        <v>40523.223043981481</v>
      </c>
      <c r="C588">
        <v>80</v>
      </c>
      <c r="D588">
        <v>72.386428832999997</v>
      </c>
      <c r="E588">
        <v>60</v>
      </c>
      <c r="F588">
        <v>59.903282165999997</v>
      </c>
      <c r="G588">
        <v>1329.7048339999999</v>
      </c>
      <c r="H588">
        <v>1329.2977295000001</v>
      </c>
      <c r="I588">
        <v>1333.2926024999999</v>
      </c>
      <c r="J588">
        <v>1332.2132568</v>
      </c>
      <c r="K588">
        <v>0</v>
      </c>
      <c r="L588">
        <v>550</v>
      </c>
      <c r="M588">
        <v>550</v>
      </c>
      <c r="N588">
        <v>0</v>
      </c>
    </row>
    <row r="589" spans="1:14" x14ac:dyDescent="0.25">
      <c r="A589">
        <v>225.24014600000001</v>
      </c>
      <c r="B589" s="1">
        <f>DATE(2010,12,12) + TIME(5,45,48)</f>
        <v>40524.24013888889</v>
      </c>
      <c r="C589">
        <v>80</v>
      </c>
      <c r="D589">
        <v>72.160987853999998</v>
      </c>
      <c r="E589">
        <v>60</v>
      </c>
      <c r="F589">
        <v>59.903221129999999</v>
      </c>
      <c r="G589">
        <v>1329.690918</v>
      </c>
      <c r="H589">
        <v>1329.2785644999999</v>
      </c>
      <c r="I589">
        <v>1333.2902832</v>
      </c>
      <c r="J589">
        <v>1332.2131348</v>
      </c>
      <c r="K589">
        <v>0</v>
      </c>
      <c r="L589">
        <v>550</v>
      </c>
      <c r="M589">
        <v>550</v>
      </c>
      <c r="N589">
        <v>0</v>
      </c>
    </row>
    <row r="590" spans="1:14" x14ac:dyDescent="0.25">
      <c r="A590">
        <v>226.27381399999999</v>
      </c>
      <c r="B590" s="1">
        <f>DATE(2010,12,13) + TIME(6,34,17)</f>
        <v>40525.27380787037</v>
      </c>
      <c r="C590">
        <v>80</v>
      </c>
      <c r="D590">
        <v>71.932876586999996</v>
      </c>
      <c r="E590">
        <v>60</v>
      </c>
      <c r="F590">
        <v>59.903163910000004</v>
      </c>
      <c r="G590">
        <v>1329.677124</v>
      </c>
      <c r="H590">
        <v>1329.2595214999999</v>
      </c>
      <c r="I590">
        <v>1333.2879639</v>
      </c>
      <c r="J590">
        <v>1332.2130127</v>
      </c>
      <c r="K590">
        <v>0</v>
      </c>
      <c r="L590">
        <v>550</v>
      </c>
      <c r="M590">
        <v>550</v>
      </c>
      <c r="N590">
        <v>0</v>
      </c>
    </row>
    <row r="591" spans="1:14" x14ac:dyDescent="0.25">
      <c r="A591">
        <v>227.32899499999999</v>
      </c>
      <c r="B591" s="1">
        <f>DATE(2010,12,14) + TIME(7,53,45)</f>
        <v>40526.328993055555</v>
      </c>
      <c r="C591">
        <v>80</v>
      </c>
      <c r="D591">
        <v>71.701393127000003</v>
      </c>
      <c r="E591">
        <v>60</v>
      </c>
      <c r="F591">
        <v>59.903110503999997</v>
      </c>
      <c r="G591">
        <v>1329.6634521000001</v>
      </c>
      <c r="H591">
        <v>1329.2407227000001</v>
      </c>
      <c r="I591">
        <v>1333.2857666</v>
      </c>
      <c r="J591">
        <v>1332.2130127</v>
      </c>
      <c r="K591">
        <v>0</v>
      </c>
      <c r="L591">
        <v>550</v>
      </c>
      <c r="M591">
        <v>550</v>
      </c>
      <c r="N591">
        <v>0</v>
      </c>
    </row>
    <row r="592" spans="1:14" x14ac:dyDescent="0.25">
      <c r="A592">
        <v>228.410966</v>
      </c>
      <c r="B592" s="1">
        <f>DATE(2010,12,15) + TIME(9,51,47)</f>
        <v>40527.410960648151</v>
      </c>
      <c r="C592">
        <v>80</v>
      </c>
      <c r="D592">
        <v>71.465728760000005</v>
      </c>
      <c r="E592">
        <v>60</v>
      </c>
      <c r="F592">
        <v>59.903060912999997</v>
      </c>
      <c r="G592">
        <v>1329.6497803</v>
      </c>
      <c r="H592">
        <v>1329.2219238</v>
      </c>
      <c r="I592">
        <v>1333.2835693</v>
      </c>
      <c r="J592">
        <v>1332.2130127</v>
      </c>
      <c r="K592">
        <v>0</v>
      </c>
      <c r="L592">
        <v>550</v>
      </c>
      <c r="M592">
        <v>550</v>
      </c>
      <c r="N592">
        <v>0</v>
      </c>
    </row>
    <row r="593" spans="1:14" x14ac:dyDescent="0.25">
      <c r="A593">
        <v>229.50142099999999</v>
      </c>
      <c r="B593" s="1">
        <f>DATE(2010,12,16) + TIME(12,2,2)</f>
        <v>40528.50141203704</v>
      </c>
      <c r="C593">
        <v>80</v>
      </c>
      <c r="D593">
        <v>71.228607178000004</v>
      </c>
      <c r="E593">
        <v>60</v>
      </c>
      <c r="F593">
        <v>59.903011321999998</v>
      </c>
      <c r="G593">
        <v>1329.6362305</v>
      </c>
      <c r="H593">
        <v>1329.2032471</v>
      </c>
      <c r="I593">
        <v>1333.2813721</v>
      </c>
      <c r="J593">
        <v>1332.2130127</v>
      </c>
      <c r="K593">
        <v>0</v>
      </c>
      <c r="L593">
        <v>550</v>
      </c>
      <c r="M593">
        <v>550</v>
      </c>
      <c r="N593">
        <v>0</v>
      </c>
    </row>
    <row r="594" spans="1:14" x14ac:dyDescent="0.25">
      <c r="A594">
        <v>230.60366099999999</v>
      </c>
      <c r="B594" s="1">
        <f>DATE(2010,12,17) + TIME(14,29,16)</f>
        <v>40529.60365740741</v>
      </c>
      <c r="C594">
        <v>80</v>
      </c>
      <c r="D594">
        <v>70.989822387999993</v>
      </c>
      <c r="E594">
        <v>60</v>
      </c>
      <c r="F594">
        <v>59.90296936</v>
      </c>
      <c r="G594">
        <v>1329.6229248</v>
      </c>
      <c r="H594">
        <v>1329.1848144999999</v>
      </c>
      <c r="I594">
        <v>1333.2792969</v>
      </c>
      <c r="J594">
        <v>1332.2130127</v>
      </c>
      <c r="K594">
        <v>0</v>
      </c>
      <c r="L594">
        <v>550</v>
      </c>
      <c r="M594">
        <v>550</v>
      </c>
      <c r="N594">
        <v>0</v>
      </c>
    </row>
    <row r="595" spans="1:14" x14ac:dyDescent="0.25">
      <c r="A595">
        <v>231.72262699999999</v>
      </c>
      <c r="B595" s="1">
        <f>DATE(2010,12,18) + TIME(17,20,34)</f>
        <v>40530.722615740742</v>
      </c>
      <c r="C595">
        <v>80</v>
      </c>
      <c r="D595">
        <v>70.748817443999997</v>
      </c>
      <c r="E595">
        <v>60</v>
      </c>
      <c r="F595">
        <v>59.902931213000002</v>
      </c>
      <c r="G595">
        <v>1329.6096190999999</v>
      </c>
      <c r="H595">
        <v>1329.166626</v>
      </c>
      <c r="I595">
        <v>1333.2772216999999</v>
      </c>
      <c r="J595">
        <v>1332.2130127</v>
      </c>
      <c r="K595">
        <v>0</v>
      </c>
      <c r="L595">
        <v>550</v>
      </c>
      <c r="M595">
        <v>550</v>
      </c>
      <c r="N595">
        <v>0</v>
      </c>
    </row>
    <row r="596" spans="1:14" x14ac:dyDescent="0.25">
      <c r="A596">
        <v>232.86334099999999</v>
      </c>
      <c r="B596" s="1">
        <f>DATE(2010,12,19) + TIME(20,43,12)</f>
        <v>40531.863333333335</v>
      </c>
      <c r="C596">
        <v>80</v>
      </c>
      <c r="D596">
        <v>70.504928589000002</v>
      </c>
      <c r="E596">
        <v>60</v>
      </c>
      <c r="F596">
        <v>59.902896880999997</v>
      </c>
      <c r="G596">
        <v>1329.5965576000001</v>
      </c>
      <c r="H596">
        <v>1329.1485596</v>
      </c>
      <c r="I596">
        <v>1333.2752685999999</v>
      </c>
      <c r="J596">
        <v>1332.2130127</v>
      </c>
      <c r="K596">
        <v>0</v>
      </c>
      <c r="L596">
        <v>550</v>
      </c>
      <c r="M596">
        <v>550</v>
      </c>
      <c r="N596">
        <v>0</v>
      </c>
    </row>
    <row r="597" spans="1:14" x14ac:dyDescent="0.25">
      <c r="A597">
        <v>234.03112999999999</v>
      </c>
      <c r="B597" s="1">
        <f>DATE(2010,12,21) + TIME(0,44,49)</f>
        <v>40533.031122685185</v>
      </c>
      <c r="C597">
        <v>80</v>
      </c>
      <c r="D597">
        <v>70.257392882999994</v>
      </c>
      <c r="E597">
        <v>60</v>
      </c>
      <c r="F597">
        <v>59.902866363999998</v>
      </c>
      <c r="G597">
        <v>1329.5834961</v>
      </c>
      <c r="H597">
        <v>1329.1306152</v>
      </c>
      <c r="I597">
        <v>1333.2731934000001</v>
      </c>
      <c r="J597">
        <v>1332.2131348</v>
      </c>
      <c r="K597">
        <v>0</v>
      </c>
      <c r="L597">
        <v>550</v>
      </c>
      <c r="M597">
        <v>550</v>
      </c>
      <c r="N597">
        <v>0</v>
      </c>
    </row>
    <row r="598" spans="1:14" x14ac:dyDescent="0.25">
      <c r="A598">
        <v>235.23174299999999</v>
      </c>
      <c r="B598" s="1">
        <f>DATE(2010,12,22) + TIME(5,33,42)</f>
        <v>40534.231736111113</v>
      </c>
      <c r="C598">
        <v>80</v>
      </c>
      <c r="D598">
        <v>70.005348205999994</v>
      </c>
      <c r="E598">
        <v>60</v>
      </c>
      <c r="F598">
        <v>59.902839661000002</v>
      </c>
      <c r="G598">
        <v>1329.5705565999999</v>
      </c>
      <c r="H598">
        <v>1329.1126709</v>
      </c>
      <c r="I598">
        <v>1333.2712402</v>
      </c>
      <c r="J598">
        <v>1332.2132568</v>
      </c>
      <c r="K598">
        <v>0</v>
      </c>
      <c r="L598">
        <v>550</v>
      </c>
      <c r="M598">
        <v>550</v>
      </c>
      <c r="N598">
        <v>0</v>
      </c>
    </row>
    <row r="599" spans="1:14" x14ac:dyDescent="0.25">
      <c r="A599">
        <v>236.45917900000001</v>
      </c>
      <c r="B599" s="1">
        <f>DATE(2010,12,23) + TIME(11,1,13)</f>
        <v>40535.459178240744</v>
      </c>
      <c r="C599">
        <v>80</v>
      </c>
      <c r="D599">
        <v>69.749252318999993</v>
      </c>
      <c r="E599">
        <v>60</v>
      </c>
      <c r="F599">
        <v>59.902816772000001</v>
      </c>
      <c r="G599">
        <v>1329.5576172000001</v>
      </c>
      <c r="H599">
        <v>1329.0948486</v>
      </c>
      <c r="I599">
        <v>1333.2694091999999</v>
      </c>
      <c r="J599">
        <v>1332.2133789</v>
      </c>
      <c r="K599">
        <v>0</v>
      </c>
      <c r="L599">
        <v>550</v>
      </c>
      <c r="M599">
        <v>550</v>
      </c>
      <c r="N599">
        <v>0</v>
      </c>
    </row>
    <row r="600" spans="1:14" x14ac:dyDescent="0.25">
      <c r="A600">
        <v>237.69654800000001</v>
      </c>
      <c r="B600" s="1">
        <f>DATE(2010,12,24) + TIME(16,43,1)</f>
        <v>40536.696539351855</v>
      </c>
      <c r="C600">
        <v>80</v>
      </c>
      <c r="D600">
        <v>69.491661071999999</v>
      </c>
      <c r="E600">
        <v>60</v>
      </c>
      <c r="F600">
        <v>59.902793883999998</v>
      </c>
      <c r="G600">
        <v>1329.5446777</v>
      </c>
      <c r="H600">
        <v>1329.0770264</v>
      </c>
      <c r="I600">
        <v>1333.2674560999999</v>
      </c>
      <c r="J600">
        <v>1332.213501</v>
      </c>
      <c r="K600">
        <v>0</v>
      </c>
      <c r="L600">
        <v>550</v>
      </c>
      <c r="M600">
        <v>550</v>
      </c>
      <c r="N600">
        <v>0</v>
      </c>
    </row>
    <row r="601" spans="1:14" x14ac:dyDescent="0.25">
      <c r="A601">
        <v>238.94987599999999</v>
      </c>
      <c r="B601" s="1">
        <f>DATE(2010,12,25) + TIME(22,47,49)</f>
        <v>40537.949872685182</v>
      </c>
      <c r="C601">
        <v>80</v>
      </c>
      <c r="D601">
        <v>69.232208252000007</v>
      </c>
      <c r="E601">
        <v>60</v>
      </c>
      <c r="F601">
        <v>59.902778625000003</v>
      </c>
      <c r="G601">
        <v>1329.5318603999999</v>
      </c>
      <c r="H601">
        <v>1329.0594481999999</v>
      </c>
      <c r="I601">
        <v>1333.265625</v>
      </c>
      <c r="J601">
        <v>1332.2137451000001</v>
      </c>
      <c r="K601">
        <v>0</v>
      </c>
      <c r="L601">
        <v>550</v>
      </c>
      <c r="M601">
        <v>550</v>
      </c>
      <c r="N601">
        <v>0</v>
      </c>
    </row>
    <row r="602" spans="1:14" x14ac:dyDescent="0.25">
      <c r="A602">
        <v>240.22537399999999</v>
      </c>
      <c r="B602" s="1">
        <f>DATE(2010,12,27) + TIME(5,24,32)</f>
        <v>40539.225370370368</v>
      </c>
      <c r="C602">
        <v>80</v>
      </c>
      <c r="D602">
        <v>68.970252990999995</v>
      </c>
      <c r="E602">
        <v>60</v>
      </c>
      <c r="F602">
        <v>59.902763366999999</v>
      </c>
      <c r="G602">
        <v>1329.5192870999999</v>
      </c>
      <c r="H602">
        <v>1329.0421143000001</v>
      </c>
      <c r="I602">
        <v>1333.2637939000001</v>
      </c>
      <c r="J602">
        <v>1332.2139893000001</v>
      </c>
      <c r="K602">
        <v>0</v>
      </c>
      <c r="L602">
        <v>550</v>
      </c>
      <c r="M602">
        <v>550</v>
      </c>
      <c r="N602">
        <v>0</v>
      </c>
    </row>
    <row r="603" spans="1:14" x14ac:dyDescent="0.25">
      <c r="A603">
        <v>241.527705</v>
      </c>
      <c r="B603" s="1">
        <f>DATE(2010,12,28) + TIME(12,39,53)</f>
        <v>40540.527696759258</v>
      </c>
      <c r="C603">
        <v>80</v>
      </c>
      <c r="D603">
        <v>68.705184936999999</v>
      </c>
      <c r="E603">
        <v>60</v>
      </c>
      <c r="F603">
        <v>59.902755737</v>
      </c>
      <c r="G603">
        <v>1329.5068358999999</v>
      </c>
      <c r="H603">
        <v>1329.0247803</v>
      </c>
      <c r="I603">
        <v>1333.2620850000001</v>
      </c>
      <c r="J603">
        <v>1332.2141113</v>
      </c>
      <c r="K603">
        <v>0</v>
      </c>
      <c r="L603">
        <v>550</v>
      </c>
      <c r="M603">
        <v>550</v>
      </c>
      <c r="N603">
        <v>0</v>
      </c>
    </row>
    <row r="604" spans="1:14" x14ac:dyDescent="0.25">
      <c r="A604">
        <v>242.85153700000001</v>
      </c>
      <c r="B604" s="1">
        <f>DATE(2010,12,29) + TIME(20,26,12)</f>
        <v>40541.851527777777</v>
      </c>
      <c r="C604">
        <v>80</v>
      </c>
      <c r="D604">
        <v>68.437644958000007</v>
      </c>
      <c r="E604">
        <v>60</v>
      </c>
      <c r="F604">
        <v>59.902751922999997</v>
      </c>
      <c r="G604">
        <v>1329.4945068</v>
      </c>
      <c r="H604">
        <v>1329.0076904</v>
      </c>
      <c r="I604">
        <v>1333.2602539</v>
      </c>
      <c r="J604">
        <v>1332.2143555</v>
      </c>
      <c r="K604">
        <v>0</v>
      </c>
      <c r="L604">
        <v>550</v>
      </c>
      <c r="M604">
        <v>550</v>
      </c>
      <c r="N604">
        <v>0</v>
      </c>
    </row>
    <row r="605" spans="1:14" x14ac:dyDescent="0.25">
      <c r="A605">
        <v>244.19310200000001</v>
      </c>
      <c r="B605" s="1">
        <f>DATE(2010,12,31) + TIME(4,38,3)</f>
        <v>40543.193090277775</v>
      </c>
      <c r="C605">
        <v>80</v>
      </c>
      <c r="D605">
        <v>68.168220520000006</v>
      </c>
      <c r="E605">
        <v>60</v>
      </c>
      <c r="F605">
        <v>59.902748107999997</v>
      </c>
      <c r="G605">
        <v>1329.4821777</v>
      </c>
      <c r="H605">
        <v>1328.9907227000001</v>
      </c>
      <c r="I605">
        <v>1333.2585449000001</v>
      </c>
      <c r="J605">
        <v>1332.2147216999999</v>
      </c>
      <c r="K605">
        <v>0</v>
      </c>
      <c r="L605">
        <v>550</v>
      </c>
      <c r="M605">
        <v>550</v>
      </c>
      <c r="N605">
        <v>0</v>
      </c>
    </row>
    <row r="606" spans="1:14" x14ac:dyDescent="0.25">
      <c r="A606">
        <v>245</v>
      </c>
      <c r="B606" s="1">
        <f>DATE(2011,1,1) + TIME(0,0,0)</f>
        <v>40544</v>
      </c>
      <c r="C606">
        <v>80</v>
      </c>
      <c r="D606">
        <v>67.978836060000006</v>
      </c>
      <c r="E606">
        <v>60</v>
      </c>
      <c r="F606">
        <v>59.902721405000001</v>
      </c>
      <c r="G606">
        <v>1329.4700928</v>
      </c>
      <c r="H606">
        <v>1328.9744873</v>
      </c>
      <c r="I606">
        <v>1333.2569579999999</v>
      </c>
      <c r="J606">
        <v>1332.2149658000001</v>
      </c>
      <c r="K606">
        <v>0</v>
      </c>
      <c r="L606">
        <v>550</v>
      </c>
      <c r="M606">
        <v>550</v>
      </c>
      <c r="N606">
        <v>0</v>
      </c>
    </row>
    <row r="607" spans="1:14" x14ac:dyDescent="0.25">
      <c r="A607">
        <v>246.34889799999999</v>
      </c>
      <c r="B607" s="1">
        <f>DATE(2011,1,2) + TIME(8,22,24)</f>
        <v>40545.34888888889</v>
      </c>
      <c r="C607">
        <v>80</v>
      </c>
      <c r="D607">
        <v>67.719558715999995</v>
      </c>
      <c r="E607">
        <v>60</v>
      </c>
      <c r="F607">
        <v>59.902736664000003</v>
      </c>
      <c r="G607">
        <v>1329.4622803</v>
      </c>
      <c r="H607">
        <v>1328.9627685999999</v>
      </c>
      <c r="I607">
        <v>1333.2559814000001</v>
      </c>
      <c r="J607">
        <v>1332.2150879000001</v>
      </c>
      <c r="K607">
        <v>0</v>
      </c>
      <c r="L607">
        <v>550</v>
      </c>
      <c r="M607">
        <v>550</v>
      </c>
      <c r="N607">
        <v>0</v>
      </c>
    </row>
    <row r="608" spans="1:14" x14ac:dyDescent="0.25">
      <c r="A608">
        <v>247.72407200000001</v>
      </c>
      <c r="B608" s="1">
        <f>DATE(2011,1,3) + TIME(17,22,39)</f>
        <v>40546.724062499998</v>
      </c>
      <c r="C608">
        <v>80</v>
      </c>
      <c r="D608">
        <v>67.454574585000003</v>
      </c>
      <c r="E608">
        <v>60</v>
      </c>
      <c r="F608">
        <v>59.902751922999997</v>
      </c>
      <c r="G608">
        <v>1329.4508057</v>
      </c>
      <c r="H608">
        <v>1328.9470214999999</v>
      </c>
      <c r="I608">
        <v>1333.2543945</v>
      </c>
      <c r="J608">
        <v>1332.2154541</v>
      </c>
      <c r="K608">
        <v>0</v>
      </c>
      <c r="L608">
        <v>550</v>
      </c>
      <c r="M608">
        <v>550</v>
      </c>
      <c r="N608">
        <v>0</v>
      </c>
    </row>
    <row r="609" spans="1:14" x14ac:dyDescent="0.25">
      <c r="A609">
        <v>249.12376</v>
      </c>
      <c r="B609" s="1">
        <f>DATE(2011,1,5) + TIME(2,58,12)</f>
        <v>40548.123749999999</v>
      </c>
      <c r="C609">
        <v>80</v>
      </c>
      <c r="D609">
        <v>67.185096740999995</v>
      </c>
      <c r="E609">
        <v>60</v>
      </c>
      <c r="F609">
        <v>59.902770996000001</v>
      </c>
      <c r="G609">
        <v>1329.4393310999999</v>
      </c>
      <c r="H609">
        <v>1328.9311522999999</v>
      </c>
      <c r="I609">
        <v>1333.2528076000001</v>
      </c>
      <c r="J609">
        <v>1332.2156981999999</v>
      </c>
      <c r="K609">
        <v>0</v>
      </c>
      <c r="L609">
        <v>550</v>
      </c>
      <c r="M609">
        <v>550</v>
      </c>
      <c r="N609">
        <v>0</v>
      </c>
    </row>
    <row r="610" spans="1:14" x14ac:dyDescent="0.25">
      <c r="A610">
        <v>250.55503999999999</v>
      </c>
      <c r="B610" s="1">
        <f>DATE(2011,1,6) + TIME(13,19,15)</f>
        <v>40549.555034722223</v>
      </c>
      <c r="C610">
        <v>80</v>
      </c>
      <c r="D610">
        <v>66.911033630000006</v>
      </c>
      <c r="E610">
        <v>60</v>
      </c>
      <c r="F610">
        <v>59.902786255000002</v>
      </c>
      <c r="G610">
        <v>1329.4278564000001</v>
      </c>
      <c r="H610">
        <v>1328.9154053</v>
      </c>
      <c r="I610">
        <v>1333.2512207</v>
      </c>
      <c r="J610">
        <v>1332.2160644999999</v>
      </c>
      <c r="K610">
        <v>0</v>
      </c>
      <c r="L610">
        <v>550</v>
      </c>
      <c r="M610">
        <v>550</v>
      </c>
      <c r="N610">
        <v>0</v>
      </c>
    </row>
    <row r="611" spans="1:14" x14ac:dyDescent="0.25">
      <c r="A611">
        <v>252.01241300000001</v>
      </c>
      <c r="B611" s="1">
        <f>DATE(2011,1,8) + TIME(0,17,52)</f>
        <v>40551.012407407405</v>
      </c>
      <c r="C611">
        <v>80</v>
      </c>
      <c r="D611">
        <v>66.633354186999995</v>
      </c>
      <c r="E611">
        <v>60</v>
      </c>
      <c r="F611">
        <v>59.902809142999999</v>
      </c>
      <c r="G611">
        <v>1329.4165039</v>
      </c>
      <c r="H611">
        <v>1328.8996582</v>
      </c>
      <c r="I611">
        <v>1333.2497559000001</v>
      </c>
      <c r="J611">
        <v>1332.2164307</v>
      </c>
      <c r="K611">
        <v>0</v>
      </c>
      <c r="L611">
        <v>550</v>
      </c>
      <c r="M611">
        <v>550</v>
      </c>
      <c r="N611">
        <v>0</v>
      </c>
    </row>
    <row r="612" spans="1:14" x14ac:dyDescent="0.25">
      <c r="A612">
        <v>253.47666000000001</v>
      </c>
      <c r="B612" s="1">
        <f>DATE(2011,1,9) + TIME(11,26,23)</f>
        <v>40552.476655092592</v>
      </c>
      <c r="C612">
        <v>80</v>
      </c>
      <c r="D612">
        <v>66.354652404999996</v>
      </c>
      <c r="E612">
        <v>60</v>
      </c>
      <c r="F612">
        <v>59.902832031000003</v>
      </c>
      <c r="G612">
        <v>1329.4052733999999</v>
      </c>
      <c r="H612">
        <v>1328.8841553</v>
      </c>
      <c r="I612">
        <v>1333.2482910000001</v>
      </c>
      <c r="J612">
        <v>1332.2167969</v>
      </c>
      <c r="K612">
        <v>0</v>
      </c>
      <c r="L612">
        <v>550</v>
      </c>
      <c r="M612">
        <v>550</v>
      </c>
      <c r="N612">
        <v>0</v>
      </c>
    </row>
    <row r="613" spans="1:14" x14ac:dyDescent="0.25">
      <c r="A613">
        <v>254.955276</v>
      </c>
      <c r="B613" s="1">
        <f>DATE(2011,1,10) + TIME(22,55,35)</f>
        <v>40553.955266203702</v>
      </c>
      <c r="C613">
        <v>80</v>
      </c>
      <c r="D613">
        <v>66.074882506999998</v>
      </c>
      <c r="E613">
        <v>60</v>
      </c>
      <c r="F613">
        <v>59.902862548999998</v>
      </c>
      <c r="G613">
        <v>1329.3942870999999</v>
      </c>
      <c r="H613">
        <v>1328.8687743999999</v>
      </c>
      <c r="I613">
        <v>1333.2468262</v>
      </c>
      <c r="J613">
        <v>1332.2171631000001</v>
      </c>
      <c r="K613">
        <v>0</v>
      </c>
      <c r="L613">
        <v>550</v>
      </c>
      <c r="M613">
        <v>550</v>
      </c>
      <c r="N613">
        <v>0</v>
      </c>
    </row>
    <row r="614" spans="1:14" x14ac:dyDescent="0.25">
      <c r="A614">
        <v>256.45590700000002</v>
      </c>
      <c r="B614" s="1">
        <f>DATE(2011,1,12) + TIME(10,56,30)</f>
        <v>40555.45590277778</v>
      </c>
      <c r="C614">
        <v>80</v>
      </c>
      <c r="D614">
        <v>65.793457031000003</v>
      </c>
      <c r="E614">
        <v>60</v>
      </c>
      <c r="F614">
        <v>59.902893065999997</v>
      </c>
      <c r="G614">
        <v>1329.3834228999999</v>
      </c>
      <c r="H614">
        <v>1328.8536377</v>
      </c>
      <c r="I614">
        <v>1333.2453613</v>
      </c>
      <c r="J614">
        <v>1332.2175293</v>
      </c>
      <c r="K614">
        <v>0</v>
      </c>
      <c r="L614">
        <v>550</v>
      </c>
      <c r="M614">
        <v>550</v>
      </c>
      <c r="N614">
        <v>0</v>
      </c>
    </row>
    <row r="615" spans="1:14" x14ac:dyDescent="0.25">
      <c r="A615">
        <v>257.98642100000001</v>
      </c>
      <c r="B615" s="1">
        <f>DATE(2011,1,13) + TIME(23,40,26)</f>
        <v>40556.98641203704</v>
      </c>
      <c r="C615">
        <v>80</v>
      </c>
      <c r="D615">
        <v>65.509521484000004</v>
      </c>
      <c r="E615">
        <v>60</v>
      </c>
      <c r="F615">
        <v>59.902931213000002</v>
      </c>
      <c r="G615">
        <v>1329.3726807</v>
      </c>
      <c r="H615">
        <v>1328.8387451000001</v>
      </c>
      <c r="I615">
        <v>1333.2440185999999</v>
      </c>
      <c r="J615">
        <v>1332.2178954999999</v>
      </c>
      <c r="K615">
        <v>0</v>
      </c>
      <c r="L615">
        <v>550</v>
      </c>
      <c r="M615">
        <v>550</v>
      </c>
      <c r="N615">
        <v>0</v>
      </c>
    </row>
    <row r="616" spans="1:14" x14ac:dyDescent="0.25">
      <c r="A616">
        <v>259.55537900000002</v>
      </c>
      <c r="B616" s="1">
        <f>DATE(2011,1,15) + TIME(13,19,44)</f>
        <v>40558.55537037037</v>
      </c>
      <c r="C616">
        <v>80</v>
      </c>
      <c r="D616">
        <v>65.221984863000003</v>
      </c>
      <c r="E616">
        <v>60</v>
      </c>
      <c r="F616">
        <v>59.902973175</v>
      </c>
      <c r="G616">
        <v>1329.3620605000001</v>
      </c>
      <c r="H616">
        <v>1328.8238524999999</v>
      </c>
      <c r="I616">
        <v>1333.2425536999999</v>
      </c>
      <c r="J616">
        <v>1332.2182617000001</v>
      </c>
      <c r="K616">
        <v>0</v>
      </c>
      <c r="L616">
        <v>550</v>
      </c>
      <c r="M616">
        <v>550</v>
      </c>
      <c r="N616">
        <v>0</v>
      </c>
    </row>
    <row r="617" spans="1:14" x14ac:dyDescent="0.25">
      <c r="A617">
        <v>261.158773</v>
      </c>
      <c r="B617" s="1">
        <f>DATE(2011,1,17) + TIME(3,48,37)</f>
        <v>40560.158761574072</v>
      </c>
      <c r="C617">
        <v>80</v>
      </c>
      <c r="D617">
        <v>64.931022643999995</v>
      </c>
      <c r="E617">
        <v>60</v>
      </c>
      <c r="F617">
        <v>59.903022765999999</v>
      </c>
      <c r="G617">
        <v>1329.3515625</v>
      </c>
      <c r="H617">
        <v>1328.8092041</v>
      </c>
      <c r="I617">
        <v>1333.2412108999999</v>
      </c>
      <c r="J617">
        <v>1332.2186279</v>
      </c>
      <c r="K617">
        <v>0</v>
      </c>
      <c r="L617">
        <v>550</v>
      </c>
      <c r="M617">
        <v>550</v>
      </c>
      <c r="N617">
        <v>0</v>
      </c>
    </row>
    <row r="618" spans="1:14" x14ac:dyDescent="0.25">
      <c r="A618">
        <v>262.76591400000001</v>
      </c>
      <c r="B618" s="1">
        <f>DATE(2011,1,18) + TIME(18,22,54)</f>
        <v>40561.765902777777</v>
      </c>
      <c r="C618">
        <v>80</v>
      </c>
      <c r="D618">
        <v>64.639892578000001</v>
      </c>
      <c r="E618">
        <v>60</v>
      </c>
      <c r="F618">
        <v>59.903072356999999</v>
      </c>
      <c r="G618">
        <v>1329.3410644999999</v>
      </c>
      <c r="H618">
        <v>1328.7946777</v>
      </c>
      <c r="I618">
        <v>1333.2398682</v>
      </c>
      <c r="J618">
        <v>1332.2189940999999</v>
      </c>
      <c r="K618">
        <v>0</v>
      </c>
      <c r="L618">
        <v>550</v>
      </c>
      <c r="M618">
        <v>550</v>
      </c>
      <c r="N618">
        <v>0</v>
      </c>
    </row>
    <row r="619" spans="1:14" x14ac:dyDescent="0.25">
      <c r="A619">
        <v>264.385401</v>
      </c>
      <c r="B619" s="1">
        <f>DATE(2011,1,20) + TIME(9,14,58)</f>
        <v>40563.385393518518</v>
      </c>
      <c r="C619">
        <v>80</v>
      </c>
      <c r="D619">
        <v>64.348594665999997</v>
      </c>
      <c r="E619">
        <v>60</v>
      </c>
      <c r="F619">
        <v>59.903125762999998</v>
      </c>
      <c r="G619">
        <v>1329.3309326000001</v>
      </c>
      <c r="H619">
        <v>1328.7803954999999</v>
      </c>
      <c r="I619">
        <v>1333.2385254000001</v>
      </c>
      <c r="J619">
        <v>1332.2193603999999</v>
      </c>
      <c r="K619">
        <v>0</v>
      </c>
      <c r="L619">
        <v>550</v>
      </c>
      <c r="M619">
        <v>550</v>
      </c>
      <c r="N619">
        <v>0</v>
      </c>
    </row>
    <row r="620" spans="1:14" x14ac:dyDescent="0.25">
      <c r="A620">
        <v>266.02606200000002</v>
      </c>
      <c r="B620" s="1">
        <f>DATE(2011,1,22) + TIME(0,37,31)</f>
        <v>40565.026053240741</v>
      </c>
      <c r="C620">
        <v>80</v>
      </c>
      <c r="D620">
        <v>64.056541443</v>
      </c>
      <c r="E620">
        <v>60</v>
      </c>
      <c r="F620">
        <v>59.903182983000001</v>
      </c>
      <c r="G620">
        <v>1329.3209228999999</v>
      </c>
      <c r="H620">
        <v>1328.7663574000001</v>
      </c>
      <c r="I620">
        <v>1333.2373047000001</v>
      </c>
      <c r="J620">
        <v>1332.2197266000001</v>
      </c>
      <c r="K620">
        <v>0</v>
      </c>
      <c r="L620">
        <v>550</v>
      </c>
      <c r="M620">
        <v>550</v>
      </c>
      <c r="N620">
        <v>0</v>
      </c>
    </row>
    <row r="621" spans="1:14" x14ac:dyDescent="0.25">
      <c r="A621">
        <v>267.696978</v>
      </c>
      <c r="B621" s="1">
        <f>DATE(2011,1,23) + TIME(16,43,38)</f>
        <v>40566.696967592594</v>
      </c>
      <c r="C621">
        <v>80</v>
      </c>
      <c r="D621">
        <v>63.762794495000001</v>
      </c>
      <c r="E621">
        <v>60</v>
      </c>
      <c r="F621">
        <v>59.903244018999999</v>
      </c>
      <c r="G621">
        <v>1329.3111572</v>
      </c>
      <c r="H621">
        <v>1328.7525635</v>
      </c>
      <c r="I621">
        <v>1333.2359618999999</v>
      </c>
      <c r="J621">
        <v>1332.2202147999999</v>
      </c>
      <c r="K621">
        <v>0</v>
      </c>
      <c r="L621">
        <v>550</v>
      </c>
      <c r="M621">
        <v>550</v>
      </c>
      <c r="N621">
        <v>0</v>
      </c>
    </row>
    <row r="622" spans="1:14" x14ac:dyDescent="0.25">
      <c r="A622">
        <v>269.40761199999997</v>
      </c>
      <c r="B622" s="1">
        <f>DATE(2011,1,25) + TIME(9,46,57)</f>
        <v>40568.407604166663</v>
      </c>
      <c r="C622">
        <v>80</v>
      </c>
      <c r="D622">
        <v>63.466224670000003</v>
      </c>
      <c r="E622">
        <v>60</v>
      </c>
      <c r="F622">
        <v>59.903312683000003</v>
      </c>
      <c r="G622">
        <v>1329.3015137</v>
      </c>
      <c r="H622">
        <v>1328.7390137</v>
      </c>
      <c r="I622">
        <v>1333.2347411999999</v>
      </c>
      <c r="J622">
        <v>1332.2205810999999</v>
      </c>
      <c r="K622">
        <v>0</v>
      </c>
      <c r="L622">
        <v>550</v>
      </c>
      <c r="M622">
        <v>550</v>
      </c>
      <c r="N622">
        <v>0</v>
      </c>
    </row>
    <row r="623" spans="1:14" x14ac:dyDescent="0.25">
      <c r="A623">
        <v>271.14855899999998</v>
      </c>
      <c r="B623" s="1">
        <f>DATE(2011,1,27) + TIME(3,33,55)</f>
        <v>40570.148553240739</v>
      </c>
      <c r="C623">
        <v>80</v>
      </c>
      <c r="D623">
        <v>63.167430877999998</v>
      </c>
      <c r="E623">
        <v>60</v>
      </c>
      <c r="F623">
        <v>59.903385161999999</v>
      </c>
      <c r="G623">
        <v>1329.2918701000001</v>
      </c>
      <c r="H623">
        <v>1328.7255858999999</v>
      </c>
      <c r="I623">
        <v>1333.2335204999999</v>
      </c>
      <c r="J623">
        <v>1332.2209473</v>
      </c>
      <c r="K623">
        <v>0</v>
      </c>
      <c r="L623">
        <v>550</v>
      </c>
      <c r="M623">
        <v>550</v>
      </c>
      <c r="N623">
        <v>0</v>
      </c>
    </row>
    <row r="624" spans="1:14" x14ac:dyDescent="0.25">
      <c r="A624">
        <v>272.89995800000003</v>
      </c>
      <c r="B624" s="1">
        <f>DATE(2011,1,28) + TIME(21,35,56)</f>
        <v>40571.899953703702</v>
      </c>
      <c r="C624">
        <v>80</v>
      </c>
      <c r="D624">
        <v>62.868499755999999</v>
      </c>
      <c r="E624">
        <v>60</v>
      </c>
      <c r="F624">
        <v>59.903457641999999</v>
      </c>
      <c r="G624">
        <v>1329.2824707</v>
      </c>
      <c r="H624">
        <v>1328.7122803</v>
      </c>
      <c r="I624">
        <v>1333.2322998</v>
      </c>
      <c r="J624">
        <v>1332.2214355000001</v>
      </c>
      <c r="K624">
        <v>0</v>
      </c>
      <c r="L624">
        <v>550</v>
      </c>
      <c r="M624">
        <v>550</v>
      </c>
      <c r="N624">
        <v>0</v>
      </c>
    </row>
    <row r="625" spans="1:14" x14ac:dyDescent="0.25">
      <c r="A625">
        <v>274.67152099999998</v>
      </c>
      <c r="B625" s="1">
        <f>DATE(2011,1,30) + TIME(16,6,59)</f>
        <v>40573.671516203707</v>
      </c>
      <c r="C625">
        <v>80</v>
      </c>
      <c r="D625">
        <v>62.569332123000002</v>
      </c>
      <c r="E625">
        <v>60</v>
      </c>
      <c r="F625">
        <v>59.903533936000002</v>
      </c>
      <c r="G625">
        <v>1329.2733154</v>
      </c>
      <c r="H625">
        <v>1328.6993408000001</v>
      </c>
      <c r="I625">
        <v>1333.2312012</v>
      </c>
      <c r="J625">
        <v>1332.2219238</v>
      </c>
      <c r="K625">
        <v>0</v>
      </c>
      <c r="L625">
        <v>550</v>
      </c>
      <c r="M625">
        <v>550</v>
      </c>
      <c r="N625">
        <v>0</v>
      </c>
    </row>
    <row r="626" spans="1:14" x14ac:dyDescent="0.25">
      <c r="A626">
        <v>276</v>
      </c>
      <c r="B626" s="1">
        <f>DATE(2011,2,1) + TIME(0,0,0)</f>
        <v>40575</v>
      </c>
      <c r="C626">
        <v>80</v>
      </c>
      <c r="D626">
        <v>62.318244933999999</v>
      </c>
      <c r="E626">
        <v>60</v>
      </c>
      <c r="F626">
        <v>59.903575897000003</v>
      </c>
      <c r="G626">
        <v>1329.2644043</v>
      </c>
      <c r="H626">
        <v>1328.6868896000001</v>
      </c>
      <c r="I626">
        <v>1333.2299805</v>
      </c>
      <c r="J626">
        <v>1332.2222899999999</v>
      </c>
      <c r="K626">
        <v>0</v>
      </c>
      <c r="L626">
        <v>550</v>
      </c>
      <c r="M626">
        <v>550</v>
      </c>
      <c r="N626">
        <v>0</v>
      </c>
    </row>
    <row r="627" spans="1:14" x14ac:dyDescent="0.25">
      <c r="A627">
        <v>277.79298899999998</v>
      </c>
      <c r="B627" s="1">
        <f>DATE(2011,2,2) + TIME(19,1,54)</f>
        <v>40576.792986111112</v>
      </c>
      <c r="C627">
        <v>80</v>
      </c>
      <c r="D627">
        <v>62.033363342000001</v>
      </c>
      <c r="E627">
        <v>60</v>
      </c>
      <c r="F627">
        <v>59.903671265</v>
      </c>
      <c r="G627">
        <v>1329.2574463000001</v>
      </c>
      <c r="H627">
        <v>1328.6765137</v>
      </c>
      <c r="I627">
        <v>1333.229126</v>
      </c>
      <c r="J627">
        <v>1332.2226562000001</v>
      </c>
      <c r="K627">
        <v>0</v>
      </c>
      <c r="L627">
        <v>550</v>
      </c>
      <c r="M627">
        <v>550</v>
      </c>
      <c r="N627">
        <v>0</v>
      </c>
    </row>
    <row r="628" spans="1:14" x14ac:dyDescent="0.25">
      <c r="A628">
        <v>279.63619599999998</v>
      </c>
      <c r="B628" s="1">
        <f>DATE(2011,2,4) + TIME(15,16,7)</f>
        <v>40578.636192129627</v>
      </c>
      <c r="C628">
        <v>80</v>
      </c>
      <c r="D628">
        <v>61.740894318000002</v>
      </c>
      <c r="E628">
        <v>60</v>
      </c>
      <c r="F628">
        <v>59.903766632</v>
      </c>
      <c r="G628">
        <v>1329.2491454999999</v>
      </c>
      <c r="H628">
        <v>1328.6646728999999</v>
      </c>
      <c r="I628">
        <v>1333.2280272999999</v>
      </c>
      <c r="J628">
        <v>1332.2230225000001</v>
      </c>
      <c r="K628">
        <v>0</v>
      </c>
      <c r="L628">
        <v>550</v>
      </c>
      <c r="M628">
        <v>550</v>
      </c>
      <c r="N628">
        <v>0</v>
      </c>
    </row>
    <row r="629" spans="1:14" x14ac:dyDescent="0.25">
      <c r="A629">
        <v>281.51111200000003</v>
      </c>
      <c r="B629" s="1">
        <f>DATE(2011,2,6) + TIME(12,16,0)</f>
        <v>40580.511111111111</v>
      </c>
      <c r="C629">
        <v>80</v>
      </c>
      <c r="D629">
        <v>61.444110870000003</v>
      </c>
      <c r="E629">
        <v>60</v>
      </c>
      <c r="F629">
        <v>59.903865814</v>
      </c>
      <c r="G629">
        <v>1329.2408447</v>
      </c>
      <c r="H629">
        <v>1328.6529541</v>
      </c>
      <c r="I629">
        <v>1333.2269286999999</v>
      </c>
      <c r="J629">
        <v>1332.2235106999999</v>
      </c>
      <c r="K629">
        <v>0</v>
      </c>
      <c r="L629">
        <v>550</v>
      </c>
      <c r="M629">
        <v>550</v>
      </c>
      <c r="N629">
        <v>0</v>
      </c>
    </row>
    <row r="630" spans="1:14" x14ac:dyDescent="0.25">
      <c r="A630">
        <v>283.39724699999999</v>
      </c>
      <c r="B630" s="1">
        <f>DATE(2011,2,8) + TIME(9,32,2)</f>
        <v>40582.397245370368</v>
      </c>
      <c r="C630">
        <v>80</v>
      </c>
      <c r="D630">
        <v>61.146488189999999</v>
      </c>
      <c r="E630">
        <v>60</v>
      </c>
      <c r="F630">
        <v>59.903961182000003</v>
      </c>
      <c r="G630">
        <v>1329.2326660000001</v>
      </c>
      <c r="H630">
        <v>1328.6413574000001</v>
      </c>
      <c r="I630">
        <v>1333.2258300999999</v>
      </c>
      <c r="J630">
        <v>1332.2238769999999</v>
      </c>
      <c r="K630">
        <v>0</v>
      </c>
      <c r="L630">
        <v>550</v>
      </c>
      <c r="M630">
        <v>550</v>
      </c>
      <c r="N630">
        <v>0</v>
      </c>
    </row>
    <row r="631" spans="1:14" x14ac:dyDescent="0.25">
      <c r="A631">
        <v>285.30542300000002</v>
      </c>
      <c r="B631" s="1">
        <f>DATE(2011,2,10) + TIME(7,19,48)</f>
        <v>40584.30541666667</v>
      </c>
      <c r="C631">
        <v>80</v>
      </c>
      <c r="D631">
        <v>60.848880768000001</v>
      </c>
      <c r="E631">
        <v>60</v>
      </c>
      <c r="F631">
        <v>59.904064177999999</v>
      </c>
      <c r="G631">
        <v>1329.2247314000001</v>
      </c>
      <c r="H631">
        <v>1328.6300048999999</v>
      </c>
      <c r="I631">
        <v>1333.2247314000001</v>
      </c>
      <c r="J631">
        <v>1332.2243652</v>
      </c>
      <c r="K631">
        <v>0</v>
      </c>
      <c r="L631">
        <v>550</v>
      </c>
      <c r="M631">
        <v>550</v>
      </c>
      <c r="N631">
        <v>0</v>
      </c>
    </row>
    <row r="632" spans="1:14" x14ac:dyDescent="0.25">
      <c r="A632">
        <v>287.24674199999998</v>
      </c>
      <c r="B632" s="1">
        <f>DATE(2011,2,12) + TIME(5,55,18)</f>
        <v>40586.246736111112</v>
      </c>
      <c r="C632">
        <v>80</v>
      </c>
      <c r="D632">
        <v>60.551082610999998</v>
      </c>
      <c r="E632">
        <v>60</v>
      </c>
      <c r="F632">
        <v>59.904170989999997</v>
      </c>
      <c r="G632">
        <v>1329.2169189000001</v>
      </c>
      <c r="H632">
        <v>1328.6188964999999</v>
      </c>
      <c r="I632">
        <v>1333.2237548999999</v>
      </c>
      <c r="J632">
        <v>1332.2247314000001</v>
      </c>
      <c r="K632">
        <v>0</v>
      </c>
      <c r="L632">
        <v>550</v>
      </c>
      <c r="M632">
        <v>550</v>
      </c>
      <c r="N632">
        <v>0</v>
      </c>
    </row>
    <row r="633" spans="1:14" x14ac:dyDescent="0.25">
      <c r="A633">
        <v>289.23011000000002</v>
      </c>
      <c r="B633" s="1">
        <f>DATE(2011,2,14) + TIME(5,31,21)</f>
        <v>40588.230104166665</v>
      </c>
      <c r="C633">
        <v>80</v>
      </c>
      <c r="D633">
        <v>60.252616881999998</v>
      </c>
      <c r="E633">
        <v>60</v>
      </c>
      <c r="F633">
        <v>59.904281615999999</v>
      </c>
      <c r="G633">
        <v>1329.2094727000001</v>
      </c>
      <c r="H633">
        <v>1328.6080322</v>
      </c>
      <c r="I633">
        <v>1333.2226562000001</v>
      </c>
      <c r="J633">
        <v>1332.2252197</v>
      </c>
      <c r="K633">
        <v>0</v>
      </c>
      <c r="L633">
        <v>550</v>
      </c>
      <c r="M633">
        <v>550</v>
      </c>
      <c r="N633">
        <v>0</v>
      </c>
    </row>
    <row r="634" spans="1:14" x14ac:dyDescent="0.25">
      <c r="A634">
        <v>291.23289999999997</v>
      </c>
      <c r="B634" s="1">
        <f>DATE(2011,2,16) + TIME(5,35,22)</f>
        <v>40590.232893518521</v>
      </c>
      <c r="C634">
        <v>80</v>
      </c>
      <c r="D634">
        <v>59.955249786000003</v>
      </c>
      <c r="E634">
        <v>60</v>
      </c>
      <c r="F634">
        <v>59.904396057</v>
      </c>
      <c r="G634">
        <v>1329.2020264</v>
      </c>
      <c r="H634">
        <v>1328.5974120999999</v>
      </c>
      <c r="I634">
        <v>1333.2216797000001</v>
      </c>
      <c r="J634">
        <v>1332.2257079999999</v>
      </c>
      <c r="K634">
        <v>0</v>
      </c>
      <c r="L634">
        <v>550</v>
      </c>
      <c r="M634">
        <v>550</v>
      </c>
      <c r="N634">
        <v>0</v>
      </c>
    </row>
    <row r="635" spans="1:14" x14ac:dyDescent="0.25">
      <c r="A635">
        <v>293.26731999999998</v>
      </c>
      <c r="B635" s="1">
        <f>DATE(2011,2,18) + TIME(6,24,56)</f>
        <v>40592.267314814817</v>
      </c>
      <c r="C635">
        <v>80</v>
      </c>
      <c r="D635">
        <v>59.658794403000002</v>
      </c>
      <c r="E635">
        <v>60</v>
      </c>
      <c r="F635">
        <v>59.904514313</v>
      </c>
      <c r="G635">
        <v>1329.1949463000001</v>
      </c>
      <c r="H635">
        <v>1328.5870361</v>
      </c>
      <c r="I635">
        <v>1333.2207031</v>
      </c>
      <c r="J635">
        <v>1332.2261963000001</v>
      </c>
      <c r="K635">
        <v>0</v>
      </c>
      <c r="L635">
        <v>550</v>
      </c>
      <c r="M635">
        <v>550</v>
      </c>
      <c r="N635">
        <v>0</v>
      </c>
    </row>
    <row r="636" spans="1:14" x14ac:dyDescent="0.25">
      <c r="A636">
        <v>295.31374599999998</v>
      </c>
      <c r="B636" s="1">
        <f>DATE(2011,2,20) + TIME(7,31,47)</f>
        <v>40594.313738425924</v>
      </c>
      <c r="C636">
        <v>80</v>
      </c>
      <c r="D636">
        <v>59.365196228000002</v>
      </c>
      <c r="E636">
        <v>60</v>
      </c>
      <c r="F636">
        <v>59.904632567999997</v>
      </c>
      <c r="G636">
        <v>1329.1879882999999</v>
      </c>
      <c r="H636">
        <v>1328.5770264</v>
      </c>
      <c r="I636">
        <v>1333.2197266000001</v>
      </c>
      <c r="J636">
        <v>1332.2265625</v>
      </c>
      <c r="K636">
        <v>0</v>
      </c>
      <c r="L636">
        <v>550</v>
      </c>
      <c r="M636">
        <v>550</v>
      </c>
      <c r="N636">
        <v>0</v>
      </c>
    </row>
    <row r="637" spans="1:14" x14ac:dyDescent="0.25">
      <c r="A637">
        <v>297.38037000000003</v>
      </c>
      <c r="B637" s="1">
        <f>DATE(2011,2,22) + TIME(9,7,43)</f>
        <v>40596.380358796298</v>
      </c>
      <c r="C637">
        <v>80</v>
      </c>
      <c r="D637">
        <v>59.074802398999999</v>
      </c>
      <c r="E637">
        <v>60</v>
      </c>
      <c r="F637">
        <v>59.904758452999999</v>
      </c>
      <c r="G637">
        <v>1329.1812743999999</v>
      </c>
      <c r="H637">
        <v>1328.5672606999999</v>
      </c>
      <c r="I637">
        <v>1333.21875</v>
      </c>
      <c r="J637">
        <v>1332.2270507999999</v>
      </c>
      <c r="K637">
        <v>0</v>
      </c>
      <c r="L637">
        <v>550</v>
      </c>
      <c r="M637">
        <v>550</v>
      </c>
      <c r="N637">
        <v>0</v>
      </c>
    </row>
    <row r="638" spans="1:14" x14ac:dyDescent="0.25">
      <c r="A638">
        <v>299.47975400000001</v>
      </c>
      <c r="B638" s="1">
        <f>DATE(2011,2,24) + TIME(11,30,50)</f>
        <v>40598.479745370372</v>
      </c>
      <c r="C638">
        <v>80</v>
      </c>
      <c r="D638">
        <v>58.787128447999997</v>
      </c>
      <c r="E638">
        <v>60</v>
      </c>
      <c r="F638">
        <v>59.904888153000002</v>
      </c>
      <c r="G638">
        <v>1329.1749268000001</v>
      </c>
      <c r="H638">
        <v>1328.5578613</v>
      </c>
      <c r="I638">
        <v>1333.2178954999999</v>
      </c>
      <c r="J638">
        <v>1332.2275391000001</v>
      </c>
      <c r="K638">
        <v>0</v>
      </c>
      <c r="L638">
        <v>550</v>
      </c>
      <c r="M638">
        <v>550</v>
      </c>
      <c r="N638">
        <v>0</v>
      </c>
    </row>
    <row r="639" spans="1:14" x14ac:dyDescent="0.25">
      <c r="A639">
        <v>301.62487399999998</v>
      </c>
      <c r="B639" s="1">
        <f>DATE(2011,2,26) + TIME(14,59,49)</f>
        <v>40600.624872685185</v>
      </c>
      <c r="C639">
        <v>80</v>
      </c>
      <c r="D639">
        <v>58.501369476000001</v>
      </c>
      <c r="E639">
        <v>60</v>
      </c>
      <c r="F639">
        <v>59.905021667</v>
      </c>
      <c r="G639">
        <v>1329.1687012</v>
      </c>
      <c r="H639">
        <v>1328.5488281</v>
      </c>
      <c r="I639">
        <v>1333.2169189000001</v>
      </c>
      <c r="J639">
        <v>1332.2280272999999</v>
      </c>
      <c r="K639">
        <v>0</v>
      </c>
      <c r="L639">
        <v>550</v>
      </c>
      <c r="M639">
        <v>550</v>
      </c>
      <c r="N639">
        <v>0</v>
      </c>
    </row>
    <row r="640" spans="1:14" x14ac:dyDescent="0.25">
      <c r="A640">
        <v>303.82970599999999</v>
      </c>
      <c r="B640" s="1">
        <f>DATE(2011,2,28) + TIME(19,54,46)</f>
        <v>40602.829699074071</v>
      </c>
      <c r="C640">
        <v>80</v>
      </c>
      <c r="D640">
        <v>58.216579437</v>
      </c>
      <c r="E640">
        <v>60</v>
      </c>
      <c r="F640">
        <v>59.905162810999997</v>
      </c>
      <c r="G640">
        <v>1329.1627197</v>
      </c>
      <c r="H640">
        <v>1328.5400391000001</v>
      </c>
      <c r="I640">
        <v>1333.2160644999999</v>
      </c>
      <c r="J640">
        <v>1332.2283935999999</v>
      </c>
      <c r="K640">
        <v>0</v>
      </c>
      <c r="L640">
        <v>550</v>
      </c>
      <c r="M640">
        <v>550</v>
      </c>
      <c r="N640">
        <v>0</v>
      </c>
    </row>
    <row r="641" spans="1:14" x14ac:dyDescent="0.25">
      <c r="A641">
        <v>304</v>
      </c>
      <c r="B641" s="1">
        <f>DATE(2011,3,1) + TIME(0,0,0)</f>
        <v>40603</v>
      </c>
      <c r="C641">
        <v>80</v>
      </c>
      <c r="D641">
        <v>58.176116942999997</v>
      </c>
      <c r="E641">
        <v>60</v>
      </c>
      <c r="F641">
        <v>59.905158997000001</v>
      </c>
      <c r="G641">
        <v>1329.1563721</v>
      </c>
      <c r="H641">
        <v>1328.5322266000001</v>
      </c>
      <c r="I641">
        <v>1333.2152100000001</v>
      </c>
      <c r="J641">
        <v>1332.2288818</v>
      </c>
      <c r="K641">
        <v>0</v>
      </c>
      <c r="L641">
        <v>550</v>
      </c>
      <c r="M641">
        <v>550</v>
      </c>
      <c r="N641">
        <v>0</v>
      </c>
    </row>
    <row r="642" spans="1:14" x14ac:dyDescent="0.25">
      <c r="A642">
        <v>306.22520300000002</v>
      </c>
      <c r="B642" s="1">
        <f>DATE(2011,3,3) + TIME(5,24,17)</f>
        <v>40605.22519675926</v>
      </c>
      <c r="C642">
        <v>80</v>
      </c>
      <c r="D642">
        <v>57.904506683000001</v>
      </c>
      <c r="E642">
        <v>60</v>
      </c>
      <c r="F642">
        <v>59.905311584000003</v>
      </c>
      <c r="G642">
        <v>1329.15625</v>
      </c>
      <c r="H642">
        <v>1328.5303954999999</v>
      </c>
      <c r="I642">
        <v>1333.2150879000001</v>
      </c>
      <c r="J642">
        <v>1332.2290039</v>
      </c>
      <c r="K642">
        <v>0</v>
      </c>
      <c r="L642">
        <v>550</v>
      </c>
      <c r="M642">
        <v>550</v>
      </c>
      <c r="N642">
        <v>0</v>
      </c>
    </row>
    <row r="643" spans="1:14" x14ac:dyDescent="0.25">
      <c r="A643">
        <v>308.46617099999997</v>
      </c>
      <c r="B643" s="1">
        <f>DATE(2011,3,5) + TIME(11,11,17)</f>
        <v>40607.466168981482</v>
      </c>
      <c r="C643">
        <v>80</v>
      </c>
      <c r="D643">
        <v>57.633144379000001</v>
      </c>
      <c r="E643">
        <v>60</v>
      </c>
      <c r="F643">
        <v>59.905460357999999</v>
      </c>
      <c r="G643">
        <v>1329.1507568</v>
      </c>
      <c r="H643">
        <v>1328.5224608999999</v>
      </c>
      <c r="I643">
        <v>1333.2142334</v>
      </c>
      <c r="J643">
        <v>1332.2294922000001</v>
      </c>
      <c r="K643">
        <v>0</v>
      </c>
      <c r="L643">
        <v>550</v>
      </c>
      <c r="M643">
        <v>550</v>
      </c>
      <c r="N643">
        <v>0</v>
      </c>
    </row>
    <row r="644" spans="1:14" x14ac:dyDescent="0.25">
      <c r="A644">
        <v>310.718525</v>
      </c>
      <c r="B644" s="1">
        <f>DATE(2011,3,7) + TIME(17,14,40)</f>
        <v>40609.718518518515</v>
      </c>
      <c r="C644">
        <v>80</v>
      </c>
      <c r="D644">
        <v>57.365596771</v>
      </c>
      <c r="E644">
        <v>60</v>
      </c>
      <c r="F644">
        <v>59.905609130999999</v>
      </c>
      <c r="G644">
        <v>1329.1455077999999</v>
      </c>
      <c r="H644">
        <v>1328.5146483999999</v>
      </c>
      <c r="I644">
        <v>1333.2133789</v>
      </c>
      <c r="J644">
        <v>1332.2299805</v>
      </c>
      <c r="K644">
        <v>0</v>
      </c>
      <c r="L644">
        <v>550</v>
      </c>
      <c r="M644">
        <v>550</v>
      </c>
      <c r="N644">
        <v>0</v>
      </c>
    </row>
    <row r="645" spans="1:14" x14ac:dyDescent="0.25">
      <c r="A645">
        <v>312.997229</v>
      </c>
      <c r="B645" s="1">
        <f>DATE(2011,3,9) + TIME(23,56,0)</f>
        <v>40611.99722222222</v>
      </c>
      <c r="C645">
        <v>80</v>
      </c>
      <c r="D645">
        <v>57.1028862</v>
      </c>
      <c r="E645">
        <v>60</v>
      </c>
      <c r="F645">
        <v>59.905761718999997</v>
      </c>
      <c r="G645">
        <v>1329.140625</v>
      </c>
      <c r="H645">
        <v>1328.5073242000001</v>
      </c>
      <c r="I645">
        <v>1333.2125243999999</v>
      </c>
      <c r="J645">
        <v>1332.2303466999999</v>
      </c>
      <c r="K645">
        <v>0</v>
      </c>
      <c r="L645">
        <v>550</v>
      </c>
      <c r="M645">
        <v>550</v>
      </c>
      <c r="N645">
        <v>0</v>
      </c>
    </row>
    <row r="646" spans="1:14" x14ac:dyDescent="0.25">
      <c r="A646">
        <v>315.31713500000001</v>
      </c>
      <c r="B646" s="1">
        <f>DATE(2011,3,12) + TIME(7,36,40)</f>
        <v>40614.317129629628</v>
      </c>
      <c r="C646">
        <v>80</v>
      </c>
      <c r="D646">
        <v>56.844882964999996</v>
      </c>
      <c r="E646">
        <v>60</v>
      </c>
      <c r="F646">
        <v>59.905918120999999</v>
      </c>
      <c r="G646">
        <v>1329.1358643000001</v>
      </c>
      <c r="H646">
        <v>1328.5002440999999</v>
      </c>
      <c r="I646">
        <v>1333.2116699000001</v>
      </c>
      <c r="J646">
        <v>1332.2308350000001</v>
      </c>
      <c r="K646">
        <v>0</v>
      </c>
      <c r="L646">
        <v>550</v>
      </c>
      <c r="M646">
        <v>550</v>
      </c>
      <c r="N646">
        <v>0</v>
      </c>
    </row>
    <row r="647" spans="1:14" x14ac:dyDescent="0.25">
      <c r="A647">
        <v>317.69360999999998</v>
      </c>
      <c r="B647" s="1">
        <f>DATE(2011,3,14) + TIME(16,38,47)</f>
        <v>40616.693599537037</v>
      </c>
      <c r="C647">
        <v>80</v>
      </c>
      <c r="D647">
        <v>56.590980530000003</v>
      </c>
      <c r="E647">
        <v>60</v>
      </c>
      <c r="F647">
        <v>59.906082153</v>
      </c>
      <c r="G647">
        <v>1329.1313477000001</v>
      </c>
      <c r="H647">
        <v>1328.4934082</v>
      </c>
      <c r="I647">
        <v>1333.2109375</v>
      </c>
      <c r="J647">
        <v>1332.2313231999999</v>
      </c>
      <c r="K647">
        <v>0</v>
      </c>
      <c r="L647">
        <v>550</v>
      </c>
      <c r="M647">
        <v>550</v>
      </c>
      <c r="N647">
        <v>0</v>
      </c>
    </row>
    <row r="648" spans="1:14" x14ac:dyDescent="0.25">
      <c r="A648">
        <v>320.09313200000003</v>
      </c>
      <c r="B648" s="1">
        <f>DATE(2011,3,17) + TIME(2,14,6)</f>
        <v>40619.093124999999</v>
      </c>
      <c r="C648">
        <v>80</v>
      </c>
      <c r="D648">
        <v>56.342842101999999</v>
      </c>
      <c r="E648">
        <v>60</v>
      </c>
      <c r="F648">
        <v>59.906246185000001</v>
      </c>
      <c r="G648">
        <v>1329.1270752</v>
      </c>
      <c r="H648">
        <v>1328.4869385</v>
      </c>
      <c r="I648">
        <v>1333.2100829999999</v>
      </c>
      <c r="J648">
        <v>1332.2318115</v>
      </c>
      <c r="K648">
        <v>0</v>
      </c>
      <c r="L648">
        <v>550</v>
      </c>
      <c r="M648">
        <v>550</v>
      </c>
      <c r="N648">
        <v>0</v>
      </c>
    </row>
    <row r="649" spans="1:14" x14ac:dyDescent="0.25">
      <c r="A649">
        <v>322.53135900000001</v>
      </c>
      <c r="B649" s="1">
        <f>DATE(2011,3,19) + TIME(12,45,9)</f>
        <v>40621.531354166669</v>
      </c>
      <c r="C649">
        <v>80</v>
      </c>
      <c r="D649">
        <v>56.100738524999997</v>
      </c>
      <c r="E649">
        <v>60</v>
      </c>
      <c r="F649">
        <v>59.906414032000001</v>
      </c>
      <c r="G649">
        <v>1329.1229248</v>
      </c>
      <c r="H649">
        <v>1328.4808350000001</v>
      </c>
      <c r="I649">
        <v>1333.2093506000001</v>
      </c>
      <c r="J649">
        <v>1332.2322998</v>
      </c>
      <c r="K649">
        <v>0</v>
      </c>
      <c r="L649">
        <v>550</v>
      </c>
      <c r="M649">
        <v>550</v>
      </c>
      <c r="N649">
        <v>0</v>
      </c>
    </row>
    <row r="650" spans="1:14" x14ac:dyDescent="0.25">
      <c r="A650">
        <v>325.01674400000002</v>
      </c>
      <c r="B650" s="1">
        <f>DATE(2011,3,22) + TIME(0,24,6)</f>
        <v>40624.016736111109</v>
      </c>
      <c r="C650">
        <v>80</v>
      </c>
      <c r="D650">
        <v>55.864566803000002</v>
      </c>
      <c r="E650">
        <v>60</v>
      </c>
      <c r="F650">
        <v>59.906589508000003</v>
      </c>
      <c r="G650">
        <v>1329.1191406</v>
      </c>
      <c r="H650">
        <v>1328.4749756000001</v>
      </c>
      <c r="I650">
        <v>1333.2084961</v>
      </c>
      <c r="J650">
        <v>1332.2327881000001</v>
      </c>
      <c r="K650">
        <v>0</v>
      </c>
      <c r="L650">
        <v>550</v>
      </c>
      <c r="M650">
        <v>550</v>
      </c>
      <c r="N650">
        <v>0</v>
      </c>
    </row>
    <row r="651" spans="1:14" x14ac:dyDescent="0.25">
      <c r="A651">
        <v>327.51163600000001</v>
      </c>
      <c r="B651" s="1">
        <f>DATE(2011,3,24) + TIME(12,16,45)</f>
        <v>40626.511631944442</v>
      </c>
      <c r="C651">
        <v>80</v>
      </c>
      <c r="D651">
        <v>55.636100769000002</v>
      </c>
      <c r="E651">
        <v>60</v>
      </c>
      <c r="F651">
        <v>59.906761168999999</v>
      </c>
      <c r="G651">
        <v>1329.1154785000001</v>
      </c>
      <c r="H651">
        <v>1328.4694824000001</v>
      </c>
      <c r="I651">
        <v>1333.2077637</v>
      </c>
      <c r="J651">
        <v>1332.2332764</v>
      </c>
      <c r="K651">
        <v>0</v>
      </c>
      <c r="L651">
        <v>550</v>
      </c>
      <c r="M651">
        <v>550</v>
      </c>
      <c r="N651">
        <v>0</v>
      </c>
    </row>
    <row r="652" spans="1:14" x14ac:dyDescent="0.25">
      <c r="A652">
        <v>330.03280899999999</v>
      </c>
      <c r="B652" s="1">
        <f>DATE(2011,3,27) + TIME(0,47,14)</f>
        <v>40629.032800925925</v>
      </c>
      <c r="C652">
        <v>80</v>
      </c>
      <c r="D652">
        <v>55.415603638</v>
      </c>
      <c r="E652">
        <v>60</v>
      </c>
      <c r="F652">
        <v>59.906940460000001</v>
      </c>
      <c r="G652">
        <v>1329.1121826000001</v>
      </c>
      <c r="H652">
        <v>1328.4643555</v>
      </c>
      <c r="I652">
        <v>1333.2070312000001</v>
      </c>
      <c r="J652">
        <v>1332.2337646000001</v>
      </c>
      <c r="K652">
        <v>0</v>
      </c>
      <c r="L652">
        <v>550</v>
      </c>
      <c r="M652">
        <v>550</v>
      </c>
      <c r="N652">
        <v>0</v>
      </c>
    </row>
    <row r="653" spans="1:14" x14ac:dyDescent="0.25">
      <c r="A653">
        <v>332.59797300000002</v>
      </c>
      <c r="B653" s="1">
        <f>DATE(2011,3,29) + TIME(14,21,4)</f>
        <v>40631.597962962966</v>
      </c>
      <c r="C653">
        <v>80</v>
      </c>
      <c r="D653">
        <v>55.202510834000002</v>
      </c>
      <c r="E653">
        <v>60</v>
      </c>
      <c r="F653">
        <v>59.907123566000003</v>
      </c>
      <c r="G653">
        <v>1329.1090088000001</v>
      </c>
      <c r="H653">
        <v>1328.4595947</v>
      </c>
      <c r="I653">
        <v>1333.2062988</v>
      </c>
      <c r="J653">
        <v>1332.2342529</v>
      </c>
      <c r="K653">
        <v>0</v>
      </c>
      <c r="L653">
        <v>550</v>
      </c>
      <c r="M653">
        <v>550</v>
      </c>
      <c r="N653">
        <v>0</v>
      </c>
    </row>
    <row r="654" spans="1:14" x14ac:dyDescent="0.25">
      <c r="A654">
        <v>335</v>
      </c>
      <c r="B654" s="1">
        <f>DATE(2011,4,1) + TIME(0,0,0)</f>
        <v>40634</v>
      </c>
      <c r="C654">
        <v>80</v>
      </c>
      <c r="D654">
        <v>55.004467009999999</v>
      </c>
      <c r="E654">
        <v>60</v>
      </c>
      <c r="F654">
        <v>59.907287598000003</v>
      </c>
      <c r="G654">
        <v>1329.1060791</v>
      </c>
      <c r="H654">
        <v>1328.4550781</v>
      </c>
      <c r="I654">
        <v>1333.2056885</v>
      </c>
      <c r="J654">
        <v>1332.2348632999999</v>
      </c>
      <c r="K654">
        <v>0</v>
      </c>
      <c r="L654">
        <v>550</v>
      </c>
      <c r="M654">
        <v>550</v>
      </c>
      <c r="N654">
        <v>0</v>
      </c>
    </row>
    <row r="655" spans="1:14" x14ac:dyDescent="0.25">
      <c r="A655">
        <v>337.59948400000002</v>
      </c>
      <c r="B655" s="1">
        <f>DATE(2011,4,3) + TIME(14,23,15)</f>
        <v>40636.599479166667</v>
      </c>
      <c r="C655">
        <v>80</v>
      </c>
      <c r="D655">
        <v>54.811481475999997</v>
      </c>
      <c r="E655">
        <v>60</v>
      </c>
      <c r="F655">
        <v>59.907478333</v>
      </c>
      <c r="G655">
        <v>1329.1035156</v>
      </c>
      <c r="H655">
        <v>1328.4510498</v>
      </c>
      <c r="I655">
        <v>1333.2049560999999</v>
      </c>
      <c r="J655">
        <v>1332.2352295000001</v>
      </c>
      <c r="K655">
        <v>0</v>
      </c>
      <c r="L655">
        <v>550</v>
      </c>
      <c r="M655">
        <v>550</v>
      </c>
      <c r="N655">
        <v>0</v>
      </c>
    </row>
    <row r="656" spans="1:14" x14ac:dyDescent="0.25">
      <c r="A656">
        <v>340.29092600000001</v>
      </c>
      <c r="B656" s="1">
        <f>DATE(2011,4,6) + TIME(6,58,56)</f>
        <v>40639.290925925925</v>
      </c>
      <c r="C656">
        <v>80</v>
      </c>
      <c r="D656">
        <v>54.622688293000003</v>
      </c>
      <c r="E656">
        <v>60</v>
      </c>
      <c r="F656">
        <v>59.907676696999999</v>
      </c>
      <c r="G656">
        <v>1329.1010742000001</v>
      </c>
      <c r="H656">
        <v>1328.4472656</v>
      </c>
      <c r="I656">
        <v>1333.2043457</v>
      </c>
      <c r="J656">
        <v>1332.2357178</v>
      </c>
      <c r="K656">
        <v>0</v>
      </c>
      <c r="L656">
        <v>550</v>
      </c>
      <c r="M656">
        <v>550</v>
      </c>
      <c r="N656">
        <v>0</v>
      </c>
    </row>
    <row r="657" spans="1:14" x14ac:dyDescent="0.25">
      <c r="A657">
        <v>343.05713900000001</v>
      </c>
      <c r="B657" s="1">
        <f>DATE(2011,4,9) + TIME(1,22,16)</f>
        <v>40642.057129629633</v>
      </c>
      <c r="C657">
        <v>80</v>
      </c>
      <c r="D657">
        <v>54.438720703000001</v>
      </c>
      <c r="E657">
        <v>60</v>
      </c>
      <c r="F657">
        <v>59.907878875999998</v>
      </c>
      <c r="G657">
        <v>1329.0988769999999</v>
      </c>
      <c r="H657">
        <v>1328.4437256000001</v>
      </c>
      <c r="I657">
        <v>1333.2036132999999</v>
      </c>
      <c r="J657">
        <v>1332.2362060999999</v>
      </c>
      <c r="K657">
        <v>0</v>
      </c>
      <c r="L657">
        <v>550</v>
      </c>
      <c r="M657">
        <v>550</v>
      </c>
      <c r="N657">
        <v>0</v>
      </c>
    </row>
    <row r="658" spans="1:14" x14ac:dyDescent="0.25">
      <c r="A658">
        <v>345.846048</v>
      </c>
      <c r="B658" s="1">
        <f>DATE(2011,4,11) + TIME(20,18,18)</f>
        <v>40644.846041666664</v>
      </c>
      <c r="C658">
        <v>80</v>
      </c>
      <c r="D658">
        <v>54.261653899999999</v>
      </c>
      <c r="E658">
        <v>60</v>
      </c>
      <c r="F658">
        <v>59.908081054999997</v>
      </c>
      <c r="G658">
        <v>1329.0966797000001</v>
      </c>
      <c r="H658">
        <v>1328.4404297000001</v>
      </c>
      <c r="I658">
        <v>1333.2028809000001</v>
      </c>
      <c r="J658">
        <v>1332.2368164</v>
      </c>
      <c r="K658">
        <v>0</v>
      </c>
      <c r="L658">
        <v>550</v>
      </c>
      <c r="M658">
        <v>550</v>
      </c>
      <c r="N658">
        <v>0</v>
      </c>
    </row>
    <row r="659" spans="1:14" x14ac:dyDescent="0.25">
      <c r="A659">
        <v>348.65403099999997</v>
      </c>
      <c r="B659" s="1">
        <f>DATE(2011,4,14) + TIME(15,41,48)</f>
        <v>40647.654027777775</v>
      </c>
      <c r="C659">
        <v>80</v>
      </c>
      <c r="D659">
        <v>54.092742919999999</v>
      </c>
      <c r="E659">
        <v>60</v>
      </c>
      <c r="F659">
        <v>59.908283234000002</v>
      </c>
      <c r="G659">
        <v>1329.0948486</v>
      </c>
      <c r="H659">
        <v>1328.4375</v>
      </c>
      <c r="I659">
        <v>1333.2022704999999</v>
      </c>
      <c r="J659">
        <v>1332.2373047000001</v>
      </c>
      <c r="K659">
        <v>0</v>
      </c>
      <c r="L659">
        <v>550</v>
      </c>
      <c r="M659">
        <v>550</v>
      </c>
      <c r="N659">
        <v>0</v>
      </c>
    </row>
    <row r="660" spans="1:14" x14ac:dyDescent="0.25">
      <c r="A660">
        <v>351.49330500000002</v>
      </c>
      <c r="B660" s="1">
        <f>DATE(2011,4,17) + TIME(11,50,21)</f>
        <v>40650.493298611109</v>
      </c>
      <c r="C660">
        <v>80</v>
      </c>
      <c r="D660">
        <v>53.932106017999999</v>
      </c>
      <c r="E660">
        <v>60</v>
      </c>
      <c r="F660">
        <v>59.908489226999997</v>
      </c>
      <c r="G660">
        <v>1329.0931396000001</v>
      </c>
      <c r="H660">
        <v>1328.4348144999999</v>
      </c>
      <c r="I660">
        <v>1333.2016602000001</v>
      </c>
      <c r="J660">
        <v>1332.237793</v>
      </c>
      <c r="K660">
        <v>0</v>
      </c>
      <c r="L660">
        <v>550</v>
      </c>
      <c r="M660">
        <v>550</v>
      </c>
      <c r="N660">
        <v>0</v>
      </c>
    </row>
    <row r="661" spans="1:14" x14ac:dyDescent="0.25">
      <c r="A661">
        <v>354.36287099999998</v>
      </c>
      <c r="B661" s="1">
        <f>DATE(2011,4,20) + TIME(8,42,32)</f>
        <v>40653.362870370373</v>
      </c>
      <c r="C661">
        <v>80</v>
      </c>
      <c r="D661">
        <v>53.779663085999999</v>
      </c>
      <c r="E661">
        <v>60</v>
      </c>
      <c r="F661">
        <v>59.908695221000002</v>
      </c>
      <c r="G661">
        <v>1329.0915527</v>
      </c>
      <c r="H661">
        <v>1328.4323730000001</v>
      </c>
      <c r="I661">
        <v>1333.2009277</v>
      </c>
      <c r="J661">
        <v>1332.2382812000001</v>
      </c>
      <c r="K661">
        <v>0</v>
      </c>
      <c r="L661">
        <v>550</v>
      </c>
      <c r="M661">
        <v>550</v>
      </c>
      <c r="N661">
        <v>0</v>
      </c>
    </row>
    <row r="662" spans="1:14" x14ac:dyDescent="0.25">
      <c r="A662">
        <v>357.28395899999998</v>
      </c>
      <c r="B662" s="1">
        <f>DATE(2011,4,23) + TIME(6,48,54)</f>
        <v>40656.283958333333</v>
      </c>
      <c r="C662">
        <v>80</v>
      </c>
      <c r="D662">
        <v>53.634815216</v>
      </c>
      <c r="E662">
        <v>60</v>
      </c>
      <c r="F662">
        <v>59.908908844000003</v>
      </c>
      <c r="G662">
        <v>1329.090332</v>
      </c>
      <c r="H662">
        <v>1328.4301757999999</v>
      </c>
      <c r="I662">
        <v>1333.2003173999999</v>
      </c>
      <c r="J662">
        <v>1332.2387695</v>
      </c>
      <c r="K662">
        <v>0</v>
      </c>
      <c r="L662">
        <v>550</v>
      </c>
      <c r="M662">
        <v>550</v>
      </c>
      <c r="N662">
        <v>0</v>
      </c>
    </row>
    <row r="663" spans="1:14" x14ac:dyDescent="0.25">
      <c r="A663">
        <v>360.27860500000003</v>
      </c>
      <c r="B663" s="1">
        <f>DATE(2011,4,26) + TIME(6,41,11)</f>
        <v>40659.278599537036</v>
      </c>
      <c r="C663">
        <v>80</v>
      </c>
      <c r="D663">
        <v>53.496726989999999</v>
      </c>
      <c r="E663">
        <v>60</v>
      </c>
      <c r="F663">
        <v>59.909130095999998</v>
      </c>
      <c r="G663">
        <v>1329.0891113</v>
      </c>
      <c r="H663">
        <v>1328.4283447</v>
      </c>
      <c r="I663">
        <v>1333.199707</v>
      </c>
      <c r="J663">
        <v>1332.2393798999999</v>
      </c>
      <c r="K663">
        <v>0</v>
      </c>
      <c r="L663">
        <v>550</v>
      </c>
      <c r="M663">
        <v>550</v>
      </c>
      <c r="N663">
        <v>0</v>
      </c>
    </row>
    <row r="664" spans="1:14" x14ac:dyDescent="0.25">
      <c r="A664">
        <v>363.32216599999998</v>
      </c>
      <c r="B664" s="1">
        <f>DATE(2011,4,29) + TIME(7,43,55)</f>
        <v>40662.322164351855</v>
      </c>
      <c r="C664">
        <v>80</v>
      </c>
      <c r="D664">
        <v>53.365451813</v>
      </c>
      <c r="E664">
        <v>60</v>
      </c>
      <c r="F664">
        <v>59.909351348999998</v>
      </c>
      <c r="G664">
        <v>1329.0881348</v>
      </c>
      <c r="H664">
        <v>1328.4266356999999</v>
      </c>
      <c r="I664">
        <v>1333.1990966999999</v>
      </c>
      <c r="J664">
        <v>1332.2398682</v>
      </c>
      <c r="K664">
        <v>0</v>
      </c>
      <c r="L664">
        <v>550</v>
      </c>
      <c r="M664">
        <v>550</v>
      </c>
      <c r="N664">
        <v>0</v>
      </c>
    </row>
    <row r="665" spans="1:14" x14ac:dyDescent="0.25">
      <c r="A665">
        <v>365</v>
      </c>
      <c r="B665" s="1">
        <f>DATE(2011,5,1) + TIME(0,0,0)</f>
        <v>40664</v>
      </c>
      <c r="C665">
        <v>80</v>
      </c>
      <c r="D665">
        <v>53.273639678999999</v>
      </c>
      <c r="E665">
        <v>60</v>
      </c>
      <c r="F665">
        <v>59.909446715999998</v>
      </c>
      <c r="G665">
        <v>1329.0871582</v>
      </c>
      <c r="H665">
        <v>1328.425293</v>
      </c>
      <c r="I665">
        <v>1333.1984863</v>
      </c>
      <c r="J665">
        <v>1332.2403564000001</v>
      </c>
      <c r="K665">
        <v>0</v>
      </c>
      <c r="L665">
        <v>550</v>
      </c>
      <c r="M665">
        <v>550</v>
      </c>
      <c r="N665">
        <v>0</v>
      </c>
    </row>
    <row r="666" spans="1:14" x14ac:dyDescent="0.25">
      <c r="A666">
        <v>365.000001</v>
      </c>
      <c r="B666" s="1">
        <f>DATE(2011,5,1) + TIME(0,0,0)</f>
        <v>40664</v>
      </c>
      <c r="C666">
        <v>80</v>
      </c>
      <c r="D666">
        <v>53.273681641000003</v>
      </c>
      <c r="E666">
        <v>60</v>
      </c>
      <c r="F666">
        <v>59.909423828000001</v>
      </c>
      <c r="G666">
        <v>1329.9814452999999</v>
      </c>
      <c r="H666">
        <v>1329.3222656</v>
      </c>
      <c r="I666">
        <v>1332.0570068</v>
      </c>
      <c r="J666">
        <v>1332.1054687999999</v>
      </c>
      <c r="K666">
        <v>550</v>
      </c>
      <c r="L666">
        <v>0</v>
      </c>
      <c r="M666">
        <v>0</v>
      </c>
      <c r="N666">
        <v>550</v>
      </c>
    </row>
    <row r="667" spans="1:14" x14ac:dyDescent="0.25">
      <c r="A667">
        <v>365.00000399999999</v>
      </c>
      <c r="B667" s="1">
        <f>DATE(2011,5,1) + TIME(0,0,0)</f>
        <v>40664</v>
      </c>
      <c r="C667">
        <v>80</v>
      </c>
      <c r="D667">
        <v>53.273757934999999</v>
      </c>
      <c r="E667">
        <v>60</v>
      </c>
      <c r="F667">
        <v>59.909389496000003</v>
      </c>
      <c r="G667">
        <v>1330.2871094</v>
      </c>
      <c r="H667">
        <v>1329.6676024999999</v>
      </c>
      <c r="I667">
        <v>1331.7874756000001</v>
      </c>
      <c r="J667">
        <v>1331.8502197</v>
      </c>
      <c r="K667">
        <v>550</v>
      </c>
      <c r="L667">
        <v>0</v>
      </c>
      <c r="M667">
        <v>0</v>
      </c>
      <c r="N667">
        <v>550</v>
      </c>
    </row>
    <row r="668" spans="1:14" x14ac:dyDescent="0.25">
      <c r="A668">
        <v>365.00001300000002</v>
      </c>
      <c r="B668" s="1">
        <f>DATE(2011,5,1) + TIME(0,0,1)</f>
        <v>40664.000011574077</v>
      </c>
      <c r="C668">
        <v>80</v>
      </c>
      <c r="D668">
        <v>53.273906707999998</v>
      </c>
      <c r="E668">
        <v>60</v>
      </c>
      <c r="F668">
        <v>59.909347533999998</v>
      </c>
      <c r="G668">
        <v>1330.6788329999999</v>
      </c>
      <c r="H668">
        <v>1330.0550536999999</v>
      </c>
      <c r="I668">
        <v>1331.4952393000001</v>
      </c>
      <c r="J668">
        <v>1331.5415039</v>
      </c>
      <c r="K668">
        <v>550</v>
      </c>
      <c r="L668">
        <v>0</v>
      </c>
      <c r="M668">
        <v>0</v>
      </c>
      <c r="N668">
        <v>550</v>
      </c>
    </row>
    <row r="669" spans="1:14" x14ac:dyDescent="0.25">
      <c r="A669">
        <v>365.00004000000001</v>
      </c>
      <c r="B669" s="1">
        <f>DATE(2011,5,1) + TIME(0,0,3)</f>
        <v>40664.000034722223</v>
      </c>
      <c r="C669">
        <v>80</v>
      </c>
      <c r="D669">
        <v>53.274261475000003</v>
      </c>
      <c r="E669">
        <v>60</v>
      </c>
      <c r="F669">
        <v>59.909309387</v>
      </c>
      <c r="G669">
        <v>1331.0853271000001</v>
      </c>
      <c r="H669">
        <v>1330.4423827999999</v>
      </c>
      <c r="I669">
        <v>1331.2103271000001</v>
      </c>
      <c r="J669">
        <v>1331.2202147999999</v>
      </c>
      <c r="K669">
        <v>550</v>
      </c>
      <c r="L669">
        <v>0</v>
      </c>
      <c r="M669">
        <v>0</v>
      </c>
      <c r="N669">
        <v>550</v>
      </c>
    </row>
    <row r="670" spans="1:14" x14ac:dyDescent="0.25">
      <c r="A670">
        <v>365.00012099999998</v>
      </c>
      <c r="B670" s="1">
        <f>DATE(2011,5,1) + TIME(0,0,10)</f>
        <v>40664.000115740739</v>
      </c>
      <c r="C670">
        <v>80</v>
      </c>
      <c r="D670">
        <v>53.275257111000002</v>
      </c>
      <c r="E670">
        <v>60</v>
      </c>
      <c r="F670">
        <v>59.909267426</v>
      </c>
      <c r="G670">
        <v>1331.4729004000001</v>
      </c>
      <c r="H670">
        <v>1330.8084716999999</v>
      </c>
      <c r="I670">
        <v>1330.9185791</v>
      </c>
      <c r="J670">
        <v>1330.9005127</v>
      </c>
      <c r="K670">
        <v>550</v>
      </c>
      <c r="L670">
        <v>0</v>
      </c>
      <c r="M670">
        <v>0</v>
      </c>
      <c r="N670">
        <v>550</v>
      </c>
    </row>
    <row r="671" spans="1:14" x14ac:dyDescent="0.25">
      <c r="A671">
        <v>365.00036399999999</v>
      </c>
      <c r="B671" s="1">
        <f>DATE(2011,5,1) + TIME(0,0,31)</f>
        <v>40664.000358796293</v>
      </c>
      <c r="C671">
        <v>80</v>
      </c>
      <c r="D671">
        <v>53.278236389</v>
      </c>
      <c r="E671">
        <v>60</v>
      </c>
      <c r="F671">
        <v>59.90921402</v>
      </c>
      <c r="G671">
        <v>1331.7991943</v>
      </c>
      <c r="H671">
        <v>1331.1107178</v>
      </c>
      <c r="I671">
        <v>1330.6531981999999</v>
      </c>
      <c r="J671">
        <v>1330.614624</v>
      </c>
      <c r="K671">
        <v>550</v>
      </c>
      <c r="L671">
        <v>0</v>
      </c>
      <c r="M671">
        <v>0</v>
      </c>
      <c r="N671">
        <v>550</v>
      </c>
    </row>
    <row r="672" spans="1:14" x14ac:dyDescent="0.25">
      <c r="A672">
        <v>365.00109300000003</v>
      </c>
      <c r="B672" s="1">
        <f>DATE(2011,5,1) + TIME(0,1,34)</f>
        <v>40664.001087962963</v>
      </c>
      <c r="C672">
        <v>80</v>
      </c>
      <c r="D672">
        <v>53.287315368999998</v>
      </c>
      <c r="E672">
        <v>60</v>
      </c>
      <c r="F672">
        <v>59.909137725999997</v>
      </c>
      <c r="G672">
        <v>1332.0136719</v>
      </c>
      <c r="H672">
        <v>1331.3074951000001</v>
      </c>
      <c r="I672">
        <v>1330.4639893000001</v>
      </c>
      <c r="J672">
        <v>1330.4134521000001</v>
      </c>
      <c r="K672">
        <v>550</v>
      </c>
      <c r="L672">
        <v>0</v>
      </c>
      <c r="M672">
        <v>0</v>
      </c>
      <c r="N672">
        <v>550</v>
      </c>
    </row>
    <row r="673" spans="1:14" x14ac:dyDescent="0.25">
      <c r="A673">
        <v>365.00328000000002</v>
      </c>
      <c r="B673" s="1">
        <f>DATE(2011,5,1) + TIME(0,4,43)</f>
        <v>40664.003275462965</v>
      </c>
      <c r="C673">
        <v>80</v>
      </c>
      <c r="D673">
        <v>53.314754485999998</v>
      </c>
      <c r="E673">
        <v>60</v>
      </c>
      <c r="F673">
        <v>59.908962250000002</v>
      </c>
      <c r="G673">
        <v>1332.1209716999999</v>
      </c>
      <c r="H673">
        <v>1331.4074707</v>
      </c>
      <c r="I673">
        <v>1330.3624268000001</v>
      </c>
      <c r="J673">
        <v>1330.3073730000001</v>
      </c>
      <c r="K673">
        <v>550</v>
      </c>
      <c r="L673">
        <v>0</v>
      </c>
      <c r="M673">
        <v>0</v>
      </c>
      <c r="N673">
        <v>550</v>
      </c>
    </row>
    <row r="674" spans="1:14" x14ac:dyDescent="0.25">
      <c r="A674">
        <v>365.00984099999999</v>
      </c>
      <c r="B674" s="1">
        <f>DATE(2011,5,1) + TIME(0,14,10)</f>
        <v>40664.009837962964</v>
      </c>
      <c r="C674">
        <v>80</v>
      </c>
      <c r="D674">
        <v>53.397048949999999</v>
      </c>
      <c r="E674">
        <v>60</v>
      </c>
      <c r="F674">
        <v>59.908470154</v>
      </c>
      <c r="G674">
        <v>1332.1621094</v>
      </c>
      <c r="H674">
        <v>1331.4471435999999</v>
      </c>
      <c r="I674">
        <v>1330.3275146000001</v>
      </c>
      <c r="J674">
        <v>1330.2711182</v>
      </c>
      <c r="K674">
        <v>550</v>
      </c>
      <c r="L674">
        <v>0</v>
      </c>
      <c r="M674">
        <v>0</v>
      </c>
      <c r="N674">
        <v>550</v>
      </c>
    </row>
    <row r="675" spans="1:14" x14ac:dyDescent="0.25">
      <c r="A675">
        <v>365.02952399999998</v>
      </c>
      <c r="B675" s="1">
        <f>DATE(2011,5,1) + TIME(0,42,30)</f>
        <v>40664.029513888891</v>
      </c>
      <c r="C675">
        <v>80</v>
      </c>
      <c r="D675">
        <v>53.642074585000003</v>
      </c>
      <c r="E675">
        <v>60</v>
      </c>
      <c r="F675">
        <v>59.907005310000002</v>
      </c>
      <c r="G675">
        <v>1332.1717529</v>
      </c>
      <c r="H675">
        <v>1331.4582519999999</v>
      </c>
      <c r="I675">
        <v>1330.3227539</v>
      </c>
      <c r="J675">
        <v>1330.2658690999999</v>
      </c>
      <c r="K675">
        <v>550</v>
      </c>
      <c r="L675">
        <v>0</v>
      </c>
      <c r="M675">
        <v>0</v>
      </c>
      <c r="N675">
        <v>550</v>
      </c>
    </row>
    <row r="676" spans="1:14" x14ac:dyDescent="0.25">
      <c r="A676">
        <v>365.088573</v>
      </c>
      <c r="B676" s="1">
        <f>DATE(2011,5,1) + TIME(2,7,32)</f>
        <v>40664.088564814818</v>
      </c>
      <c r="C676">
        <v>80</v>
      </c>
      <c r="D676">
        <v>54.360034943000002</v>
      </c>
      <c r="E676">
        <v>60</v>
      </c>
      <c r="F676">
        <v>59.902618408000002</v>
      </c>
      <c r="G676">
        <v>1332.1706543</v>
      </c>
      <c r="H676">
        <v>1331.4617920000001</v>
      </c>
      <c r="I676">
        <v>1330.3217772999999</v>
      </c>
      <c r="J676">
        <v>1330.2640381000001</v>
      </c>
      <c r="K676">
        <v>550</v>
      </c>
      <c r="L676">
        <v>0</v>
      </c>
      <c r="M676">
        <v>0</v>
      </c>
      <c r="N676">
        <v>550</v>
      </c>
    </row>
    <row r="677" spans="1:14" x14ac:dyDescent="0.25">
      <c r="A677">
        <v>365.158726</v>
      </c>
      <c r="B677" s="1">
        <f>DATE(2011,5,1) + TIME(3,48,33)</f>
        <v>40664.158715277779</v>
      </c>
      <c r="C677">
        <v>80</v>
      </c>
      <c r="D677">
        <v>55.202945708999998</v>
      </c>
      <c r="E677">
        <v>60</v>
      </c>
      <c r="F677">
        <v>59.897392273000001</v>
      </c>
      <c r="G677">
        <v>1332.1945800999999</v>
      </c>
      <c r="H677">
        <v>1331.4797363</v>
      </c>
      <c r="I677">
        <v>1330.3189697</v>
      </c>
      <c r="J677">
        <v>1330.2590332</v>
      </c>
      <c r="K677">
        <v>550</v>
      </c>
      <c r="L677">
        <v>0</v>
      </c>
      <c r="M677">
        <v>0</v>
      </c>
      <c r="N677">
        <v>550</v>
      </c>
    </row>
    <row r="678" spans="1:14" x14ac:dyDescent="0.25">
      <c r="A678">
        <v>365.23006199999998</v>
      </c>
      <c r="B678" s="1">
        <f>DATE(2011,5,1) + TIME(5,31,17)</f>
        <v>40664.230057870373</v>
      </c>
      <c r="C678">
        <v>80</v>
      </c>
      <c r="D678">
        <v>56.053226471000002</v>
      </c>
      <c r="E678">
        <v>60</v>
      </c>
      <c r="F678">
        <v>59.892063141000001</v>
      </c>
      <c r="G678">
        <v>1332.2276611</v>
      </c>
      <c r="H678">
        <v>1331.5029297000001</v>
      </c>
      <c r="I678">
        <v>1330.315918</v>
      </c>
      <c r="J678">
        <v>1330.2535399999999</v>
      </c>
      <c r="K678">
        <v>550</v>
      </c>
      <c r="L678">
        <v>0</v>
      </c>
      <c r="M678">
        <v>0</v>
      </c>
      <c r="N678">
        <v>550</v>
      </c>
    </row>
    <row r="679" spans="1:14" x14ac:dyDescent="0.25">
      <c r="A679">
        <v>365.30254300000001</v>
      </c>
      <c r="B679" s="1">
        <f>DATE(2011,5,1) + TIME(7,15,39)</f>
        <v>40664.302534722221</v>
      </c>
      <c r="C679">
        <v>80</v>
      </c>
      <c r="D679">
        <v>56.909545897999998</v>
      </c>
      <c r="E679">
        <v>60</v>
      </c>
      <c r="F679">
        <v>59.886634827000002</v>
      </c>
      <c r="G679">
        <v>1332.2626952999999</v>
      </c>
      <c r="H679">
        <v>1331.5274658000001</v>
      </c>
      <c r="I679">
        <v>1330.3128661999999</v>
      </c>
      <c r="J679">
        <v>1330.2479248</v>
      </c>
      <c r="K679">
        <v>550</v>
      </c>
      <c r="L679">
        <v>0</v>
      </c>
      <c r="M679">
        <v>0</v>
      </c>
      <c r="N679">
        <v>550</v>
      </c>
    </row>
    <row r="680" spans="1:14" x14ac:dyDescent="0.25">
      <c r="A680">
        <v>365.376192</v>
      </c>
      <c r="B680" s="1">
        <f>DATE(2011,5,1) + TIME(9,1,42)</f>
        <v>40664.376180555555</v>
      </c>
      <c r="C680">
        <v>80</v>
      </c>
      <c r="D680">
        <v>57.771144866999997</v>
      </c>
      <c r="E680">
        <v>60</v>
      </c>
      <c r="F680">
        <v>59.881099700999997</v>
      </c>
      <c r="G680">
        <v>1332.2998047000001</v>
      </c>
      <c r="H680">
        <v>1331.5532227000001</v>
      </c>
      <c r="I680">
        <v>1330.3098144999999</v>
      </c>
      <c r="J680">
        <v>1330.2424315999999</v>
      </c>
      <c r="K680">
        <v>550</v>
      </c>
      <c r="L680">
        <v>0</v>
      </c>
      <c r="M680">
        <v>0</v>
      </c>
      <c r="N680">
        <v>550</v>
      </c>
    </row>
    <row r="681" spans="1:14" x14ac:dyDescent="0.25">
      <c r="A681">
        <v>365.451033</v>
      </c>
      <c r="B681" s="1">
        <f>DATE(2011,5,1) + TIME(10,49,29)</f>
        <v>40664.45103009259</v>
      </c>
      <c r="C681">
        <v>80</v>
      </c>
      <c r="D681">
        <v>58.637039184999999</v>
      </c>
      <c r="E681">
        <v>60</v>
      </c>
      <c r="F681">
        <v>59.875461577999999</v>
      </c>
      <c r="G681">
        <v>1332.3386230000001</v>
      </c>
      <c r="H681">
        <v>1331.5802002</v>
      </c>
      <c r="I681">
        <v>1330.3068848</v>
      </c>
      <c r="J681">
        <v>1330.2370605000001</v>
      </c>
      <c r="K681">
        <v>550</v>
      </c>
      <c r="L681">
        <v>0</v>
      </c>
      <c r="M681">
        <v>0</v>
      </c>
      <c r="N681">
        <v>550</v>
      </c>
    </row>
    <row r="682" spans="1:14" x14ac:dyDescent="0.25">
      <c r="A682">
        <v>365.52709800000002</v>
      </c>
      <c r="B682" s="1">
        <f>DATE(2011,5,1) + TIME(12,39,1)</f>
        <v>40664.527094907404</v>
      </c>
      <c r="C682">
        <v>80</v>
      </c>
      <c r="D682">
        <v>59.506149292000003</v>
      </c>
      <c r="E682">
        <v>60</v>
      </c>
      <c r="F682">
        <v>59.869712829999997</v>
      </c>
      <c r="G682">
        <v>1332.3791504000001</v>
      </c>
      <c r="H682">
        <v>1331.6082764</v>
      </c>
      <c r="I682">
        <v>1330.3039550999999</v>
      </c>
      <c r="J682">
        <v>1330.2316894999999</v>
      </c>
      <c r="K682">
        <v>550</v>
      </c>
      <c r="L682">
        <v>0</v>
      </c>
      <c r="M682">
        <v>0</v>
      </c>
      <c r="N682">
        <v>550</v>
      </c>
    </row>
    <row r="683" spans="1:14" x14ac:dyDescent="0.25">
      <c r="A683">
        <v>365.60443700000002</v>
      </c>
      <c r="B683" s="1">
        <f>DATE(2011,5,1) + TIME(14,30,23)</f>
        <v>40664.604432870372</v>
      </c>
      <c r="C683">
        <v>80</v>
      </c>
      <c r="D683">
        <v>60.377094268999997</v>
      </c>
      <c r="E683">
        <v>60</v>
      </c>
      <c r="F683">
        <v>59.863853454999997</v>
      </c>
      <c r="G683">
        <v>1332.4212646000001</v>
      </c>
      <c r="H683">
        <v>1331.6375731999999</v>
      </c>
      <c r="I683">
        <v>1330.3011475000001</v>
      </c>
      <c r="J683">
        <v>1330.2264404</v>
      </c>
      <c r="K683">
        <v>550</v>
      </c>
      <c r="L683">
        <v>0</v>
      </c>
      <c r="M683">
        <v>0</v>
      </c>
      <c r="N683">
        <v>550</v>
      </c>
    </row>
    <row r="684" spans="1:14" x14ac:dyDescent="0.25">
      <c r="A684">
        <v>365.68309599999998</v>
      </c>
      <c r="B684" s="1">
        <f>DATE(2011,5,1) + TIME(16,23,39)</f>
        <v>40664.68309027778</v>
      </c>
      <c r="C684">
        <v>80</v>
      </c>
      <c r="D684">
        <v>61.248435974000003</v>
      </c>
      <c r="E684">
        <v>60</v>
      </c>
      <c r="F684">
        <v>59.857875823999997</v>
      </c>
      <c r="G684">
        <v>1332.4649658000001</v>
      </c>
      <c r="H684">
        <v>1331.6678466999999</v>
      </c>
      <c r="I684">
        <v>1330.2983397999999</v>
      </c>
      <c r="J684">
        <v>1330.2210693</v>
      </c>
      <c r="K684">
        <v>550</v>
      </c>
      <c r="L684">
        <v>0</v>
      </c>
      <c r="M684">
        <v>0</v>
      </c>
      <c r="N684">
        <v>550</v>
      </c>
    </row>
    <row r="685" spans="1:14" x14ac:dyDescent="0.25">
      <c r="A685">
        <v>365.763127</v>
      </c>
      <c r="B685" s="1">
        <f>DATE(2011,5,1) + TIME(18,18,54)</f>
        <v>40664.763124999998</v>
      </c>
      <c r="C685">
        <v>80</v>
      </c>
      <c r="D685">
        <v>62.119045258</v>
      </c>
      <c r="E685">
        <v>60</v>
      </c>
      <c r="F685">
        <v>59.851776123</v>
      </c>
      <c r="G685">
        <v>1332.5100098</v>
      </c>
      <c r="H685">
        <v>1331.6990966999999</v>
      </c>
      <c r="I685">
        <v>1330.2956543</v>
      </c>
      <c r="J685">
        <v>1330.2159423999999</v>
      </c>
      <c r="K685">
        <v>550</v>
      </c>
      <c r="L685">
        <v>0</v>
      </c>
      <c r="M685">
        <v>0</v>
      </c>
      <c r="N685">
        <v>550</v>
      </c>
    </row>
    <row r="686" spans="1:14" x14ac:dyDescent="0.25">
      <c r="A686">
        <v>365.84459199999998</v>
      </c>
      <c r="B686" s="1">
        <f>DATE(2011,5,1) + TIME(20,16,12)</f>
        <v>40664.844583333332</v>
      </c>
      <c r="C686">
        <v>80</v>
      </c>
      <c r="D686">
        <v>62.98733902</v>
      </c>
      <c r="E686">
        <v>60</v>
      </c>
      <c r="F686">
        <v>59.845554352000001</v>
      </c>
      <c r="G686">
        <v>1332.5563964999999</v>
      </c>
      <c r="H686">
        <v>1331.7313231999999</v>
      </c>
      <c r="I686">
        <v>1330.2929687999999</v>
      </c>
      <c r="J686">
        <v>1330.2106934000001</v>
      </c>
      <c r="K686">
        <v>550</v>
      </c>
      <c r="L686">
        <v>0</v>
      </c>
      <c r="M686">
        <v>0</v>
      </c>
      <c r="N686">
        <v>550</v>
      </c>
    </row>
    <row r="687" spans="1:14" x14ac:dyDescent="0.25">
      <c r="A687">
        <v>365.92755699999998</v>
      </c>
      <c r="B687" s="1">
        <f>DATE(2011,5,1) + TIME(22,15,40)</f>
        <v>40664.927546296298</v>
      </c>
      <c r="C687">
        <v>80</v>
      </c>
      <c r="D687">
        <v>63.851585387999997</v>
      </c>
      <c r="E687">
        <v>60</v>
      </c>
      <c r="F687">
        <v>59.839199065999999</v>
      </c>
      <c r="G687">
        <v>1332.6040039</v>
      </c>
      <c r="H687">
        <v>1331.7644043</v>
      </c>
      <c r="I687">
        <v>1330.2902832</v>
      </c>
      <c r="J687">
        <v>1330.2055664</v>
      </c>
      <c r="K687">
        <v>550</v>
      </c>
      <c r="L687">
        <v>0</v>
      </c>
      <c r="M687">
        <v>0</v>
      </c>
      <c r="N687">
        <v>550</v>
      </c>
    </row>
    <row r="688" spans="1:14" x14ac:dyDescent="0.25">
      <c r="A688">
        <v>366.01209799999998</v>
      </c>
      <c r="B688" s="1">
        <f>DATE(2011,5,2) + TIME(0,17,25)</f>
        <v>40665.012094907404</v>
      </c>
      <c r="C688">
        <v>80</v>
      </c>
      <c r="D688">
        <v>64.709991454999994</v>
      </c>
      <c r="E688">
        <v>60</v>
      </c>
      <c r="F688">
        <v>59.832706451</v>
      </c>
      <c r="G688">
        <v>1332.6527100000001</v>
      </c>
      <c r="H688">
        <v>1331.7980957</v>
      </c>
      <c r="I688">
        <v>1330.2875977000001</v>
      </c>
      <c r="J688">
        <v>1330.2004394999999</v>
      </c>
      <c r="K688">
        <v>550</v>
      </c>
      <c r="L688">
        <v>0</v>
      </c>
      <c r="M688">
        <v>0</v>
      </c>
      <c r="N688">
        <v>550</v>
      </c>
    </row>
    <row r="689" spans="1:14" x14ac:dyDescent="0.25">
      <c r="A689">
        <v>366.09830299999999</v>
      </c>
      <c r="B689" s="1">
        <f>DATE(2011,5,2) + TIME(2,21,33)</f>
        <v>40665.098298611112</v>
      </c>
      <c r="C689">
        <v>80</v>
      </c>
      <c r="D689">
        <v>65.560798645000006</v>
      </c>
      <c r="E689">
        <v>60</v>
      </c>
      <c r="F689">
        <v>59.826068878000001</v>
      </c>
      <c r="G689">
        <v>1332.7022704999999</v>
      </c>
      <c r="H689">
        <v>1331.8326416</v>
      </c>
      <c r="I689">
        <v>1330.2850341999999</v>
      </c>
      <c r="J689">
        <v>1330.1954346</v>
      </c>
      <c r="K689">
        <v>550</v>
      </c>
      <c r="L689">
        <v>0</v>
      </c>
      <c r="M689">
        <v>0</v>
      </c>
      <c r="N689">
        <v>550</v>
      </c>
    </row>
    <row r="690" spans="1:14" x14ac:dyDescent="0.25">
      <c r="A690">
        <v>366.18626899999998</v>
      </c>
      <c r="B690" s="1">
        <f>DATE(2011,5,2) + TIME(4,28,13)</f>
        <v>40665.186261574076</v>
      </c>
      <c r="C690">
        <v>80</v>
      </c>
      <c r="D690">
        <v>66.402000427000004</v>
      </c>
      <c r="E690">
        <v>60</v>
      </c>
      <c r="F690">
        <v>59.819278717000003</v>
      </c>
      <c r="G690">
        <v>1332.7528076000001</v>
      </c>
      <c r="H690">
        <v>1331.8676757999999</v>
      </c>
      <c r="I690">
        <v>1330.2824707</v>
      </c>
      <c r="J690">
        <v>1330.1903076000001</v>
      </c>
      <c r="K690">
        <v>550</v>
      </c>
      <c r="L690">
        <v>0</v>
      </c>
      <c r="M690">
        <v>0</v>
      </c>
      <c r="N690">
        <v>550</v>
      </c>
    </row>
    <row r="691" spans="1:14" x14ac:dyDescent="0.25">
      <c r="A691">
        <v>366.276117</v>
      </c>
      <c r="B691" s="1">
        <f>DATE(2011,5,2) + TIME(6,37,36)</f>
        <v>40665.27611111111</v>
      </c>
      <c r="C691">
        <v>80</v>
      </c>
      <c r="D691">
        <v>67.231620789000004</v>
      </c>
      <c r="E691">
        <v>60</v>
      </c>
      <c r="F691">
        <v>59.812328338999997</v>
      </c>
      <c r="G691">
        <v>1332.8039550999999</v>
      </c>
      <c r="H691">
        <v>1331.9033202999999</v>
      </c>
      <c r="I691">
        <v>1330.2800293</v>
      </c>
      <c r="J691">
        <v>1330.1853027</v>
      </c>
      <c r="K691">
        <v>550</v>
      </c>
      <c r="L691">
        <v>0</v>
      </c>
      <c r="M691">
        <v>0</v>
      </c>
      <c r="N691">
        <v>550</v>
      </c>
    </row>
    <row r="692" spans="1:14" x14ac:dyDescent="0.25">
      <c r="A692">
        <v>366.36799100000002</v>
      </c>
      <c r="B692" s="1">
        <f>DATE(2011,5,2) + TIME(8,49,54)</f>
        <v>40665.367986111109</v>
      </c>
      <c r="C692">
        <v>80</v>
      </c>
      <c r="D692">
        <v>68.047767639</v>
      </c>
      <c r="E692">
        <v>60</v>
      </c>
      <c r="F692">
        <v>59.805206298999998</v>
      </c>
      <c r="G692">
        <v>1332.8558350000001</v>
      </c>
      <c r="H692">
        <v>1331.9394531</v>
      </c>
      <c r="I692">
        <v>1330.2774658000001</v>
      </c>
      <c r="J692">
        <v>1330.1802978999999</v>
      </c>
      <c r="K692">
        <v>550</v>
      </c>
      <c r="L692">
        <v>0</v>
      </c>
      <c r="M692">
        <v>0</v>
      </c>
      <c r="N692">
        <v>550</v>
      </c>
    </row>
    <row r="693" spans="1:14" x14ac:dyDescent="0.25">
      <c r="A693">
        <v>366.46199999999999</v>
      </c>
      <c r="B693" s="1">
        <f>DATE(2011,5,2) + TIME(11,5,16)</f>
        <v>40665.46199074074</v>
      </c>
      <c r="C693">
        <v>80</v>
      </c>
      <c r="D693">
        <v>68.848129271999994</v>
      </c>
      <c r="E693">
        <v>60</v>
      </c>
      <c r="F693">
        <v>59.797901154000002</v>
      </c>
      <c r="G693">
        <v>1332.9082031</v>
      </c>
      <c r="H693">
        <v>1331.9759521000001</v>
      </c>
      <c r="I693">
        <v>1330.2749022999999</v>
      </c>
      <c r="J693">
        <v>1330.1751709</v>
      </c>
      <c r="K693">
        <v>550</v>
      </c>
      <c r="L693">
        <v>0</v>
      </c>
      <c r="M693">
        <v>0</v>
      </c>
      <c r="N693">
        <v>550</v>
      </c>
    </row>
    <row r="694" spans="1:14" x14ac:dyDescent="0.25">
      <c r="A694">
        <v>366.55829999999997</v>
      </c>
      <c r="B694" s="1">
        <f>DATE(2011,5,2) + TIME(13,23,57)</f>
        <v>40665.558298611111</v>
      </c>
      <c r="C694">
        <v>80</v>
      </c>
      <c r="D694">
        <v>69.630653381000002</v>
      </c>
      <c r="E694">
        <v>60</v>
      </c>
      <c r="F694">
        <v>59.790390015</v>
      </c>
      <c r="G694">
        <v>1332.9610596</v>
      </c>
      <c r="H694">
        <v>1332.0126952999999</v>
      </c>
      <c r="I694">
        <v>1330.2724608999999</v>
      </c>
      <c r="J694">
        <v>1330.1701660000001</v>
      </c>
      <c r="K694">
        <v>550</v>
      </c>
      <c r="L694">
        <v>0</v>
      </c>
      <c r="M694">
        <v>0</v>
      </c>
      <c r="N694">
        <v>550</v>
      </c>
    </row>
    <row r="695" spans="1:14" x14ac:dyDescent="0.25">
      <c r="A695">
        <v>366.65706399999999</v>
      </c>
      <c r="B695" s="1">
        <f>DATE(2011,5,2) + TIME(15,46,10)</f>
        <v>40665.657060185185</v>
      </c>
      <c r="C695">
        <v>80</v>
      </c>
      <c r="D695">
        <v>70.393020629999995</v>
      </c>
      <c r="E695">
        <v>60</v>
      </c>
      <c r="F695">
        <v>59.782661437999998</v>
      </c>
      <c r="G695">
        <v>1333.0141602000001</v>
      </c>
      <c r="H695">
        <v>1332.0498047000001</v>
      </c>
      <c r="I695">
        <v>1330.2698975000001</v>
      </c>
      <c r="J695">
        <v>1330.1651611</v>
      </c>
      <c r="K695">
        <v>550</v>
      </c>
      <c r="L695">
        <v>0</v>
      </c>
      <c r="M695">
        <v>0</v>
      </c>
      <c r="N695">
        <v>550</v>
      </c>
    </row>
    <row r="696" spans="1:14" x14ac:dyDescent="0.25">
      <c r="A696">
        <v>366.758488</v>
      </c>
      <c r="B696" s="1">
        <f>DATE(2011,5,2) + TIME(18,12,13)</f>
        <v>40665.758483796293</v>
      </c>
      <c r="C696">
        <v>80</v>
      </c>
      <c r="D696">
        <v>71.133270264000004</v>
      </c>
      <c r="E696">
        <v>60</v>
      </c>
      <c r="F696">
        <v>59.774700164999999</v>
      </c>
      <c r="G696">
        <v>1333.0673827999999</v>
      </c>
      <c r="H696">
        <v>1332.0869141000001</v>
      </c>
      <c r="I696">
        <v>1330.2673339999999</v>
      </c>
      <c r="J696">
        <v>1330.1600341999999</v>
      </c>
      <c r="K696">
        <v>550</v>
      </c>
      <c r="L696">
        <v>0</v>
      </c>
      <c r="M696">
        <v>0</v>
      </c>
      <c r="N696">
        <v>550</v>
      </c>
    </row>
    <row r="697" spans="1:14" x14ac:dyDescent="0.25">
      <c r="A697">
        <v>366.86279300000001</v>
      </c>
      <c r="B697" s="1">
        <f>DATE(2011,5,2) + TIME(20,42,25)</f>
        <v>40665.86278935185</v>
      </c>
      <c r="C697">
        <v>80</v>
      </c>
      <c r="D697">
        <v>71.849761963000006</v>
      </c>
      <c r="E697">
        <v>60</v>
      </c>
      <c r="F697">
        <v>59.766479492000002</v>
      </c>
      <c r="G697">
        <v>1333.1208495999999</v>
      </c>
      <c r="H697">
        <v>1332.1241454999999</v>
      </c>
      <c r="I697">
        <v>1330.2648925999999</v>
      </c>
      <c r="J697">
        <v>1330.1549072</v>
      </c>
      <c r="K697">
        <v>550</v>
      </c>
      <c r="L697">
        <v>0</v>
      </c>
      <c r="M697">
        <v>0</v>
      </c>
      <c r="N697">
        <v>550</v>
      </c>
    </row>
    <row r="698" spans="1:14" x14ac:dyDescent="0.25">
      <c r="A698">
        <v>366.97023000000002</v>
      </c>
      <c r="B698" s="1">
        <f>DATE(2011,5,2) + TIME(23,17,7)</f>
        <v>40665.970219907409</v>
      </c>
      <c r="C698">
        <v>80</v>
      </c>
      <c r="D698">
        <v>72.540687560999999</v>
      </c>
      <c r="E698">
        <v>60</v>
      </c>
      <c r="F698">
        <v>59.757987976000003</v>
      </c>
      <c r="G698">
        <v>1333.1740723</v>
      </c>
      <c r="H698">
        <v>1332.1612548999999</v>
      </c>
      <c r="I698">
        <v>1330.2623291</v>
      </c>
      <c r="J698">
        <v>1330.1497803</v>
      </c>
      <c r="K698">
        <v>550</v>
      </c>
      <c r="L698">
        <v>0</v>
      </c>
      <c r="M698">
        <v>0</v>
      </c>
      <c r="N698">
        <v>550</v>
      </c>
    </row>
    <row r="699" spans="1:14" x14ac:dyDescent="0.25">
      <c r="A699">
        <v>367.08108600000003</v>
      </c>
      <c r="B699" s="1">
        <f>DATE(2011,5,3) + TIME(1,56,45)</f>
        <v>40666.081076388888</v>
      </c>
      <c r="C699">
        <v>80</v>
      </c>
      <c r="D699">
        <v>73.204391478999995</v>
      </c>
      <c r="E699">
        <v>60</v>
      </c>
      <c r="F699">
        <v>59.749198913999997</v>
      </c>
      <c r="G699">
        <v>1333.2272949000001</v>
      </c>
      <c r="H699">
        <v>1332.1982422000001</v>
      </c>
      <c r="I699">
        <v>1330.2596435999999</v>
      </c>
      <c r="J699">
        <v>1330.1445312000001</v>
      </c>
      <c r="K699">
        <v>550</v>
      </c>
      <c r="L699">
        <v>0</v>
      </c>
      <c r="M699">
        <v>0</v>
      </c>
      <c r="N699">
        <v>550</v>
      </c>
    </row>
    <row r="700" spans="1:14" x14ac:dyDescent="0.25">
      <c r="A700">
        <v>367.19568500000003</v>
      </c>
      <c r="B700" s="1">
        <f>DATE(2011,5,3) + TIME(4,41,47)</f>
        <v>40666.19568287037</v>
      </c>
      <c r="C700">
        <v>80</v>
      </c>
      <c r="D700">
        <v>73.839347838999998</v>
      </c>
      <c r="E700">
        <v>60</v>
      </c>
      <c r="F700">
        <v>59.740085602000001</v>
      </c>
      <c r="G700">
        <v>1333.2801514</v>
      </c>
      <c r="H700">
        <v>1332.2351074000001</v>
      </c>
      <c r="I700">
        <v>1330.2569579999999</v>
      </c>
      <c r="J700">
        <v>1330.1392822</v>
      </c>
      <c r="K700">
        <v>550</v>
      </c>
      <c r="L700">
        <v>0</v>
      </c>
      <c r="M700">
        <v>0</v>
      </c>
      <c r="N700">
        <v>550</v>
      </c>
    </row>
    <row r="701" spans="1:14" x14ac:dyDescent="0.25">
      <c r="A701">
        <v>367.31440199999997</v>
      </c>
      <c r="B701" s="1">
        <f>DATE(2011,5,3) + TIME(7,32,44)</f>
        <v>40666.314398148148</v>
      </c>
      <c r="C701">
        <v>80</v>
      </c>
      <c r="D701">
        <v>74.444152832</v>
      </c>
      <c r="E701">
        <v>60</v>
      </c>
      <c r="F701">
        <v>59.730617522999999</v>
      </c>
      <c r="G701">
        <v>1333.3325195</v>
      </c>
      <c r="H701">
        <v>1332.2716064000001</v>
      </c>
      <c r="I701">
        <v>1330.2542725000001</v>
      </c>
      <c r="J701">
        <v>1330.1340332</v>
      </c>
      <c r="K701">
        <v>550</v>
      </c>
      <c r="L701">
        <v>0</v>
      </c>
      <c r="M701">
        <v>0</v>
      </c>
      <c r="N701">
        <v>550</v>
      </c>
    </row>
    <row r="702" spans="1:14" x14ac:dyDescent="0.25">
      <c r="A702">
        <v>367.43776300000002</v>
      </c>
      <c r="B702" s="1">
        <f>DATE(2011,5,3) + TIME(10,30,22)</f>
        <v>40666.437754629631</v>
      </c>
      <c r="C702">
        <v>80</v>
      </c>
      <c r="D702">
        <v>75.017631531000006</v>
      </c>
      <c r="E702">
        <v>60</v>
      </c>
      <c r="F702">
        <v>59.720756530999999</v>
      </c>
      <c r="G702">
        <v>1333.3820800999999</v>
      </c>
      <c r="H702">
        <v>1332.3060303</v>
      </c>
      <c r="I702">
        <v>1330.2514647999999</v>
      </c>
      <c r="J702">
        <v>1330.1285399999999</v>
      </c>
      <c r="K702">
        <v>550</v>
      </c>
      <c r="L702">
        <v>0</v>
      </c>
      <c r="M702">
        <v>0</v>
      </c>
      <c r="N702">
        <v>550</v>
      </c>
    </row>
    <row r="703" spans="1:14" x14ac:dyDescent="0.25">
      <c r="A703">
        <v>367.56635399999999</v>
      </c>
      <c r="B703" s="1">
        <f>DATE(2011,5,3) + TIME(13,35,33)</f>
        <v>40666.566354166665</v>
      </c>
      <c r="C703">
        <v>80</v>
      </c>
      <c r="D703">
        <v>75.558609008999994</v>
      </c>
      <c r="E703">
        <v>60</v>
      </c>
      <c r="F703">
        <v>59.710453033</v>
      </c>
      <c r="G703">
        <v>1333.4305420000001</v>
      </c>
      <c r="H703">
        <v>1332.3397216999999</v>
      </c>
      <c r="I703">
        <v>1330.2484131000001</v>
      </c>
      <c r="J703">
        <v>1330.1229248</v>
      </c>
      <c r="K703">
        <v>550</v>
      </c>
      <c r="L703">
        <v>0</v>
      </c>
      <c r="M703">
        <v>0</v>
      </c>
      <c r="N703">
        <v>550</v>
      </c>
    </row>
    <row r="704" spans="1:14" x14ac:dyDescent="0.25">
      <c r="A704">
        <v>367.700807</v>
      </c>
      <c r="B704" s="1">
        <f>DATE(2011,5,3) + TIME(16,49,9)</f>
        <v>40666.700798611113</v>
      </c>
      <c r="C704">
        <v>80</v>
      </c>
      <c r="D704">
        <v>76.066482543999996</v>
      </c>
      <c r="E704">
        <v>60</v>
      </c>
      <c r="F704">
        <v>59.699661255000002</v>
      </c>
      <c r="G704">
        <v>1333.4763184000001</v>
      </c>
      <c r="H704">
        <v>1332.371582</v>
      </c>
      <c r="I704">
        <v>1330.2452393000001</v>
      </c>
      <c r="J704">
        <v>1330.1171875</v>
      </c>
      <c r="K704">
        <v>550</v>
      </c>
      <c r="L704">
        <v>0</v>
      </c>
      <c r="M704">
        <v>0</v>
      </c>
      <c r="N704">
        <v>550</v>
      </c>
    </row>
    <row r="705" spans="1:14" x14ac:dyDescent="0.25">
      <c r="A705">
        <v>367.841973</v>
      </c>
      <c r="B705" s="1">
        <f>DATE(2011,5,3) + TIME(20,12,26)</f>
        <v>40666.841967592591</v>
      </c>
      <c r="C705">
        <v>80</v>
      </c>
      <c r="D705">
        <v>76.540840149000005</v>
      </c>
      <c r="E705">
        <v>60</v>
      </c>
      <c r="F705">
        <v>59.688308716000002</v>
      </c>
      <c r="G705">
        <v>1333.5194091999999</v>
      </c>
      <c r="H705">
        <v>1332.4014893000001</v>
      </c>
      <c r="I705">
        <v>1330.2419434000001</v>
      </c>
      <c r="J705">
        <v>1330.1112060999999</v>
      </c>
      <c r="K705">
        <v>550</v>
      </c>
      <c r="L705">
        <v>0</v>
      </c>
      <c r="M705">
        <v>0</v>
      </c>
      <c r="N705">
        <v>550</v>
      </c>
    </row>
    <row r="706" spans="1:14" x14ac:dyDescent="0.25">
      <c r="A706">
        <v>367.99007499999999</v>
      </c>
      <c r="B706" s="1">
        <f>DATE(2011,5,3) + TIME(23,45,42)</f>
        <v>40666.990069444444</v>
      </c>
      <c r="C706">
        <v>80</v>
      </c>
      <c r="D706">
        <v>76.979637146000002</v>
      </c>
      <c r="E706">
        <v>60</v>
      </c>
      <c r="F706">
        <v>59.676383971999996</v>
      </c>
      <c r="G706">
        <v>1333.5618896000001</v>
      </c>
      <c r="H706">
        <v>1332.4309082</v>
      </c>
      <c r="I706">
        <v>1330.2385254000001</v>
      </c>
      <c r="J706">
        <v>1330.1051024999999</v>
      </c>
      <c r="K706">
        <v>550</v>
      </c>
      <c r="L706">
        <v>0</v>
      </c>
      <c r="M706">
        <v>0</v>
      </c>
      <c r="N706">
        <v>550</v>
      </c>
    </row>
    <row r="707" spans="1:14" x14ac:dyDescent="0.25">
      <c r="A707">
        <v>368.144949</v>
      </c>
      <c r="B707" s="1">
        <f>DATE(2011,5,4) + TIME(3,28,43)</f>
        <v>40667.144942129627</v>
      </c>
      <c r="C707">
        <v>80</v>
      </c>
      <c r="D707">
        <v>77.380302428999997</v>
      </c>
      <c r="E707">
        <v>60</v>
      </c>
      <c r="F707">
        <v>59.663894653</v>
      </c>
      <c r="G707">
        <v>1333.5993652</v>
      </c>
      <c r="H707">
        <v>1332.4569091999999</v>
      </c>
      <c r="I707">
        <v>1330.2347411999999</v>
      </c>
      <c r="J707">
        <v>1330.0987548999999</v>
      </c>
      <c r="K707">
        <v>550</v>
      </c>
      <c r="L707">
        <v>0</v>
      </c>
      <c r="M707">
        <v>0</v>
      </c>
      <c r="N707">
        <v>550</v>
      </c>
    </row>
    <row r="708" spans="1:14" x14ac:dyDescent="0.25">
      <c r="A708">
        <v>368.30775199999999</v>
      </c>
      <c r="B708" s="1">
        <f>DATE(2011,5,4) + TIME(7,23,9)</f>
        <v>40667.307743055557</v>
      </c>
      <c r="C708">
        <v>80</v>
      </c>
      <c r="D708">
        <v>77.744438170999999</v>
      </c>
      <c r="E708">
        <v>60</v>
      </c>
      <c r="F708">
        <v>59.650756835999999</v>
      </c>
      <c r="G708">
        <v>1333.6347656</v>
      </c>
      <c r="H708">
        <v>1332.4814452999999</v>
      </c>
      <c r="I708">
        <v>1330.2308350000001</v>
      </c>
      <c r="J708">
        <v>1330.0922852000001</v>
      </c>
      <c r="K708">
        <v>550</v>
      </c>
      <c r="L708">
        <v>0</v>
      </c>
      <c r="M708">
        <v>0</v>
      </c>
      <c r="N708">
        <v>550</v>
      </c>
    </row>
    <row r="709" spans="1:14" x14ac:dyDescent="0.25">
      <c r="A709">
        <v>368.47930100000002</v>
      </c>
      <c r="B709" s="1">
        <f>DATE(2011,5,4) + TIME(11,30,11)</f>
        <v>40667.47929398148</v>
      </c>
      <c r="C709">
        <v>80</v>
      </c>
      <c r="D709">
        <v>78.072799683</v>
      </c>
      <c r="E709">
        <v>60</v>
      </c>
      <c r="F709">
        <v>59.636905669999997</v>
      </c>
      <c r="G709">
        <v>1333.6691894999999</v>
      </c>
      <c r="H709">
        <v>1332.5051269999999</v>
      </c>
      <c r="I709">
        <v>1330.2268065999999</v>
      </c>
      <c r="J709">
        <v>1330.0855713000001</v>
      </c>
      <c r="K709">
        <v>550</v>
      </c>
      <c r="L709">
        <v>0</v>
      </c>
      <c r="M709">
        <v>0</v>
      </c>
      <c r="N709">
        <v>550</v>
      </c>
    </row>
    <row r="710" spans="1:14" x14ac:dyDescent="0.25">
      <c r="A710">
        <v>368.66037999999998</v>
      </c>
      <c r="B710" s="1">
        <f>DATE(2011,5,4) + TIME(15,50,56)</f>
        <v>40667.660370370373</v>
      </c>
      <c r="C710">
        <v>80</v>
      </c>
      <c r="D710">
        <v>78.365928650000001</v>
      </c>
      <c r="E710">
        <v>60</v>
      </c>
      <c r="F710">
        <v>59.622283936000002</v>
      </c>
      <c r="G710">
        <v>1333.6981201000001</v>
      </c>
      <c r="H710">
        <v>1332.5251464999999</v>
      </c>
      <c r="I710">
        <v>1330.2225341999999</v>
      </c>
      <c r="J710">
        <v>1330.0786132999999</v>
      </c>
      <c r="K710">
        <v>550</v>
      </c>
      <c r="L710">
        <v>0</v>
      </c>
      <c r="M710">
        <v>0</v>
      </c>
      <c r="N710">
        <v>550</v>
      </c>
    </row>
    <row r="711" spans="1:14" x14ac:dyDescent="0.25">
      <c r="A711">
        <v>368.85274199999998</v>
      </c>
      <c r="B711" s="1">
        <f>DATE(2011,5,4) + TIME(20,27,56)</f>
        <v>40667.852731481478</v>
      </c>
      <c r="C711">
        <v>80</v>
      </c>
      <c r="D711">
        <v>78.626037597999996</v>
      </c>
      <c r="E711">
        <v>60</v>
      </c>
      <c r="F711">
        <v>59.606754303000002</v>
      </c>
      <c r="G711">
        <v>1333.7246094</v>
      </c>
      <c r="H711">
        <v>1332.5435791</v>
      </c>
      <c r="I711">
        <v>1330.2178954999999</v>
      </c>
      <c r="J711">
        <v>1330.0712891000001</v>
      </c>
      <c r="K711">
        <v>550</v>
      </c>
      <c r="L711">
        <v>0</v>
      </c>
      <c r="M711">
        <v>0</v>
      </c>
      <c r="N711">
        <v>550</v>
      </c>
    </row>
    <row r="712" spans="1:14" x14ac:dyDescent="0.25">
      <c r="A712">
        <v>369.05782499999998</v>
      </c>
      <c r="B712" s="1">
        <f>DATE(2011,5,5) + TIME(1,23,16)</f>
        <v>40668.057824074072</v>
      </c>
      <c r="C712">
        <v>80</v>
      </c>
      <c r="D712">
        <v>78.854705811000002</v>
      </c>
      <c r="E712">
        <v>60</v>
      </c>
      <c r="F712">
        <v>59.590209960999999</v>
      </c>
      <c r="G712">
        <v>1333.7498779</v>
      </c>
      <c r="H712">
        <v>1332.5611572</v>
      </c>
      <c r="I712">
        <v>1330.2132568</v>
      </c>
      <c r="J712">
        <v>1330.0638428</v>
      </c>
      <c r="K712">
        <v>550</v>
      </c>
      <c r="L712">
        <v>0</v>
      </c>
      <c r="M712">
        <v>0</v>
      </c>
      <c r="N712">
        <v>550</v>
      </c>
    </row>
    <row r="713" spans="1:14" x14ac:dyDescent="0.25">
      <c r="A713">
        <v>369.268618</v>
      </c>
      <c r="B713" s="1">
        <f>DATE(2011,5,5) + TIME(6,26,48)</f>
        <v>40668.268611111111</v>
      </c>
      <c r="C713">
        <v>80</v>
      </c>
      <c r="D713">
        <v>79.047309874999996</v>
      </c>
      <c r="E713">
        <v>60</v>
      </c>
      <c r="F713">
        <v>59.573207855</v>
      </c>
      <c r="G713">
        <v>1333.7739257999999</v>
      </c>
      <c r="H713">
        <v>1332.5778809000001</v>
      </c>
      <c r="I713">
        <v>1330.2082519999999</v>
      </c>
      <c r="J713">
        <v>1330.0560303</v>
      </c>
      <c r="K713">
        <v>550</v>
      </c>
      <c r="L713">
        <v>0</v>
      </c>
      <c r="M713">
        <v>0</v>
      </c>
      <c r="N713">
        <v>550</v>
      </c>
    </row>
    <row r="714" spans="1:14" x14ac:dyDescent="0.25">
      <c r="A714">
        <v>369.48553800000002</v>
      </c>
      <c r="B714" s="1">
        <f>DATE(2011,5,5) + TIME(11,39,10)</f>
        <v>40668.485532407409</v>
      </c>
      <c r="C714">
        <v>80</v>
      </c>
      <c r="D714">
        <v>79.208442688000005</v>
      </c>
      <c r="E714">
        <v>60</v>
      </c>
      <c r="F714">
        <v>59.555721282999997</v>
      </c>
      <c r="G714">
        <v>1333.7917480000001</v>
      </c>
      <c r="H714">
        <v>1332.5904541</v>
      </c>
      <c r="I714">
        <v>1330.2032471</v>
      </c>
      <c r="J714">
        <v>1330.0482178</v>
      </c>
      <c r="K714">
        <v>550</v>
      </c>
      <c r="L714">
        <v>0</v>
      </c>
      <c r="M714">
        <v>0</v>
      </c>
      <c r="N714">
        <v>550</v>
      </c>
    </row>
    <row r="715" spans="1:14" x14ac:dyDescent="0.25">
      <c r="A715">
        <v>369.70513299999999</v>
      </c>
      <c r="B715" s="1">
        <f>DATE(2011,5,5) + TIME(16,55,23)</f>
        <v>40668.705127314817</v>
      </c>
      <c r="C715">
        <v>80</v>
      </c>
      <c r="D715">
        <v>79.340621948000006</v>
      </c>
      <c r="E715">
        <v>60</v>
      </c>
      <c r="F715">
        <v>59.538028717000003</v>
      </c>
      <c r="G715">
        <v>1333.8066406</v>
      </c>
      <c r="H715">
        <v>1332.6010742000001</v>
      </c>
      <c r="I715">
        <v>1330.1979980000001</v>
      </c>
      <c r="J715">
        <v>1330.0402832</v>
      </c>
      <c r="K715">
        <v>550</v>
      </c>
      <c r="L715">
        <v>0</v>
      </c>
      <c r="M715">
        <v>0</v>
      </c>
      <c r="N715">
        <v>550</v>
      </c>
    </row>
    <row r="716" spans="1:14" x14ac:dyDescent="0.25">
      <c r="A716">
        <v>369.92621600000001</v>
      </c>
      <c r="B716" s="1">
        <f>DATE(2011,5,5) + TIME(22,13,45)</f>
        <v>40668.926215277781</v>
      </c>
      <c r="C716">
        <v>80</v>
      </c>
      <c r="D716">
        <v>79.448280334000003</v>
      </c>
      <c r="E716">
        <v>60</v>
      </c>
      <c r="F716">
        <v>59.52022934</v>
      </c>
      <c r="G716">
        <v>1333.8197021000001</v>
      </c>
      <c r="H716">
        <v>1332.6107178</v>
      </c>
      <c r="I716">
        <v>1330.1928711</v>
      </c>
      <c r="J716">
        <v>1330.0323486</v>
      </c>
      <c r="K716">
        <v>550</v>
      </c>
      <c r="L716">
        <v>0</v>
      </c>
      <c r="M716">
        <v>0</v>
      </c>
      <c r="N716">
        <v>550</v>
      </c>
    </row>
    <row r="717" spans="1:14" x14ac:dyDescent="0.25">
      <c r="A717">
        <v>370.14942000000002</v>
      </c>
      <c r="B717" s="1">
        <f>DATE(2011,5,6) + TIME(3,35,9)</f>
        <v>40669.149409722224</v>
      </c>
      <c r="C717">
        <v>80</v>
      </c>
      <c r="D717">
        <v>79.536048889</v>
      </c>
      <c r="E717">
        <v>60</v>
      </c>
      <c r="F717">
        <v>59.502269745</v>
      </c>
      <c r="G717">
        <v>1333.8310547000001</v>
      </c>
      <c r="H717">
        <v>1332.6191406</v>
      </c>
      <c r="I717">
        <v>1330.1878661999999</v>
      </c>
      <c r="J717">
        <v>1330.0246582</v>
      </c>
      <c r="K717">
        <v>550</v>
      </c>
      <c r="L717">
        <v>0</v>
      </c>
      <c r="M717">
        <v>0</v>
      </c>
      <c r="N717">
        <v>550</v>
      </c>
    </row>
    <row r="718" spans="1:14" x14ac:dyDescent="0.25">
      <c r="A718">
        <v>370.37538799999999</v>
      </c>
      <c r="B718" s="1">
        <f>DATE(2011,5,6) + TIME(9,0,33)</f>
        <v>40669.375381944446</v>
      </c>
      <c r="C718">
        <v>80</v>
      </c>
      <c r="D718">
        <v>79.607650757000002</v>
      </c>
      <c r="E718">
        <v>60</v>
      </c>
      <c r="F718">
        <v>59.484111786</v>
      </c>
      <c r="G718">
        <v>1333.8409423999999</v>
      </c>
      <c r="H718">
        <v>1332.6267089999999</v>
      </c>
      <c r="I718">
        <v>1330.1827393000001</v>
      </c>
      <c r="J718">
        <v>1330.0169678</v>
      </c>
      <c r="K718">
        <v>550</v>
      </c>
      <c r="L718">
        <v>0</v>
      </c>
      <c r="M718">
        <v>0</v>
      </c>
      <c r="N718">
        <v>550</v>
      </c>
    </row>
    <row r="719" spans="1:14" x14ac:dyDescent="0.25">
      <c r="A719">
        <v>370.60458699999998</v>
      </c>
      <c r="B719" s="1">
        <f>DATE(2011,5,6) + TIME(14,30,36)</f>
        <v>40669.604583333334</v>
      </c>
      <c r="C719">
        <v>80</v>
      </c>
      <c r="D719">
        <v>79.666053771999998</v>
      </c>
      <c r="E719">
        <v>60</v>
      </c>
      <c r="F719">
        <v>59.465721129999999</v>
      </c>
      <c r="G719">
        <v>1333.8494873</v>
      </c>
      <c r="H719">
        <v>1332.6335449000001</v>
      </c>
      <c r="I719">
        <v>1330.1777344</v>
      </c>
      <c r="J719">
        <v>1330.0092772999999</v>
      </c>
      <c r="K719">
        <v>550</v>
      </c>
      <c r="L719">
        <v>0</v>
      </c>
      <c r="M719">
        <v>0</v>
      </c>
      <c r="N719">
        <v>550</v>
      </c>
    </row>
    <row r="720" spans="1:14" x14ac:dyDescent="0.25">
      <c r="A720">
        <v>370.837603</v>
      </c>
      <c r="B720" s="1">
        <f>DATE(2011,5,6) + TIME(20,6,8)</f>
        <v>40669.837592592594</v>
      </c>
      <c r="C720">
        <v>80</v>
      </c>
      <c r="D720">
        <v>79.713699340999995</v>
      </c>
      <c r="E720">
        <v>60</v>
      </c>
      <c r="F720">
        <v>59.447055816999999</v>
      </c>
      <c r="G720">
        <v>1333.8569336</v>
      </c>
      <c r="H720">
        <v>1332.6396483999999</v>
      </c>
      <c r="I720">
        <v>1330.1726074000001</v>
      </c>
      <c r="J720">
        <v>1330.0015868999999</v>
      </c>
      <c r="K720">
        <v>550</v>
      </c>
      <c r="L720">
        <v>0</v>
      </c>
      <c r="M720">
        <v>0</v>
      </c>
      <c r="N720">
        <v>550</v>
      </c>
    </row>
    <row r="721" spans="1:14" x14ac:dyDescent="0.25">
      <c r="A721">
        <v>371.07504599999999</v>
      </c>
      <c r="B721" s="1">
        <f>DATE(2011,5,7) + TIME(1,48,3)</f>
        <v>40670.07503472222</v>
      </c>
      <c r="C721">
        <v>80</v>
      </c>
      <c r="D721">
        <v>79.752555846999996</v>
      </c>
      <c r="E721">
        <v>60</v>
      </c>
      <c r="F721">
        <v>59.428073883000003</v>
      </c>
      <c r="G721">
        <v>1333.8631591999999</v>
      </c>
      <c r="H721">
        <v>1332.6448975000001</v>
      </c>
      <c r="I721">
        <v>1330.1676024999999</v>
      </c>
      <c r="J721">
        <v>1329.9940185999999</v>
      </c>
      <c r="K721">
        <v>550</v>
      </c>
      <c r="L721">
        <v>0</v>
      </c>
      <c r="M721">
        <v>0</v>
      </c>
      <c r="N721">
        <v>550</v>
      </c>
    </row>
    <row r="722" spans="1:14" x14ac:dyDescent="0.25">
      <c r="A722">
        <v>371.31759499999998</v>
      </c>
      <c r="B722" s="1">
        <f>DATE(2011,5,7) + TIME(7,37,20)</f>
        <v>40670.31759259259</v>
      </c>
      <c r="C722">
        <v>80</v>
      </c>
      <c r="D722">
        <v>79.784240722999996</v>
      </c>
      <c r="E722">
        <v>60</v>
      </c>
      <c r="F722">
        <v>59.408725738999998</v>
      </c>
      <c r="G722">
        <v>1333.8682861</v>
      </c>
      <c r="H722">
        <v>1332.6496582</v>
      </c>
      <c r="I722">
        <v>1330.1624756000001</v>
      </c>
      <c r="J722">
        <v>1329.9863281</v>
      </c>
      <c r="K722">
        <v>550</v>
      </c>
      <c r="L722">
        <v>0</v>
      </c>
      <c r="M722">
        <v>0</v>
      </c>
      <c r="N722">
        <v>550</v>
      </c>
    </row>
    <row r="723" spans="1:14" x14ac:dyDescent="0.25">
      <c r="A723">
        <v>371.565946</v>
      </c>
      <c r="B723" s="1">
        <f>DATE(2011,5,7) + TIME(13,34,57)</f>
        <v>40670.565937500003</v>
      </c>
      <c r="C723">
        <v>80</v>
      </c>
      <c r="D723">
        <v>79.810043335000003</v>
      </c>
      <c r="E723">
        <v>60</v>
      </c>
      <c r="F723">
        <v>59.388961792000003</v>
      </c>
      <c r="G723">
        <v>1333.8707274999999</v>
      </c>
      <c r="H723">
        <v>1332.6527100000001</v>
      </c>
      <c r="I723">
        <v>1330.1573486</v>
      </c>
      <c r="J723">
        <v>1329.9786377</v>
      </c>
      <c r="K723">
        <v>550</v>
      </c>
      <c r="L723">
        <v>0</v>
      </c>
      <c r="M723">
        <v>0</v>
      </c>
      <c r="N723">
        <v>550</v>
      </c>
    </row>
    <row r="724" spans="1:14" x14ac:dyDescent="0.25">
      <c r="A724">
        <v>371.82120200000003</v>
      </c>
      <c r="B724" s="1">
        <f>DATE(2011,5,7) + TIME(19,42,31)</f>
        <v>40670.821192129632</v>
      </c>
      <c r="C724">
        <v>80</v>
      </c>
      <c r="D724">
        <v>79.831054687999995</v>
      </c>
      <c r="E724">
        <v>60</v>
      </c>
      <c r="F724">
        <v>59.368709564</v>
      </c>
      <c r="G724">
        <v>1333.8719481999999</v>
      </c>
      <c r="H724">
        <v>1332.6550293</v>
      </c>
      <c r="I724">
        <v>1330.1522216999999</v>
      </c>
      <c r="J724">
        <v>1329.9708252</v>
      </c>
      <c r="K724">
        <v>550</v>
      </c>
      <c r="L724">
        <v>0</v>
      </c>
      <c r="M724">
        <v>0</v>
      </c>
      <c r="N724">
        <v>550</v>
      </c>
    </row>
    <row r="725" spans="1:14" x14ac:dyDescent="0.25">
      <c r="A725">
        <v>372.084271</v>
      </c>
      <c r="B725" s="1">
        <f>DATE(2011,5,8) + TIME(2,1,21)</f>
        <v>40671.084270833337</v>
      </c>
      <c r="C725">
        <v>80</v>
      </c>
      <c r="D725">
        <v>79.848167419000006</v>
      </c>
      <c r="E725">
        <v>60</v>
      </c>
      <c r="F725">
        <v>59.347904204999999</v>
      </c>
      <c r="G725">
        <v>1333.8726807</v>
      </c>
      <c r="H725">
        <v>1332.6571045000001</v>
      </c>
      <c r="I725">
        <v>1330.1468506000001</v>
      </c>
      <c r="J725">
        <v>1329.9630127</v>
      </c>
      <c r="K725">
        <v>550</v>
      </c>
      <c r="L725">
        <v>0</v>
      </c>
      <c r="M725">
        <v>0</v>
      </c>
      <c r="N725">
        <v>550</v>
      </c>
    </row>
    <row r="726" spans="1:14" x14ac:dyDescent="0.25">
      <c r="A726">
        <v>372.35604599999999</v>
      </c>
      <c r="B726" s="1">
        <f>DATE(2011,5,8) + TIME(8,32,42)</f>
        <v>40671.356041666666</v>
      </c>
      <c r="C726">
        <v>80</v>
      </c>
      <c r="D726">
        <v>79.862075806000007</v>
      </c>
      <c r="E726">
        <v>60</v>
      </c>
      <c r="F726">
        <v>59.326480865000001</v>
      </c>
      <c r="G726">
        <v>1333.8731689000001</v>
      </c>
      <c r="H726">
        <v>1332.6589355000001</v>
      </c>
      <c r="I726">
        <v>1330.1416016000001</v>
      </c>
      <c r="J726">
        <v>1329.9550781</v>
      </c>
      <c r="K726">
        <v>550</v>
      </c>
      <c r="L726">
        <v>0</v>
      </c>
      <c r="M726">
        <v>0</v>
      </c>
      <c r="N726">
        <v>550</v>
      </c>
    </row>
    <row r="727" spans="1:14" x14ac:dyDescent="0.25">
      <c r="A727">
        <v>372.63760600000001</v>
      </c>
      <c r="B727" s="1">
        <f>DATE(2011,5,8) + TIME(15,18,9)</f>
        <v>40671.637604166666</v>
      </c>
      <c r="C727">
        <v>80</v>
      </c>
      <c r="D727">
        <v>79.873382567999997</v>
      </c>
      <c r="E727">
        <v>60</v>
      </c>
      <c r="F727">
        <v>59.304374695</v>
      </c>
      <c r="G727">
        <v>1333.8731689000001</v>
      </c>
      <c r="H727">
        <v>1332.6606445</v>
      </c>
      <c r="I727">
        <v>1330.1361084</v>
      </c>
      <c r="J727">
        <v>1329.9468993999999</v>
      </c>
      <c r="K727">
        <v>550</v>
      </c>
      <c r="L727">
        <v>0</v>
      </c>
      <c r="M727">
        <v>0</v>
      </c>
      <c r="N727">
        <v>550</v>
      </c>
    </row>
    <row r="728" spans="1:14" x14ac:dyDescent="0.25">
      <c r="A728">
        <v>372.92981400000002</v>
      </c>
      <c r="B728" s="1">
        <f>DATE(2011,5,8) + TIME(22,18,55)</f>
        <v>40671.929803240739</v>
      </c>
      <c r="C728">
        <v>80</v>
      </c>
      <c r="D728">
        <v>79.882545471</v>
      </c>
      <c r="E728">
        <v>60</v>
      </c>
      <c r="F728">
        <v>59.281524658000002</v>
      </c>
      <c r="G728">
        <v>1333.8728027</v>
      </c>
      <c r="H728">
        <v>1332.6621094</v>
      </c>
      <c r="I728">
        <v>1330.1306152</v>
      </c>
      <c r="J728">
        <v>1329.9387207</v>
      </c>
      <c r="K728">
        <v>550</v>
      </c>
      <c r="L728">
        <v>0</v>
      </c>
      <c r="M728">
        <v>0</v>
      </c>
      <c r="N728">
        <v>550</v>
      </c>
    </row>
    <row r="729" spans="1:14" x14ac:dyDescent="0.25">
      <c r="A729">
        <v>373.23021599999998</v>
      </c>
      <c r="B729" s="1">
        <f>DATE(2011,5,9) + TIME(5,31,30)</f>
        <v>40672.230208333334</v>
      </c>
      <c r="C729">
        <v>80</v>
      </c>
      <c r="D729">
        <v>79.889892578000001</v>
      </c>
      <c r="E729">
        <v>60</v>
      </c>
      <c r="F729">
        <v>59.258125305</v>
      </c>
      <c r="G729">
        <v>1333.8721923999999</v>
      </c>
      <c r="H729">
        <v>1332.6634521000001</v>
      </c>
      <c r="I729">
        <v>1330.1248779</v>
      </c>
      <c r="J729">
        <v>1329.9302978999999</v>
      </c>
      <c r="K729">
        <v>550</v>
      </c>
      <c r="L729">
        <v>0</v>
      </c>
      <c r="M729">
        <v>0</v>
      </c>
      <c r="N729">
        <v>550</v>
      </c>
    </row>
    <row r="730" spans="1:14" x14ac:dyDescent="0.25">
      <c r="A730">
        <v>373.53983799999997</v>
      </c>
      <c r="B730" s="1">
        <f>DATE(2011,5,9) + TIME(12,57,21)</f>
        <v>40672.539826388886</v>
      </c>
      <c r="C730">
        <v>80</v>
      </c>
      <c r="D730">
        <v>79.895790099999999</v>
      </c>
      <c r="E730">
        <v>60</v>
      </c>
      <c r="F730">
        <v>59.234111786</v>
      </c>
      <c r="G730">
        <v>1333.8713379000001</v>
      </c>
      <c r="H730">
        <v>1332.6647949000001</v>
      </c>
      <c r="I730">
        <v>1330.1191406</v>
      </c>
      <c r="J730">
        <v>1329.9217529</v>
      </c>
      <c r="K730">
        <v>550</v>
      </c>
      <c r="L730">
        <v>0</v>
      </c>
      <c r="M730">
        <v>0</v>
      </c>
      <c r="N730">
        <v>550</v>
      </c>
    </row>
    <row r="731" spans="1:14" x14ac:dyDescent="0.25">
      <c r="A731">
        <v>373.85967699999998</v>
      </c>
      <c r="B731" s="1">
        <f>DATE(2011,5,9) + TIME(20,37,56)</f>
        <v>40672.859675925924</v>
      </c>
      <c r="C731">
        <v>80</v>
      </c>
      <c r="D731">
        <v>79.900520325000002</v>
      </c>
      <c r="E731">
        <v>60</v>
      </c>
      <c r="F731">
        <v>59.209419250000003</v>
      </c>
      <c r="G731">
        <v>1333.8702393000001</v>
      </c>
      <c r="H731">
        <v>1332.6660156</v>
      </c>
      <c r="I731">
        <v>1330.1132812000001</v>
      </c>
      <c r="J731">
        <v>1329.9130858999999</v>
      </c>
      <c r="K731">
        <v>550</v>
      </c>
      <c r="L731">
        <v>0</v>
      </c>
      <c r="M731">
        <v>0</v>
      </c>
      <c r="N731">
        <v>550</v>
      </c>
    </row>
    <row r="732" spans="1:14" x14ac:dyDescent="0.25">
      <c r="A732">
        <v>374.190856</v>
      </c>
      <c r="B732" s="1">
        <f>DATE(2011,5,10) + TIME(4,34,49)</f>
        <v>40673.190844907411</v>
      </c>
      <c r="C732">
        <v>80</v>
      </c>
      <c r="D732">
        <v>79.904327393000003</v>
      </c>
      <c r="E732">
        <v>60</v>
      </c>
      <c r="F732">
        <v>59.183975220000001</v>
      </c>
      <c r="G732">
        <v>1333.8688964999999</v>
      </c>
      <c r="H732">
        <v>1332.6671143000001</v>
      </c>
      <c r="I732">
        <v>1330.1074219</v>
      </c>
      <c r="J732">
        <v>1329.9042969</v>
      </c>
      <c r="K732">
        <v>550</v>
      </c>
      <c r="L732">
        <v>0</v>
      </c>
      <c r="M732">
        <v>0</v>
      </c>
      <c r="N732">
        <v>550</v>
      </c>
    </row>
    <row r="733" spans="1:14" x14ac:dyDescent="0.25">
      <c r="A733">
        <v>374.53474899999998</v>
      </c>
      <c r="B733" s="1">
        <f>DATE(2011,5,10) + TIME(12,50,2)</f>
        <v>40673.534745370373</v>
      </c>
      <c r="C733">
        <v>80</v>
      </c>
      <c r="D733">
        <v>79.907379149999997</v>
      </c>
      <c r="E733">
        <v>60</v>
      </c>
      <c r="F733">
        <v>59.157691956000001</v>
      </c>
      <c r="G733">
        <v>1333.8673096</v>
      </c>
      <c r="H733">
        <v>1332.6680908000001</v>
      </c>
      <c r="I733">
        <v>1330.1013184000001</v>
      </c>
      <c r="J733">
        <v>1329.8952637</v>
      </c>
      <c r="K733">
        <v>550</v>
      </c>
      <c r="L733">
        <v>0</v>
      </c>
      <c r="M733">
        <v>0</v>
      </c>
      <c r="N733">
        <v>550</v>
      </c>
    </row>
    <row r="734" spans="1:14" x14ac:dyDescent="0.25">
      <c r="A734">
        <v>374.89279499999998</v>
      </c>
      <c r="B734" s="1">
        <f>DATE(2011,5,10) + TIME(21,25,37)</f>
        <v>40673.892789351848</v>
      </c>
      <c r="C734">
        <v>80</v>
      </c>
      <c r="D734">
        <v>79.909835814999994</v>
      </c>
      <c r="E734">
        <v>60</v>
      </c>
      <c r="F734">
        <v>59.130477904999999</v>
      </c>
      <c r="G734">
        <v>1333.8656006000001</v>
      </c>
      <c r="H734">
        <v>1332.6690673999999</v>
      </c>
      <c r="I734">
        <v>1330.0950928</v>
      </c>
      <c r="J734">
        <v>1329.8861084</v>
      </c>
      <c r="K734">
        <v>550</v>
      </c>
      <c r="L734">
        <v>0</v>
      </c>
      <c r="M734">
        <v>0</v>
      </c>
      <c r="N734">
        <v>550</v>
      </c>
    </row>
    <row r="735" spans="1:14" x14ac:dyDescent="0.25">
      <c r="A735">
        <v>375.26654600000001</v>
      </c>
      <c r="B735" s="1">
        <f>DATE(2011,5,11) + TIME(6,23,49)</f>
        <v>40674.266539351855</v>
      </c>
      <c r="C735">
        <v>80</v>
      </c>
      <c r="D735">
        <v>79.911796570000007</v>
      </c>
      <c r="E735">
        <v>60</v>
      </c>
      <c r="F735">
        <v>59.102237701</v>
      </c>
      <c r="G735">
        <v>1333.8636475000001</v>
      </c>
      <c r="H735">
        <v>1332.6700439000001</v>
      </c>
      <c r="I735">
        <v>1330.0887451000001</v>
      </c>
      <c r="J735">
        <v>1329.8765868999999</v>
      </c>
      <c r="K735">
        <v>550</v>
      </c>
      <c r="L735">
        <v>0</v>
      </c>
      <c r="M735">
        <v>0</v>
      </c>
      <c r="N735">
        <v>550</v>
      </c>
    </row>
    <row r="736" spans="1:14" x14ac:dyDescent="0.25">
      <c r="A736">
        <v>375.65823799999998</v>
      </c>
      <c r="B736" s="1">
        <f>DATE(2011,5,11) + TIME(15,47,51)</f>
        <v>40674.658229166664</v>
      </c>
      <c r="C736">
        <v>80</v>
      </c>
      <c r="D736">
        <v>79.913375853999995</v>
      </c>
      <c r="E736">
        <v>60</v>
      </c>
      <c r="F736">
        <v>59.072830199999999</v>
      </c>
      <c r="G736">
        <v>1333.8615723</v>
      </c>
      <c r="H736">
        <v>1332.6708983999999</v>
      </c>
      <c r="I736">
        <v>1330.0821533000001</v>
      </c>
      <c r="J736">
        <v>1329.8669434000001</v>
      </c>
      <c r="K736">
        <v>550</v>
      </c>
      <c r="L736">
        <v>0</v>
      </c>
      <c r="M736">
        <v>0</v>
      </c>
      <c r="N736">
        <v>550</v>
      </c>
    </row>
    <row r="737" spans="1:14" x14ac:dyDescent="0.25">
      <c r="A737">
        <v>376.07484899999997</v>
      </c>
      <c r="B737" s="1">
        <f>DATE(2011,5,12) + TIME(1,47,46)</f>
        <v>40675.074837962966</v>
      </c>
      <c r="C737">
        <v>80</v>
      </c>
      <c r="D737">
        <v>79.914649963000002</v>
      </c>
      <c r="E737">
        <v>60</v>
      </c>
      <c r="F737">
        <v>59.041786193999997</v>
      </c>
      <c r="G737">
        <v>1333.859375</v>
      </c>
      <c r="H737">
        <v>1332.6717529</v>
      </c>
      <c r="I737">
        <v>1330.0754394999999</v>
      </c>
      <c r="J737">
        <v>1329.8569336</v>
      </c>
      <c r="K737">
        <v>550</v>
      </c>
      <c r="L737">
        <v>0</v>
      </c>
      <c r="M737">
        <v>0</v>
      </c>
      <c r="N737">
        <v>550</v>
      </c>
    </row>
    <row r="738" spans="1:14" x14ac:dyDescent="0.25">
      <c r="A738">
        <v>376.52043400000002</v>
      </c>
      <c r="B738" s="1">
        <f>DATE(2011,5,12) + TIME(12,29,25)</f>
        <v>40675.520428240743</v>
      </c>
      <c r="C738">
        <v>80</v>
      </c>
      <c r="D738">
        <v>79.915672302000004</v>
      </c>
      <c r="E738">
        <v>60</v>
      </c>
      <c r="F738">
        <v>59.008853911999999</v>
      </c>
      <c r="G738">
        <v>1333.8569336</v>
      </c>
      <c r="H738">
        <v>1332.6726074000001</v>
      </c>
      <c r="I738">
        <v>1330.0683594</v>
      </c>
      <c r="J738">
        <v>1329.8464355000001</v>
      </c>
      <c r="K738">
        <v>550</v>
      </c>
      <c r="L738">
        <v>0</v>
      </c>
      <c r="M738">
        <v>0</v>
      </c>
      <c r="N738">
        <v>550</v>
      </c>
    </row>
    <row r="739" spans="1:14" x14ac:dyDescent="0.25">
      <c r="A739">
        <v>376.99588699999998</v>
      </c>
      <c r="B739" s="1">
        <f>DATE(2011,5,12) + TIME(23,54,4)</f>
        <v>40675.995879629627</v>
      </c>
      <c r="C739">
        <v>80</v>
      </c>
      <c r="D739">
        <v>79.916473389000004</v>
      </c>
      <c r="E739">
        <v>60</v>
      </c>
      <c r="F739">
        <v>58.974010468000003</v>
      </c>
      <c r="G739">
        <v>1333.8543701000001</v>
      </c>
      <c r="H739">
        <v>1332.6733397999999</v>
      </c>
      <c r="I739">
        <v>1330.0609131000001</v>
      </c>
      <c r="J739">
        <v>1329.8354492000001</v>
      </c>
      <c r="K739">
        <v>550</v>
      </c>
      <c r="L739">
        <v>0</v>
      </c>
      <c r="M739">
        <v>0</v>
      </c>
      <c r="N739">
        <v>550</v>
      </c>
    </row>
    <row r="740" spans="1:14" x14ac:dyDescent="0.25">
      <c r="A740">
        <v>377.476181</v>
      </c>
      <c r="B740" s="1">
        <f>DATE(2011,5,13) + TIME(11,25,42)</f>
        <v>40676.476180555554</v>
      </c>
      <c r="C740">
        <v>80</v>
      </c>
      <c r="D740">
        <v>79.917068481000001</v>
      </c>
      <c r="E740">
        <v>60</v>
      </c>
      <c r="F740">
        <v>58.938976287999999</v>
      </c>
      <c r="G740">
        <v>1333.8515625</v>
      </c>
      <c r="H740">
        <v>1332.6741943</v>
      </c>
      <c r="I740">
        <v>1330.0531006000001</v>
      </c>
      <c r="J740">
        <v>1329.8239745999999</v>
      </c>
      <c r="K740">
        <v>550</v>
      </c>
      <c r="L740">
        <v>0</v>
      </c>
      <c r="M740">
        <v>0</v>
      </c>
      <c r="N740">
        <v>550</v>
      </c>
    </row>
    <row r="741" spans="1:14" x14ac:dyDescent="0.25">
      <c r="A741">
        <v>377.96358199999997</v>
      </c>
      <c r="B741" s="1">
        <f>DATE(2011,5,13) + TIME(23,7,33)</f>
        <v>40676.963576388887</v>
      </c>
      <c r="C741">
        <v>80</v>
      </c>
      <c r="D741">
        <v>79.917510985999996</v>
      </c>
      <c r="E741">
        <v>60</v>
      </c>
      <c r="F741">
        <v>58.903591155999997</v>
      </c>
      <c r="G741">
        <v>1333.8488769999999</v>
      </c>
      <c r="H741">
        <v>1332.6749268000001</v>
      </c>
      <c r="I741">
        <v>1330.0452881000001</v>
      </c>
      <c r="J741">
        <v>1329.8126221</v>
      </c>
      <c r="K741">
        <v>550</v>
      </c>
      <c r="L741">
        <v>0</v>
      </c>
      <c r="M741">
        <v>0</v>
      </c>
      <c r="N741">
        <v>550</v>
      </c>
    </row>
    <row r="742" spans="1:14" x14ac:dyDescent="0.25">
      <c r="A742">
        <v>378.46018600000002</v>
      </c>
      <c r="B742" s="1">
        <f>DATE(2011,5,14) + TIME(11,2,40)</f>
        <v>40677.460185185184</v>
      </c>
      <c r="C742">
        <v>80</v>
      </c>
      <c r="D742">
        <v>79.917831421000002</v>
      </c>
      <c r="E742">
        <v>60</v>
      </c>
      <c r="F742">
        <v>58.867721558</v>
      </c>
      <c r="G742">
        <v>1333.8460693</v>
      </c>
      <c r="H742">
        <v>1332.6756591999999</v>
      </c>
      <c r="I742">
        <v>1330.0375977000001</v>
      </c>
      <c r="J742">
        <v>1329.8011475000001</v>
      </c>
      <c r="K742">
        <v>550</v>
      </c>
      <c r="L742">
        <v>0</v>
      </c>
      <c r="M742">
        <v>0</v>
      </c>
      <c r="N742">
        <v>550</v>
      </c>
    </row>
    <row r="743" spans="1:14" x14ac:dyDescent="0.25">
      <c r="A743">
        <v>378.96815600000002</v>
      </c>
      <c r="B743" s="1">
        <f>DATE(2011,5,14) + TIME(23,14,8)</f>
        <v>40677.968148148146</v>
      </c>
      <c r="C743">
        <v>80</v>
      </c>
      <c r="D743">
        <v>79.918060303000004</v>
      </c>
      <c r="E743">
        <v>60</v>
      </c>
      <c r="F743">
        <v>58.831222533999998</v>
      </c>
      <c r="G743">
        <v>1333.8433838000001</v>
      </c>
      <c r="H743">
        <v>1332.6765137</v>
      </c>
      <c r="I743">
        <v>1330.0297852000001</v>
      </c>
      <c r="J743">
        <v>1329.7895507999999</v>
      </c>
      <c r="K743">
        <v>550</v>
      </c>
      <c r="L743">
        <v>0</v>
      </c>
      <c r="M743">
        <v>0</v>
      </c>
      <c r="N743">
        <v>550</v>
      </c>
    </row>
    <row r="744" spans="1:14" x14ac:dyDescent="0.25">
      <c r="A744">
        <v>379.48978599999998</v>
      </c>
      <c r="B744" s="1">
        <f>DATE(2011,5,15) + TIME(11,45,17)</f>
        <v>40678.48978009259</v>
      </c>
      <c r="C744">
        <v>80</v>
      </c>
      <c r="D744">
        <v>79.918212890999996</v>
      </c>
      <c r="E744">
        <v>60</v>
      </c>
      <c r="F744">
        <v>58.793945311999998</v>
      </c>
      <c r="G744">
        <v>1333.8406981999999</v>
      </c>
      <c r="H744">
        <v>1332.6772461</v>
      </c>
      <c r="I744">
        <v>1330.0218506000001</v>
      </c>
      <c r="J744">
        <v>1329.7779541</v>
      </c>
      <c r="K744">
        <v>550</v>
      </c>
      <c r="L744">
        <v>0</v>
      </c>
      <c r="M744">
        <v>0</v>
      </c>
      <c r="N744">
        <v>550</v>
      </c>
    </row>
    <row r="745" spans="1:14" x14ac:dyDescent="0.25">
      <c r="A745">
        <v>380.01971600000002</v>
      </c>
      <c r="B745" s="1">
        <f>DATE(2011,5,16) + TIME(0,28,23)</f>
        <v>40679.01971064815</v>
      </c>
      <c r="C745">
        <v>80</v>
      </c>
      <c r="D745">
        <v>79.918312072999996</v>
      </c>
      <c r="E745">
        <v>60</v>
      </c>
      <c r="F745">
        <v>58.756240845000001</v>
      </c>
      <c r="G745">
        <v>1333.8378906</v>
      </c>
      <c r="H745">
        <v>1332.6779785000001</v>
      </c>
      <c r="I745">
        <v>1330.0137939000001</v>
      </c>
      <c r="J745">
        <v>1329.7661132999999</v>
      </c>
      <c r="K745">
        <v>550</v>
      </c>
      <c r="L745">
        <v>0</v>
      </c>
      <c r="M745">
        <v>0</v>
      </c>
      <c r="N745">
        <v>550</v>
      </c>
    </row>
    <row r="746" spans="1:14" x14ac:dyDescent="0.25">
      <c r="A746">
        <v>380.55620399999998</v>
      </c>
      <c r="B746" s="1">
        <f>DATE(2011,5,16) + TIME(13,20,55)</f>
        <v>40679.556192129632</v>
      </c>
      <c r="C746">
        <v>80</v>
      </c>
      <c r="D746">
        <v>79.918357849000003</v>
      </c>
      <c r="E746">
        <v>60</v>
      </c>
      <c r="F746">
        <v>58.718215942</v>
      </c>
      <c r="G746">
        <v>1333.8352050999999</v>
      </c>
      <c r="H746">
        <v>1332.6788329999999</v>
      </c>
      <c r="I746">
        <v>1330.0057373</v>
      </c>
      <c r="J746">
        <v>1329.7543945</v>
      </c>
      <c r="K746">
        <v>550</v>
      </c>
      <c r="L746">
        <v>0</v>
      </c>
      <c r="M746">
        <v>0</v>
      </c>
      <c r="N746">
        <v>550</v>
      </c>
    </row>
    <row r="747" spans="1:14" x14ac:dyDescent="0.25">
      <c r="A747">
        <v>381.10119900000001</v>
      </c>
      <c r="B747" s="1">
        <f>DATE(2011,5,17) + TIME(2,25,43)</f>
        <v>40680.10119212963</v>
      </c>
      <c r="C747">
        <v>80</v>
      </c>
      <c r="D747">
        <v>79.918365479000002</v>
      </c>
      <c r="E747">
        <v>60</v>
      </c>
      <c r="F747">
        <v>58.679740905999999</v>
      </c>
      <c r="G747">
        <v>1333.8325195</v>
      </c>
      <c r="H747">
        <v>1332.6795654</v>
      </c>
      <c r="I747">
        <v>1329.9978027</v>
      </c>
      <c r="J747">
        <v>1329.7425536999999</v>
      </c>
      <c r="K747">
        <v>550</v>
      </c>
      <c r="L747">
        <v>0</v>
      </c>
      <c r="M747">
        <v>0</v>
      </c>
      <c r="N747">
        <v>550</v>
      </c>
    </row>
    <row r="748" spans="1:14" x14ac:dyDescent="0.25">
      <c r="A748">
        <v>381.65660700000001</v>
      </c>
      <c r="B748" s="1">
        <f>DATE(2011,5,17) + TIME(15,45,30)</f>
        <v>40680.656597222223</v>
      </c>
      <c r="C748">
        <v>80</v>
      </c>
      <c r="D748">
        <v>79.918350219999994</v>
      </c>
      <c r="E748">
        <v>60</v>
      </c>
      <c r="F748">
        <v>58.640689850000001</v>
      </c>
      <c r="G748">
        <v>1333.8298339999999</v>
      </c>
      <c r="H748">
        <v>1332.6802978999999</v>
      </c>
      <c r="I748">
        <v>1329.989624</v>
      </c>
      <c r="J748">
        <v>1329.7307129000001</v>
      </c>
      <c r="K748">
        <v>550</v>
      </c>
      <c r="L748">
        <v>0</v>
      </c>
      <c r="M748">
        <v>0</v>
      </c>
      <c r="N748">
        <v>550</v>
      </c>
    </row>
    <row r="749" spans="1:14" x14ac:dyDescent="0.25">
      <c r="A749">
        <v>382.224312</v>
      </c>
      <c r="B749" s="1">
        <f>DATE(2011,5,18) + TIME(5,23,0)</f>
        <v>40681.224305555559</v>
      </c>
      <c r="C749">
        <v>80</v>
      </c>
      <c r="D749">
        <v>79.918304442999997</v>
      </c>
      <c r="E749">
        <v>60</v>
      </c>
      <c r="F749">
        <v>58.600933075</v>
      </c>
      <c r="G749">
        <v>1333.8272704999999</v>
      </c>
      <c r="H749">
        <v>1332.6810303</v>
      </c>
      <c r="I749">
        <v>1329.9815673999999</v>
      </c>
      <c r="J749">
        <v>1329.71875</v>
      </c>
      <c r="K749">
        <v>550</v>
      </c>
      <c r="L749">
        <v>0</v>
      </c>
      <c r="M749">
        <v>0</v>
      </c>
      <c r="N749">
        <v>550</v>
      </c>
    </row>
    <row r="750" spans="1:14" x14ac:dyDescent="0.25">
      <c r="A750">
        <v>382.80645500000003</v>
      </c>
      <c r="B750" s="1">
        <f>DATE(2011,5,18) + TIME(19,21,17)</f>
        <v>40681.806446759256</v>
      </c>
      <c r="C750">
        <v>80</v>
      </c>
      <c r="D750">
        <v>79.918251037999994</v>
      </c>
      <c r="E750">
        <v>60</v>
      </c>
      <c r="F750">
        <v>58.560329437</v>
      </c>
      <c r="G750">
        <v>1333.824707</v>
      </c>
      <c r="H750">
        <v>1332.6817627</v>
      </c>
      <c r="I750">
        <v>1329.9733887</v>
      </c>
      <c r="J750">
        <v>1329.7066649999999</v>
      </c>
      <c r="K750">
        <v>550</v>
      </c>
      <c r="L750">
        <v>0</v>
      </c>
      <c r="M750">
        <v>0</v>
      </c>
      <c r="N750">
        <v>550</v>
      </c>
    </row>
    <row r="751" spans="1:14" x14ac:dyDescent="0.25">
      <c r="A751">
        <v>383.40535</v>
      </c>
      <c r="B751" s="1">
        <f>DATE(2011,5,19) + TIME(9,43,42)</f>
        <v>40682.405347222222</v>
      </c>
      <c r="C751">
        <v>80</v>
      </c>
      <c r="D751">
        <v>79.918174743999998</v>
      </c>
      <c r="E751">
        <v>60</v>
      </c>
      <c r="F751">
        <v>58.518730163999997</v>
      </c>
      <c r="G751">
        <v>1333.8221435999999</v>
      </c>
      <c r="H751">
        <v>1332.6826172000001</v>
      </c>
      <c r="I751">
        <v>1329.9650879000001</v>
      </c>
      <c r="J751">
        <v>1329.6944579999999</v>
      </c>
      <c r="K751">
        <v>550</v>
      </c>
      <c r="L751">
        <v>0</v>
      </c>
      <c r="M751">
        <v>0</v>
      </c>
      <c r="N751">
        <v>550</v>
      </c>
    </row>
    <row r="752" spans="1:14" x14ac:dyDescent="0.25">
      <c r="A752">
        <v>384.02364799999998</v>
      </c>
      <c r="B752" s="1">
        <f>DATE(2011,5,20) + TIME(0,34,3)</f>
        <v>40683.023645833331</v>
      </c>
      <c r="C752">
        <v>80</v>
      </c>
      <c r="D752">
        <v>79.918083190999994</v>
      </c>
      <c r="E752">
        <v>60</v>
      </c>
      <c r="F752">
        <v>58.475959778000004</v>
      </c>
      <c r="G752">
        <v>1333.8197021000001</v>
      </c>
      <c r="H752">
        <v>1332.6833495999999</v>
      </c>
      <c r="I752">
        <v>1329.9566649999999</v>
      </c>
      <c r="J752">
        <v>1329.6821289</v>
      </c>
      <c r="K752">
        <v>550</v>
      </c>
      <c r="L752">
        <v>0</v>
      </c>
      <c r="M752">
        <v>0</v>
      </c>
      <c r="N752">
        <v>550</v>
      </c>
    </row>
    <row r="753" spans="1:14" x14ac:dyDescent="0.25">
      <c r="A753">
        <v>384.664762</v>
      </c>
      <c r="B753" s="1">
        <f>DATE(2011,5,20) + TIME(15,57,15)</f>
        <v>40683.664756944447</v>
      </c>
      <c r="C753">
        <v>80</v>
      </c>
      <c r="D753">
        <v>79.917991638000004</v>
      </c>
      <c r="E753">
        <v>60</v>
      </c>
      <c r="F753">
        <v>58.431800842000001</v>
      </c>
      <c r="G753">
        <v>1333.8172606999999</v>
      </c>
      <c r="H753">
        <v>1332.684082</v>
      </c>
      <c r="I753">
        <v>1329.9482422000001</v>
      </c>
      <c r="J753">
        <v>1329.6695557</v>
      </c>
      <c r="K753">
        <v>550</v>
      </c>
      <c r="L753">
        <v>0</v>
      </c>
      <c r="M753">
        <v>0</v>
      </c>
      <c r="N753">
        <v>550</v>
      </c>
    </row>
    <row r="754" spans="1:14" x14ac:dyDescent="0.25">
      <c r="A754">
        <v>385.33213599999999</v>
      </c>
      <c r="B754" s="1">
        <f>DATE(2011,5,21) + TIME(7,58,16)</f>
        <v>40684.332129629627</v>
      </c>
      <c r="C754">
        <v>80</v>
      </c>
      <c r="D754">
        <v>79.917884826999995</v>
      </c>
      <c r="E754">
        <v>60</v>
      </c>
      <c r="F754">
        <v>58.386024474999999</v>
      </c>
      <c r="G754">
        <v>1333.8148193</v>
      </c>
      <c r="H754">
        <v>1332.6849365</v>
      </c>
      <c r="I754">
        <v>1329.9394531</v>
      </c>
      <c r="J754">
        <v>1329.6567382999999</v>
      </c>
      <c r="K754">
        <v>550</v>
      </c>
      <c r="L754">
        <v>0</v>
      </c>
      <c r="M754">
        <v>0</v>
      </c>
      <c r="N754">
        <v>550</v>
      </c>
    </row>
    <row r="755" spans="1:14" x14ac:dyDescent="0.25">
      <c r="A755">
        <v>386.03190000000001</v>
      </c>
      <c r="B755" s="1">
        <f>DATE(2011,5,22) + TIME(0,45,56)</f>
        <v>40685.031898148147</v>
      </c>
      <c r="C755">
        <v>80</v>
      </c>
      <c r="D755">
        <v>79.917778014999996</v>
      </c>
      <c r="E755">
        <v>60</v>
      </c>
      <c r="F755">
        <v>58.338256835999999</v>
      </c>
      <c r="G755">
        <v>1333.8123779</v>
      </c>
      <c r="H755">
        <v>1332.6856689000001</v>
      </c>
      <c r="I755">
        <v>1329.9305420000001</v>
      </c>
      <c r="J755">
        <v>1329.6436768000001</v>
      </c>
      <c r="K755">
        <v>550</v>
      </c>
      <c r="L755">
        <v>0</v>
      </c>
      <c r="M755">
        <v>0</v>
      </c>
      <c r="N755">
        <v>550</v>
      </c>
    </row>
    <row r="756" spans="1:14" x14ac:dyDescent="0.25">
      <c r="A756">
        <v>386.76662800000003</v>
      </c>
      <c r="B756" s="1">
        <f>DATE(2011,5,22) + TIME(18,23,56)</f>
        <v>40685.76662037037</v>
      </c>
      <c r="C756">
        <v>80</v>
      </c>
      <c r="D756">
        <v>79.917655945000007</v>
      </c>
      <c r="E756">
        <v>60</v>
      </c>
      <c r="F756">
        <v>58.288311004999997</v>
      </c>
      <c r="G756">
        <v>1333.8099365</v>
      </c>
      <c r="H756">
        <v>1332.6865233999999</v>
      </c>
      <c r="I756">
        <v>1329.9212646000001</v>
      </c>
      <c r="J756">
        <v>1329.6301269999999</v>
      </c>
      <c r="K756">
        <v>550</v>
      </c>
      <c r="L756">
        <v>0</v>
      </c>
      <c r="M756">
        <v>0</v>
      </c>
      <c r="N756">
        <v>550</v>
      </c>
    </row>
    <row r="757" spans="1:14" x14ac:dyDescent="0.25">
      <c r="A757">
        <v>387.52962300000002</v>
      </c>
      <c r="B757" s="1">
        <f>DATE(2011,5,23) + TIME(12,42,39)</f>
        <v>40686.529618055552</v>
      </c>
      <c r="C757">
        <v>80</v>
      </c>
      <c r="D757">
        <v>79.917533875000004</v>
      </c>
      <c r="E757">
        <v>60</v>
      </c>
      <c r="F757">
        <v>58.236560822000001</v>
      </c>
      <c r="G757">
        <v>1333.8074951000001</v>
      </c>
      <c r="H757">
        <v>1332.6873779</v>
      </c>
      <c r="I757">
        <v>1329.9118652</v>
      </c>
      <c r="J757">
        <v>1329.6160889</v>
      </c>
      <c r="K757">
        <v>550</v>
      </c>
      <c r="L757">
        <v>0</v>
      </c>
      <c r="M757">
        <v>0</v>
      </c>
      <c r="N757">
        <v>550</v>
      </c>
    </row>
    <row r="758" spans="1:14" x14ac:dyDescent="0.25">
      <c r="A758">
        <v>388.33796699999999</v>
      </c>
      <c r="B758" s="1">
        <f>DATE(2011,5,24) + TIME(8,6,40)</f>
        <v>40687.337962962964</v>
      </c>
      <c r="C758">
        <v>80</v>
      </c>
      <c r="D758">
        <v>79.917404175000001</v>
      </c>
      <c r="E758">
        <v>60</v>
      </c>
      <c r="F758">
        <v>58.181980133000003</v>
      </c>
      <c r="G758">
        <v>1333.8049315999999</v>
      </c>
      <c r="H758">
        <v>1332.6883545000001</v>
      </c>
      <c r="I758">
        <v>1329.9020995999999</v>
      </c>
      <c r="J758">
        <v>1329.6018065999999</v>
      </c>
      <c r="K758">
        <v>550</v>
      </c>
      <c r="L758">
        <v>0</v>
      </c>
      <c r="M758">
        <v>0</v>
      </c>
      <c r="N758">
        <v>550</v>
      </c>
    </row>
    <row r="759" spans="1:14" x14ac:dyDescent="0.25">
      <c r="A759">
        <v>389.19916999999998</v>
      </c>
      <c r="B759" s="1">
        <f>DATE(2011,5,25) + TIME(4,46,48)</f>
        <v>40688.199166666665</v>
      </c>
      <c r="C759">
        <v>80</v>
      </c>
      <c r="D759">
        <v>79.917266846000004</v>
      </c>
      <c r="E759">
        <v>60</v>
      </c>
      <c r="F759">
        <v>58.124095916999998</v>
      </c>
      <c r="G759">
        <v>1333.8024902</v>
      </c>
      <c r="H759">
        <v>1332.6892089999999</v>
      </c>
      <c r="I759">
        <v>1329.8919678</v>
      </c>
      <c r="J759">
        <v>1329.5870361</v>
      </c>
      <c r="K759">
        <v>550</v>
      </c>
      <c r="L759">
        <v>0</v>
      </c>
      <c r="M759">
        <v>0</v>
      </c>
      <c r="N759">
        <v>550</v>
      </c>
    </row>
    <row r="760" spans="1:14" x14ac:dyDescent="0.25">
      <c r="A760">
        <v>390.09822700000001</v>
      </c>
      <c r="B760" s="1">
        <f>DATE(2011,5,26) + TIME(2,21,26)</f>
        <v>40689.098217592589</v>
      </c>
      <c r="C760">
        <v>80</v>
      </c>
      <c r="D760">
        <v>79.917129517000006</v>
      </c>
      <c r="E760">
        <v>60</v>
      </c>
      <c r="F760">
        <v>58.063686371000003</v>
      </c>
      <c r="G760">
        <v>1333.7999268000001</v>
      </c>
      <c r="H760">
        <v>1332.6901855000001</v>
      </c>
      <c r="I760">
        <v>1329.8814697</v>
      </c>
      <c r="J760">
        <v>1329.5715332</v>
      </c>
      <c r="K760">
        <v>550</v>
      </c>
      <c r="L760">
        <v>0</v>
      </c>
      <c r="M760">
        <v>0</v>
      </c>
      <c r="N760">
        <v>550</v>
      </c>
    </row>
    <row r="761" spans="1:14" x14ac:dyDescent="0.25">
      <c r="A761">
        <v>391.01783799999998</v>
      </c>
      <c r="B761" s="1">
        <f>DATE(2011,5,27) + TIME(0,25,41)</f>
        <v>40690.017835648148</v>
      </c>
      <c r="C761">
        <v>80</v>
      </c>
      <c r="D761">
        <v>79.916984557999996</v>
      </c>
      <c r="E761">
        <v>60</v>
      </c>
      <c r="F761">
        <v>58.001655579000001</v>
      </c>
      <c r="G761">
        <v>1333.7973632999999</v>
      </c>
      <c r="H761">
        <v>1332.6911620999999</v>
      </c>
      <c r="I761">
        <v>1329.8707274999999</v>
      </c>
      <c r="J761">
        <v>1329.5556641000001</v>
      </c>
      <c r="K761">
        <v>550</v>
      </c>
      <c r="L761">
        <v>0</v>
      </c>
      <c r="M761">
        <v>0</v>
      </c>
      <c r="N761">
        <v>550</v>
      </c>
    </row>
    <row r="762" spans="1:14" x14ac:dyDescent="0.25">
      <c r="A762">
        <v>391.963886</v>
      </c>
      <c r="B762" s="1">
        <f>DATE(2011,5,27) + TIME(23,7,59)</f>
        <v>40690.963877314818</v>
      </c>
      <c r="C762">
        <v>80</v>
      </c>
      <c r="D762">
        <v>79.916839600000003</v>
      </c>
      <c r="E762">
        <v>60</v>
      </c>
      <c r="F762">
        <v>57.937644958</v>
      </c>
      <c r="G762">
        <v>1333.7949219</v>
      </c>
      <c r="H762">
        <v>1332.6921387</v>
      </c>
      <c r="I762">
        <v>1329.8597411999999</v>
      </c>
      <c r="J762">
        <v>1329.5396728999999</v>
      </c>
      <c r="K762">
        <v>550</v>
      </c>
      <c r="L762">
        <v>0</v>
      </c>
      <c r="M762">
        <v>0</v>
      </c>
      <c r="N762">
        <v>550</v>
      </c>
    </row>
    <row r="763" spans="1:14" x14ac:dyDescent="0.25">
      <c r="A763">
        <v>392.942365</v>
      </c>
      <c r="B763" s="1">
        <f>DATE(2011,5,28) + TIME(22,37,0)</f>
        <v>40691.942361111112</v>
      </c>
      <c r="C763">
        <v>80</v>
      </c>
      <c r="D763">
        <v>79.916694641000007</v>
      </c>
      <c r="E763">
        <v>60</v>
      </c>
      <c r="F763">
        <v>57.871273041000002</v>
      </c>
      <c r="G763">
        <v>1333.7924805</v>
      </c>
      <c r="H763">
        <v>1332.6932373</v>
      </c>
      <c r="I763">
        <v>1329.8487548999999</v>
      </c>
      <c r="J763">
        <v>1329.5234375</v>
      </c>
      <c r="K763">
        <v>550</v>
      </c>
      <c r="L763">
        <v>0</v>
      </c>
      <c r="M763">
        <v>0</v>
      </c>
      <c r="N763">
        <v>550</v>
      </c>
    </row>
    <row r="764" spans="1:14" x14ac:dyDescent="0.25">
      <c r="A764">
        <v>393.95345900000001</v>
      </c>
      <c r="B764" s="1">
        <f>DATE(2011,5,29) + TIME(22,52,58)</f>
        <v>40692.953449074077</v>
      </c>
      <c r="C764">
        <v>80</v>
      </c>
      <c r="D764">
        <v>79.916557311999995</v>
      </c>
      <c r="E764">
        <v>60</v>
      </c>
      <c r="F764">
        <v>57.802459716999998</v>
      </c>
      <c r="G764">
        <v>1333.7901611</v>
      </c>
      <c r="H764">
        <v>1332.6942139</v>
      </c>
      <c r="I764">
        <v>1329.8375243999999</v>
      </c>
      <c r="J764">
        <v>1329.5068358999999</v>
      </c>
      <c r="K764">
        <v>550</v>
      </c>
      <c r="L764">
        <v>0</v>
      </c>
      <c r="M764">
        <v>0</v>
      </c>
      <c r="N764">
        <v>550</v>
      </c>
    </row>
    <row r="765" spans="1:14" x14ac:dyDescent="0.25">
      <c r="A765">
        <v>394.97018500000001</v>
      </c>
      <c r="B765" s="1">
        <f>DATE(2011,5,30) + TIME(23,17,4)</f>
        <v>40693.970185185186</v>
      </c>
      <c r="C765">
        <v>80</v>
      </c>
      <c r="D765">
        <v>79.916419982999997</v>
      </c>
      <c r="E765">
        <v>60</v>
      </c>
      <c r="F765">
        <v>57.732635498</v>
      </c>
      <c r="G765">
        <v>1333.7878418</v>
      </c>
      <c r="H765">
        <v>1332.6951904</v>
      </c>
      <c r="I765">
        <v>1329.8261719</v>
      </c>
      <c r="J765">
        <v>1329.4901123</v>
      </c>
      <c r="K765">
        <v>550</v>
      </c>
      <c r="L765">
        <v>0</v>
      </c>
      <c r="M765">
        <v>0</v>
      </c>
      <c r="N765">
        <v>550</v>
      </c>
    </row>
    <row r="766" spans="1:14" x14ac:dyDescent="0.25">
      <c r="A766">
        <v>396</v>
      </c>
      <c r="B766" s="1">
        <f>DATE(2011,6,1) + TIME(0,0,0)</f>
        <v>40695</v>
      </c>
      <c r="C766">
        <v>80</v>
      </c>
      <c r="D766">
        <v>79.916290282999995</v>
      </c>
      <c r="E766">
        <v>60</v>
      </c>
      <c r="F766">
        <v>57.661403655999997</v>
      </c>
      <c r="G766">
        <v>1333.7856445</v>
      </c>
      <c r="H766">
        <v>1332.6961670000001</v>
      </c>
      <c r="I766">
        <v>1329.8149414</v>
      </c>
      <c r="J766">
        <v>1329.4735106999999</v>
      </c>
      <c r="K766">
        <v>550</v>
      </c>
      <c r="L766">
        <v>0</v>
      </c>
      <c r="M766">
        <v>0</v>
      </c>
      <c r="N766">
        <v>550</v>
      </c>
    </row>
    <row r="767" spans="1:14" x14ac:dyDescent="0.25">
      <c r="A767">
        <v>397.02814499999999</v>
      </c>
      <c r="B767" s="1">
        <f>DATE(2011,6,2) + TIME(0,40,31)</f>
        <v>40696.028136574074</v>
      </c>
      <c r="C767">
        <v>80</v>
      </c>
      <c r="D767">
        <v>79.916168213000006</v>
      </c>
      <c r="E767">
        <v>60</v>
      </c>
      <c r="F767">
        <v>57.589572906000001</v>
      </c>
      <c r="G767">
        <v>1333.7835693</v>
      </c>
      <c r="H767">
        <v>1332.6971435999999</v>
      </c>
      <c r="I767">
        <v>1329.8037108999999</v>
      </c>
      <c r="J767">
        <v>1329.4569091999999</v>
      </c>
      <c r="K767">
        <v>550</v>
      </c>
      <c r="L767">
        <v>0</v>
      </c>
      <c r="M767">
        <v>0</v>
      </c>
      <c r="N767">
        <v>550</v>
      </c>
    </row>
    <row r="768" spans="1:14" x14ac:dyDescent="0.25">
      <c r="A768">
        <v>398.09439500000002</v>
      </c>
      <c r="B768" s="1">
        <f>DATE(2011,6,3) + TIME(2,15,55)</f>
        <v>40697.094386574077</v>
      </c>
      <c r="C768">
        <v>80</v>
      </c>
      <c r="D768">
        <v>79.916046143000003</v>
      </c>
      <c r="E768">
        <v>60</v>
      </c>
      <c r="F768">
        <v>57.514968871999997</v>
      </c>
      <c r="G768">
        <v>1333.7816161999999</v>
      </c>
      <c r="H768">
        <v>1332.6981201000001</v>
      </c>
      <c r="I768">
        <v>1329.7927245999999</v>
      </c>
      <c r="J768">
        <v>1329.4405518000001</v>
      </c>
      <c r="K768">
        <v>550</v>
      </c>
      <c r="L768">
        <v>0</v>
      </c>
      <c r="M768">
        <v>0</v>
      </c>
      <c r="N768">
        <v>550</v>
      </c>
    </row>
    <row r="769" spans="1:14" x14ac:dyDescent="0.25">
      <c r="A769">
        <v>399.18657400000001</v>
      </c>
      <c r="B769" s="1">
        <f>DATE(2011,6,4) + TIME(4,28,40)</f>
        <v>40698.186574074076</v>
      </c>
      <c r="C769">
        <v>80</v>
      </c>
      <c r="D769">
        <v>79.915939331000004</v>
      </c>
      <c r="E769">
        <v>60</v>
      </c>
      <c r="F769">
        <v>57.438163756999998</v>
      </c>
      <c r="G769">
        <v>1333.7796631000001</v>
      </c>
      <c r="H769">
        <v>1332.6990966999999</v>
      </c>
      <c r="I769">
        <v>1329.7814940999999</v>
      </c>
      <c r="J769">
        <v>1329.4238281</v>
      </c>
      <c r="K769">
        <v>550</v>
      </c>
      <c r="L769">
        <v>0</v>
      </c>
      <c r="M769">
        <v>0</v>
      </c>
      <c r="N769">
        <v>550</v>
      </c>
    </row>
    <row r="770" spans="1:14" x14ac:dyDescent="0.25">
      <c r="A770">
        <v>400.31016599999998</v>
      </c>
      <c r="B770" s="1">
        <f>DATE(2011,6,5) + TIME(7,26,38)</f>
        <v>40699.310162037036</v>
      </c>
      <c r="C770">
        <v>80</v>
      </c>
      <c r="D770">
        <v>79.915832519999995</v>
      </c>
      <c r="E770">
        <v>60</v>
      </c>
      <c r="F770">
        <v>57.358802795000003</v>
      </c>
      <c r="G770">
        <v>1333.7777100000001</v>
      </c>
      <c r="H770">
        <v>1332.7000731999999</v>
      </c>
      <c r="I770">
        <v>1329.7702637</v>
      </c>
      <c r="J770">
        <v>1329.4072266000001</v>
      </c>
      <c r="K770">
        <v>550</v>
      </c>
      <c r="L770">
        <v>0</v>
      </c>
      <c r="M770">
        <v>0</v>
      </c>
      <c r="N770">
        <v>550</v>
      </c>
    </row>
    <row r="771" spans="1:14" x14ac:dyDescent="0.25">
      <c r="A771">
        <v>401.47104200000001</v>
      </c>
      <c r="B771" s="1">
        <f>DATE(2011,6,6) + TIME(11,18,17)</f>
        <v>40700.471030092594</v>
      </c>
      <c r="C771">
        <v>80</v>
      </c>
      <c r="D771">
        <v>79.915725707999997</v>
      </c>
      <c r="E771">
        <v>60</v>
      </c>
      <c r="F771">
        <v>57.276496887</v>
      </c>
      <c r="G771">
        <v>1333.7758789</v>
      </c>
      <c r="H771">
        <v>1332.7009277</v>
      </c>
      <c r="I771">
        <v>1329.7589111</v>
      </c>
      <c r="J771">
        <v>1329.3903809000001</v>
      </c>
      <c r="K771">
        <v>550</v>
      </c>
      <c r="L771">
        <v>0</v>
      </c>
      <c r="M771">
        <v>0</v>
      </c>
      <c r="N771">
        <v>550</v>
      </c>
    </row>
    <row r="772" spans="1:14" x14ac:dyDescent="0.25">
      <c r="A772">
        <v>402.69736</v>
      </c>
      <c r="B772" s="1">
        <f>DATE(2011,6,7) + TIME(16,44,11)</f>
        <v>40701.69734953704</v>
      </c>
      <c r="C772">
        <v>80</v>
      </c>
      <c r="D772">
        <v>79.915634155000006</v>
      </c>
      <c r="E772">
        <v>60</v>
      </c>
      <c r="F772">
        <v>57.189647675000003</v>
      </c>
      <c r="G772">
        <v>1333.7739257999999</v>
      </c>
      <c r="H772">
        <v>1332.7019043</v>
      </c>
      <c r="I772">
        <v>1329.7474365</v>
      </c>
      <c r="J772">
        <v>1329.3732910000001</v>
      </c>
      <c r="K772">
        <v>550</v>
      </c>
      <c r="L772">
        <v>0</v>
      </c>
      <c r="M772">
        <v>0</v>
      </c>
      <c r="N772">
        <v>550</v>
      </c>
    </row>
    <row r="773" spans="1:14" x14ac:dyDescent="0.25">
      <c r="A773">
        <v>404.00302599999998</v>
      </c>
      <c r="B773" s="1">
        <f>DATE(2011,6,9) + TIME(0,4,21)</f>
        <v>40703.003020833334</v>
      </c>
      <c r="C773">
        <v>80</v>
      </c>
      <c r="D773">
        <v>79.915542603000006</v>
      </c>
      <c r="E773">
        <v>60</v>
      </c>
      <c r="F773">
        <v>57.097343445</v>
      </c>
      <c r="G773">
        <v>1333.7720947</v>
      </c>
      <c r="H773">
        <v>1332.7028809000001</v>
      </c>
      <c r="I773">
        <v>1329.7357178</v>
      </c>
      <c r="J773">
        <v>1329.3557129000001</v>
      </c>
      <c r="K773">
        <v>550</v>
      </c>
      <c r="L773">
        <v>0</v>
      </c>
      <c r="M773">
        <v>0</v>
      </c>
      <c r="N773">
        <v>550</v>
      </c>
    </row>
    <row r="774" spans="1:14" x14ac:dyDescent="0.25">
      <c r="A774">
        <v>405.40256299999999</v>
      </c>
      <c r="B774" s="1">
        <f>DATE(2011,6,10) + TIME(9,39,41)</f>
        <v>40704.402557870373</v>
      </c>
      <c r="C774">
        <v>80</v>
      </c>
      <c r="D774">
        <v>79.915458678999997</v>
      </c>
      <c r="E774">
        <v>60</v>
      </c>
      <c r="F774">
        <v>56.998630523999999</v>
      </c>
      <c r="G774">
        <v>1333.7702637</v>
      </c>
      <c r="H774">
        <v>1332.7038574000001</v>
      </c>
      <c r="I774">
        <v>1329.7235106999999</v>
      </c>
      <c r="J774">
        <v>1329.3375243999999</v>
      </c>
      <c r="K774">
        <v>550</v>
      </c>
      <c r="L774">
        <v>0</v>
      </c>
      <c r="M774">
        <v>0</v>
      </c>
      <c r="N774">
        <v>550</v>
      </c>
    </row>
    <row r="775" spans="1:14" x14ac:dyDescent="0.25">
      <c r="A775">
        <v>406.81944399999998</v>
      </c>
      <c r="B775" s="1">
        <f>DATE(2011,6,11) + TIME(19,39,59)</f>
        <v>40705.819432870368</v>
      </c>
      <c r="C775">
        <v>80</v>
      </c>
      <c r="D775">
        <v>79.915374756000006</v>
      </c>
      <c r="E775">
        <v>60</v>
      </c>
      <c r="F775">
        <v>56.897190094000003</v>
      </c>
      <c r="G775">
        <v>1333.7684326000001</v>
      </c>
      <c r="H775">
        <v>1332.7049560999999</v>
      </c>
      <c r="I775">
        <v>1329.7109375</v>
      </c>
      <c r="J775">
        <v>1329.3187256000001</v>
      </c>
      <c r="K775">
        <v>550</v>
      </c>
      <c r="L775">
        <v>0</v>
      </c>
      <c r="M775">
        <v>0</v>
      </c>
      <c r="N775">
        <v>550</v>
      </c>
    </row>
    <row r="776" spans="1:14" x14ac:dyDescent="0.25">
      <c r="A776">
        <v>408.24780600000003</v>
      </c>
      <c r="B776" s="1">
        <f>DATE(2011,6,13) + TIME(5,56,50)</f>
        <v>40707.247800925928</v>
      </c>
      <c r="C776">
        <v>80</v>
      </c>
      <c r="D776">
        <v>79.915283203000001</v>
      </c>
      <c r="E776">
        <v>60</v>
      </c>
      <c r="F776">
        <v>56.793643951</v>
      </c>
      <c r="G776">
        <v>1333.7659911999999</v>
      </c>
      <c r="H776">
        <v>1332.7056885</v>
      </c>
      <c r="I776">
        <v>1329.6984863</v>
      </c>
      <c r="J776">
        <v>1329.2998047000001</v>
      </c>
      <c r="K776">
        <v>550</v>
      </c>
      <c r="L776">
        <v>0</v>
      </c>
      <c r="M776">
        <v>0</v>
      </c>
      <c r="N776">
        <v>550</v>
      </c>
    </row>
    <row r="777" spans="1:14" x14ac:dyDescent="0.25">
      <c r="A777">
        <v>409.70585399999999</v>
      </c>
      <c r="B777" s="1">
        <f>DATE(2011,6,14) + TIME(16,56,25)</f>
        <v>40708.70584490741</v>
      </c>
      <c r="C777">
        <v>80</v>
      </c>
      <c r="D777">
        <v>79.915199279999996</v>
      </c>
      <c r="E777">
        <v>60</v>
      </c>
      <c r="F777">
        <v>56.687416077000002</v>
      </c>
      <c r="G777">
        <v>1333.7636719</v>
      </c>
      <c r="H777">
        <v>1332.7062988</v>
      </c>
      <c r="I777">
        <v>1329.6860352000001</v>
      </c>
      <c r="J777">
        <v>1329.2811279</v>
      </c>
      <c r="K777">
        <v>550</v>
      </c>
      <c r="L777">
        <v>0</v>
      </c>
      <c r="M777">
        <v>0</v>
      </c>
      <c r="N777">
        <v>550</v>
      </c>
    </row>
    <row r="778" spans="1:14" x14ac:dyDescent="0.25">
      <c r="A778">
        <v>411.20901600000002</v>
      </c>
      <c r="B778" s="1">
        <f>DATE(2011,6,16) + TIME(5,0,59)</f>
        <v>40710.209016203706</v>
      </c>
      <c r="C778">
        <v>80</v>
      </c>
      <c r="D778">
        <v>79.915115356000001</v>
      </c>
      <c r="E778">
        <v>60</v>
      </c>
      <c r="F778">
        <v>56.577980042</v>
      </c>
      <c r="G778">
        <v>1333.7614745999999</v>
      </c>
      <c r="H778">
        <v>1332.7069091999999</v>
      </c>
      <c r="I778">
        <v>1329.6738281</v>
      </c>
      <c r="J778">
        <v>1329.2624512</v>
      </c>
      <c r="K778">
        <v>550</v>
      </c>
      <c r="L778">
        <v>0</v>
      </c>
      <c r="M778">
        <v>0</v>
      </c>
      <c r="N778">
        <v>550</v>
      </c>
    </row>
    <row r="779" spans="1:14" x14ac:dyDescent="0.25">
      <c r="A779">
        <v>412.77294000000001</v>
      </c>
      <c r="B779" s="1">
        <f>DATE(2011,6,17) + TIME(18,33,2)</f>
        <v>40711.772939814815</v>
      </c>
      <c r="C779">
        <v>80</v>
      </c>
      <c r="D779">
        <v>79.915046692000004</v>
      </c>
      <c r="E779">
        <v>60</v>
      </c>
      <c r="F779">
        <v>56.464847564999999</v>
      </c>
      <c r="G779">
        <v>1333.7593993999999</v>
      </c>
      <c r="H779">
        <v>1332.7076416</v>
      </c>
      <c r="I779">
        <v>1329.661499</v>
      </c>
      <c r="J779">
        <v>1329.2436522999999</v>
      </c>
      <c r="K779">
        <v>550</v>
      </c>
      <c r="L779">
        <v>0</v>
      </c>
      <c r="M779">
        <v>0</v>
      </c>
      <c r="N779">
        <v>550</v>
      </c>
    </row>
    <row r="780" spans="1:14" x14ac:dyDescent="0.25">
      <c r="A780">
        <v>413.59442000000001</v>
      </c>
      <c r="B780" s="1">
        <f>DATE(2011,6,18) + TIME(14,15,57)</f>
        <v>40712.594409722224</v>
      </c>
      <c r="C780">
        <v>80</v>
      </c>
      <c r="D780">
        <v>79.914962768999999</v>
      </c>
      <c r="E780">
        <v>60</v>
      </c>
      <c r="F780">
        <v>56.394874573000003</v>
      </c>
      <c r="G780">
        <v>1333.7574463000001</v>
      </c>
      <c r="H780">
        <v>1332.708374</v>
      </c>
      <c r="I780">
        <v>1329.6494141000001</v>
      </c>
      <c r="J780">
        <v>1329.2254639</v>
      </c>
      <c r="K780">
        <v>550</v>
      </c>
      <c r="L780">
        <v>0</v>
      </c>
      <c r="M780">
        <v>0</v>
      </c>
      <c r="N780">
        <v>550</v>
      </c>
    </row>
    <row r="781" spans="1:14" x14ac:dyDescent="0.25">
      <c r="A781">
        <v>414.41179699999998</v>
      </c>
      <c r="B781" s="1">
        <f>DATE(2011,6,19) + TIME(9,52,59)</f>
        <v>40713.411793981482</v>
      </c>
      <c r="C781">
        <v>80</v>
      </c>
      <c r="D781">
        <v>79.914909363000007</v>
      </c>
      <c r="E781">
        <v>60</v>
      </c>
      <c r="F781">
        <v>56.327293396000002</v>
      </c>
      <c r="G781">
        <v>1333.7564697</v>
      </c>
      <c r="H781">
        <v>1332.7087402</v>
      </c>
      <c r="I781">
        <v>1329.6422118999999</v>
      </c>
      <c r="J781">
        <v>1329.2141113</v>
      </c>
      <c r="K781">
        <v>550</v>
      </c>
      <c r="L781">
        <v>0</v>
      </c>
      <c r="M781">
        <v>0</v>
      </c>
      <c r="N781">
        <v>550</v>
      </c>
    </row>
    <row r="782" spans="1:14" x14ac:dyDescent="0.25">
      <c r="A782">
        <v>415.229174</v>
      </c>
      <c r="B782" s="1">
        <f>DATE(2011,6,20) + TIME(5,30,0)</f>
        <v>40714.229166666664</v>
      </c>
      <c r="C782">
        <v>80</v>
      </c>
      <c r="D782">
        <v>79.914863585999996</v>
      </c>
      <c r="E782">
        <v>60</v>
      </c>
      <c r="F782">
        <v>56.261631012000002</v>
      </c>
      <c r="G782">
        <v>1333.7554932</v>
      </c>
      <c r="H782">
        <v>1332.7091064000001</v>
      </c>
      <c r="I782">
        <v>1329.6352539</v>
      </c>
      <c r="J782">
        <v>1329.2032471</v>
      </c>
      <c r="K782">
        <v>550</v>
      </c>
      <c r="L782">
        <v>0</v>
      </c>
      <c r="M782">
        <v>0</v>
      </c>
      <c r="N782">
        <v>550</v>
      </c>
    </row>
    <row r="783" spans="1:14" x14ac:dyDescent="0.25">
      <c r="A783">
        <v>416.86392899999998</v>
      </c>
      <c r="B783" s="1">
        <f>DATE(2011,6,21) + TIME(20,44,3)</f>
        <v>40715.863923611112</v>
      </c>
      <c r="C783">
        <v>80</v>
      </c>
      <c r="D783">
        <v>79.914878845000004</v>
      </c>
      <c r="E783">
        <v>60</v>
      </c>
      <c r="F783">
        <v>56.154815673999998</v>
      </c>
      <c r="G783">
        <v>1333.7546387</v>
      </c>
      <c r="H783">
        <v>1332.7094727000001</v>
      </c>
      <c r="I783">
        <v>1329.6282959</v>
      </c>
      <c r="J783">
        <v>1329.1920166</v>
      </c>
      <c r="K783">
        <v>550</v>
      </c>
      <c r="L783">
        <v>0</v>
      </c>
      <c r="M783">
        <v>0</v>
      </c>
      <c r="N783">
        <v>550</v>
      </c>
    </row>
    <row r="784" spans="1:14" x14ac:dyDescent="0.25">
      <c r="A784">
        <v>418.50725399999999</v>
      </c>
      <c r="B784" s="1">
        <f>DATE(2011,6,23) + TIME(12,10,26)</f>
        <v>40717.507245370369</v>
      </c>
      <c r="C784">
        <v>80</v>
      </c>
      <c r="D784">
        <v>79.914855957</v>
      </c>
      <c r="E784">
        <v>60</v>
      </c>
      <c r="F784">
        <v>56.046737671000002</v>
      </c>
      <c r="G784">
        <v>1333.7529297000001</v>
      </c>
      <c r="H784">
        <v>1332.7102050999999</v>
      </c>
      <c r="I784">
        <v>1329.6171875</v>
      </c>
      <c r="J784">
        <v>1329.1749268000001</v>
      </c>
      <c r="K784">
        <v>550</v>
      </c>
      <c r="L784">
        <v>0</v>
      </c>
      <c r="M784">
        <v>0</v>
      </c>
      <c r="N784">
        <v>550</v>
      </c>
    </row>
    <row r="785" spans="1:14" x14ac:dyDescent="0.25">
      <c r="A785">
        <v>420.21678700000001</v>
      </c>
      <c r="B785" s="1">
        <f>DATE(2011,6,25) + TIME(5,12,10)</f>
        <v>40719.216782407406</v>
      </c>
      <c r="C785">
        <v>80</v>
      </c>
      <c r="D785">
        <v>79.914840698000006</v>
      </c>
      <c r="E785">
        <v>60</v>
      </c>
      <c r="F785">
        <v>55.937206267999997</v>
      </c>
      <c r="G785">
        <v>1333.7513428</v>
      </c>
      <c r="H785">
        <v>1332.7109375</v>
      </c>
      <c r="I785">
        <v>1329.6060791</v>
      </c>
      <c r="J785">
        <v>1329.1577147999999</v>
      </c>
      <c r="K785">
        <v>550</v>
      </c>
      <c r="L785">
        <v>0</v>
      </c>
      <c r="M785">
        <v>0</v>
      </c>
      <c r="N785">
        <v>550</v>
      </c>
    </row>
    <row r="786" spans="1:14" x14ac:dyDescent="0.25">
      <c r="A786">
        <v>422.019092</v>
      </c>
      <c r="B786" s="1">
        <f>DATE(2011,6,27) + TIME(0,27,29)</f>
        <v>40721.019085648149</v>
      </c>
      <c r="C786">
        <v>80</v>
      </c>
      <c r="D786">
        <v>79.914825438999998</v>
      </c>
      <c r="E786">
        <v>60</v>
      </c>
      <c r="F786">
        <v>55.827220916999998</v>
      </c>
      <c r="G786">
        <v>1333.7497559000001</v>
      </c>
      <c r="H786">
        <v>1332.7117920000001</v>
      </c>
      <c r="I786">
        <v>1329.5948486</v>
      </c>
      <c r="J786">
        <v>1329.1400146000001</v>
      </c>
      <c r="K786">
        <v>550</v>
      </c>
      <c r="L786">
        <v>0</v>
      </c>
      <c r="M786">
        <v>0</v>
      </c>
      <c r="N786">
        <v>550</v>
      </c>
    </row>
    <row r="787" spans="1:14" x14ac:dyDescent="0.25">
      <c r="A787">
        <v>423.88986</v>
      </c>
      <c r="B787" s="1">
        <f>DATE(2011,6,28) + TIME(21,21,23)</f>
        <v>40722.889849537038</v>
      </c>
      <c r="C787">
        <v>80</v>
      </c>
      <c r="D787">
        <v>79.914817810000002</v>
      </c>
      <c r="E787">
        <v>60</v>
      </c>
      <c r="F787">
        <v>55.720230102999999</v>
      </c>
      <c r="G787">
        <v>1333.7481689000001</v>
      </c>
      <c r="H787">
        <v>1332.7126464999999</v>
      </c>
      <c r="I787">
        <v>1329.5836182</v>
      </c>
      <c r="J787">
        <v>1329.1221923999999</v>
      </c>
      <c r="K787">
        <v>550</v>
      </c>
      <c r="L787">
        <v>0</v>
      </c>
      <c r="M787">
        <v>0</v>
      </c>
      <c r="N787">
        <v>550</v>
      </c>
    </row>
    <row r="788" spans="1:14" x14ac:dyDescent="0.25">
      <c r="A788">
        <v>425.764521</v>
      </c>
      <c r="B788" s="1">
        <f>DATE(2011,6,30) + TIME(18,20,54)</f>
        <v>40724.764513888891</v>
      </c>
      <c r="C788">
        <v>80</v>
      </c>
      <c r="D788">
        <v>79.914810181000007</v>
      </c>
      <c r="E788">
        <v>60</v>
      </c>
      <c r="F788">
        <v>55.621604918999999</v>
      </c>
      <c r="G788">
        <v>1333.7468262</v>
      </c>
      <c r="H788">
        <v>1332.7133789</v>
      </c>
      <c r="I788">
        <v>1329.5723877</v>
      </c>
      <c r="J788">
        <v>1329.104126</v>
      </c>
      <c r="K788">
        <v>550</v>
      </c>
      <c r="L788">
        <v>0</v>
      </c>
      <c r="M788">
        <v>0</v>
      </c>
      <c r="N788">
        <v>550</v>
      </c>
    </row>
    <row r="789" spans="1:14" x14ac:dyDescent="0.25">
      <c r="A789">
        <v>426</v>
      </c>
      <c r="B789" s="1">
        <f>DATE(2011,7,1) + TIME(0,0,0)</f>
        <v>40725</v>
      </c>
      <c r="C789">
        <v>80</v>
      </c>
      <c r="D789">
        <v>79.914779663000004</v>
      </c>
      <c r="E789">
        <v>60</v>
      </c>
      <c r="F789">
        <v>55.605361938000001</v>
      </c>
      <c r="G789">
        <v>1333.7454834</v>
      </c>
      <c r="H789">
        <v>1332.7142334</v>
      </c>
      <c r="I789">
        <v>1329.5621338000001</v>
      </c>
      <c r="J789">
        <v>1329.0880127</v>
      </c>
      <c r="K789">
        <v>550</v>
      </c>
      <c r="L789">
        <v>0</v>
      </c>
      <c r="M789">
        <v>0</v>
      </c>
      <c r="N789">
        <v>550</v>
      </c>
    </row>
    <row r="790" spans="1:14" x14ac:dyDescent="0.25">
      <c r="A790">
        <v>427.90835900000002</v>
      </c>
      <c r="B790" s="1">
        <f>DATE(2011,7,2) + TIME(21,48,2)</f>
        <v>40726.908356481479</v>
      </c>
      <c r="C790">
        <v>80</v>
      </c>
      <c r="D790">
        <v>79.914810181000007</v>
      </c>
      <c r="E790">
        <v>60</v>
      </c>
      <c r="F790">
        <v>55.521633147999999</v>
      </c>
      <c r="G790">
        <v>1333.7452393000001</v>
      </c>
      <c r="H790">
        <v>1332.7143555</v>
      </c>
      <c r="I790">
        <v>1329.5596923999999</v>
      </c>
      <c r="J790">
        <v>1329.0834961</v>
      </c>
      <c r="K790">
        <v>550</v>
      </c>
      <c r="L790">
        <v>0</v>
      </c>
      <c r="M790">
        <v>0</v>
      </c>
      <c r="N790">
        <v>550</v>
      </c>
    </row>
    <row r="791" spans="1:14" x14ac:dyDescent="0.25">
      <c r="A791">
        <v>429.89380499999999</v>
      </c>
      <c r="B791" s="1">
        <f>DATE(2011,7,4) + TIME(21,27,4)</f>
        <v>40728.893796296295</v>
      </c>
      <c r="C791">
        <v>80</v>
      </c>
      <c r="D791">
        <v>79.914833068999997</v>
      </c>
      <c r="E791">
        <v>60</v>
      </c>
      <c r="F791">
        <v>55.451217651</v>
      </c>
      <c r="G791">
        <v>1333.7440185999999</v>
      </c>
      <c r="H791">
        <v>1332.7150879000001</v>
      </c>
      <c r="I791">
        <v>1329.5494385</v>
      </c>
      <c r="J791">
        <v>1329.0667725000001</v>
      </c>
      <c r="K791">
        <v>550</v>
      </c>
      <c r="L791">
        <v>0</v>
      </c>
      <c r="M791">
        <v>0</v>
      </c>
      <c r="N791">
        <v>550</v>
      </c>
    </row>
    <row r="792" spans="1:14" x14ac:dyDescent="0.25">
      <c r="A792">
        <v>431.97334699999999</v>
      </c>
      <c r="B792" s="1">
        <f>DATE(2011,7,6) + TIME(23,21,37)</f>
        <v>40730.973344907405</v>
      </c>
      <c r="C792">
        <v>80</v>
      </c>
      <c r="D792">
        <v>79.914863585999996</v>
      </c>
      <c r="E792">
        <v>60</v>
      </c>
      <c r="F792">
        <v>55.398780823000003</v>
      </c>
      <c r="G792">
        <v>1333.7427978999999</v>
      </c>
      <c r="H792">
        <v>1332.7159423999999</v>
      </c>
      <c r="I792">
        <v>1329.5394286999999</v>
      </c>
      <c r="J792">
        <v>1329.0501709</v>
      </c>
      <c r="K792">
        <v>550</v>
      </c>
      <c r="L792">
        <v>0</v>
      </c>
      <c r="M792">
        <v>0</v>
      </c>
      <c r="N792">
        <v>550</v>
      </c>
    </row>
    <row r="793" spans="1:14" x14ac:dyDescent="0.25">
      <c r="A793">
        <v>434.09344099999998</v>
      </c>
      <c r="B793" s="1">
        <f>DATE(2011,7,9) + TIME(2,14,33)</f>
        <v>40733.0934375</v>
      </c>
      <c r="C793">
        <v>80</v>
      </c>
      <c r="D793">
        <v>79.914901732999994</v>
      </c>
      <c r="E793">
        <v>60</v>
      </c>
      <c r="F793">
        <v>55.370677948000001</v>
      </c>
      <c r="G793">
        <v>1333.7415771000001</v>
      </c>
      <c r="H793">
        <v>1332.7167969</v>
      </c>
      <c r="I793">
        <v>1329.5295410000001</v>
      </c>
      <c r="J793">
        <v>1329.0336914</v>
      </c>
      <c r="K793">
        <v>550</v>
      </c>
      <c r="L793">
        <v>0</v>
      </c>
      <c r="M793">
        <v>0</v>
      </c>
      <c r="N793">
        <v>550</v>
      </c>
    </row>
    <row r="794" spans="1:14" x14ac:dyDescent="0.25">
      <c r="A794">
        <v>436.220888</v>
      </c>
      <c r="B794" s="1">
        <f>DATE(2011,7,11) + TIME(5,18,4)</f>
        <v>40735.220879629633</v>
      </c>
      <c r="C794">
        <v>80</v>
      </c>
      <c r="D794">
        <v>79.914939880000006</v>
      </c>
      <c r="E794">
        <v>60</v>
      </c>
      <c r="F794">
        <v>55.372051239000001</v>
      </c>
      <c r="G794">
        <v>1333.7403564000001</v>
      </c>
      <c r="H794">
        <v>1332.7176514</v>
      </c>
      <c r="I794">
        <v>1329.5201416</v>
      </c>
      <c r="J794">
        <v>1329.0178223</v>
      </c>
      <c r="K794">
        <v>550</v>
      </c>
      <c r="L794">
        <v>0</v>
      </c>
      <c r="M794">
        <v>0</v>
      </c>
      <c r="N794">
        <v>550</v>
      </c>
    </row>
    <row r="795" spans="1:14" x14ac:dyDescent="0.25">
      <c r="A795">
        <v>438.39132899999998</v>
      </c>
      <c r="B795" s="1">
        <f>DATE(2011,7,13) + TIME(9,23,30)</f>
        <v>40737.391319444447</v>
      </c>
      <c r="C795">
        <v>80</v>
      </c>
      <c r="D795">
        <v>79.914993285999998</v>
      </c>
      <c r="E795">
        <v>60</v>
      </c>
      <c r="F795">
        <v>55.406883239999999</v>
      </c>
      <c r="G795">
        <v>1333.7393798999999</v>
      </c>
      <c r="H795">
        <v>1332.7185059000001</v>
      </c>
      <c r="I795">
        <v>1329.5113524999999</v>
      </c>
      <c r="J795">
        <v>1329.0028076000001</v>
      </c>
      <c r="K795">
        <v>550</v>
      </c>
      <c r="L795">
        <v>0</v>
      </c>
      <c r="M795">
        <v>0</v>
      </c>
      <c r="N795">
        <v>550</v>
      </c>
    </row>
    <row r="796" spans="1:14" x14ac:dyDescent="0.25">
      <c r="A796">
        <v>440.64084800000001</v>
      </c>
      <c r="B796" s="1">
        <f>DATE(2011,7,15) + TIME(15,22,49)</f>
        <v>40739.640844907408</v>
      </c>
      <c r="C796">
        <v>80</v>
      </c>
      <c r="D796">
        <v>79.915054321</v>
      </c>
      <c r="E796">
        <v>60</v>
      </c>
      <c r="F796">
        <v>55.479774474999999</v>
      </c>
      <c r="G796">
        <v>1333.7382812000001</v>
      </c>
      <c r="H796">
        <v>1332.7192382999999</v>
      </c>
      <c r="I796">
        <v>1329.5031738</v>
      </c>
      <c r="J796">
        <v>1328.9885254000001</v>
      </c>
      <c r="K796">
        <v>550</v>
      </c>
      <c r="L796">
        <v>0</v>
      </c>
      <c r="M796">
        <v>0</v>
      </c>
      <c r="N796">
        <v>550</v>
      </c>
    </row>
    <row r="797" spans="1:14" x14ac:dyDescent="0.25">
      <c r="A797">
        <v>442.99852800000002</v>
      </c>
      <c r="B797" s="1">
        <f>DATE(2011,7,17) + TIME(23,57,52)</f>
        <v>40741.998518518521</v>
      </c>
      <c r="C797">
        <v>80</v>
      </c>
      <c r="D797">
        <v>79.915122986</v>
      </c>
      <c r="E797">
        <v>60</v>
      </c>
      <c r="F797">
        <v>55.596000670999999</v>
      </c>
      <c r="G797">
        <v>1333.7373047000001</v>
      </c>
      <c r="H797">
        <v>1332.7200928</v>
      </c>
      <c r="I797">
        <v>1329.4953613</v>
      </c>
      <c r="J797">
        <v>1328.9750977000001</v>
      </c>
      <c r="K797">
        <v>550</v>
      </c>
      <c r="L797">
        <v>0</v>
      </c>
      <c r="M797">
        <v>0</v>
      </c>
      <c r="N797">
        <v>550</v>
      </c>
    </row>
    <row r="798" spans="1:14" x14ac:dyDescent="0.25">
      <c r="A798">
        <v>445.36917499999998</v>
      </c>
      <c r="B798" s="1">
        <f>DATE(2011,7,20) + TIME(8,51,36)</f>
        <v>40744.369166666664</v>
      </c>
      <c r="C798">
        <v>80</v>
      </c>
      <c r="D798">
        <v>79.915199279999996</v>
      </c>
      <c r="E798">
        <v>60</v>
      </c>
      <c r="F798">
        <v>55.756942748999997</v>
      </c>
      <c r="G798">
        <v>1333.7363281</v>
      </c>
      <c r="H798">
        <v>1332.7208252</v>
      </c>
      <c r="I798">
        <v>1329.4880370999999</v>
      </c>
      <c r="J798">
        <v>1328.9622803</v>
      </c>
      <c r="K798">
        <v>550</v>
      </c>
      <c r="L798">
        <v>0</v>
      </c>
      <c r="M798">
        <v>0</v>
      </c>
      <c r="N798">
        <v>550</v>
      </c>
    </row>
    <row r="799" spans="1:14" x14ac:dyDescent="0.25">
      <c r="A799">
        <v>447.76336900000001</v>
      </c>
      <c r="B799" s="1">
        <f>DATE(2011,7,22) + TIME(18,19,15)</f>
        <v>40746.763368055559</v>
      </c>
      <c r="C799">
        <v>80</v>
      </c>
      <c r="D799">
        <v>79.915283203000001</v>
      </c>
      <c r="E799">
        <v>60</v>
      </c>
      <c r="F799">
        <v>55.961509704999997</v>
      </c>
      <c r="G799">
        <v>1333.7354736</v>
      </c>
      <c r="H799">
        <v>1332.7216797000001</v>
      </c>
      <c r="I799">
        <v>1329.4813231999999</v>
      </c>
      <c r="J799">
        <v>1328.9505615</v>
      </c>
      <c r="K799">
        <v>550</v>
      </c>
      <c r="L799">
        <v>0</v>
      </c>
      <c r="M799">
        <v>0</v>
      </c>
      <c r="N799">
        <v>550</v>
      </c>
    </row>
    <row r="800" spans="1:14" x14ac:dyDescent="0.25">
      <c r="A800">
        <v>450.2226</v>
      </c>
      <c r="B800" s="1">
        <f>DATE(2011,7,25) + TIME(5,20,32)</f>
        <v>40749.222592592596</v>
      </c>
      <c r="C800">
        <v>80</v>
      </c>
      <c r="D800">
        <v>79.915374756000006</v>
      </c>
      <c r="E800">
        <v>60</v>
      </c>
      <c r="F800">
        <v>56.209159851000003</v>
      </c>
      <c r="G800">
        <v>1333.7346190999999</v>
      </c>
      <c r="H800">
        <v>1332.7224120999999</v>
      </c>
      <c r="I800">
        <v>1329.4752197</v>
      </c>
      <c r="J800">
        <v>1328.9399414</v>
      </c>
      <c r="K800">
        <v>550</v>
      </c>
      <c r="L800">
        <v>0</v>
      </c>
      <c r="M800">
        <v>0</v>
      </c>
      <c r="N800">
        <v>550</v>
      </c>
    </row>
    <row r="801" spans="1:14" x14ac:dyDescent="0.25">
      <c r="A801">
        <v>452.785011</v>
      </c>
      <c r="B801" s="1">
        <f>DATE(2011,7,27) + TIME(18,50,24)</f>
        <v>40751.785000000003</v>
      </c>
      <c r="C801">
        <v>80</v>
      </c>
      <c r="D801">
        <v>79.915473938000005</v>
      </c>
      <c r="E801">
        <v>60</v>
      </c>
      <c r="F801">
        <v>56.499992370999998</v>
      </c>
      <c r="G801">
        <v>1333.7337646000001</v>
      </c>
      <c r="H801">
        <v>1332.7232666</v>
      </c>
      <c r="I801">
        <v>1329.4697266000001</v>
      </c>
      <c r="J801">
        <v>1328.9301757999999</v>
      </c>
      <c r="K801">
        <v>550</v>
      </c>
      <c r="L801">
        <v>0</v>
      </c>
      <c r="M801">
        <v>0</v>
      </c>
      <c r="N801">
        <v>550</v>
      </c>
    </row>
    <row r="802" spans="1:14" x14ac:dyDescent="0.25">
      <c r="A802">
        <v>455.44095299999998</v>
      </c>
      <c r="B802" s="1">
        <f>DATE(2011,7,30) + TIME(10,34,58)</f>
        <v>40754.440949074073</v>
      </c>
      <c r="C802">
        <v>80</v>
      </c>
      <c r="D802">
        <v>79.915588378999999</v>
      </c>
      <c r="E802">
        <v>60</v>
      </c>
      <c r="F802">
        <v>56.831523894999997</v>
      </c>
      <c r="G802">
        <v>1333.7329102000001</v>
      </c>
      <c r="H802">
        <v>1332.7241211</v>
      </c>
      <c r="I802">
        <v>1329.4647216999999</v>
      </c>
      <c r="J802">
        <v>1328.9213867000001</v>
      </c>
      <c r="K802">
        <v>550</v>
      </c>
      <c r="L802">
        <v>0</v>
      </c>
      <c r="M802">
        <v>0</v>
      </c>
      <c r="N802">
        <v>550</v>
      </c>
    </row>
    <row r="803" spans="1:14" x14ac:dyDescent="0.25">
      <c r="A803">
        <v>457</v>
      </c>
      <c r="B803" s="1">
        <f>DATE(2011,8,1) + TIME(0,0,0)</f>
        <v>40756</v>
      </c>
      <c r="C803">
        <v>80</v>
      </c>
      <c r="D803">
        <v>79.915618895999998</v>
      </c>
      <c r="E803">
        <v>60</v>
      </c>
      <c r="F803">
        <v>57.100463867000002</v>
      </c>
      <c r="G803">
        <v>1333.7321777</v>
      </c>
      <c r="H803">
        <v>1332.7249756000001</v>
      </c>
      <c r="I803">
        <v>1329.4605713000001</v>
      </c>
      <c r="J803">
        <v>1328.9136963000001</v>
      </c>
      <c r="K803">
        <v>550</v>
      </c>
      <c r="L803">
        <v>0</v>
      </c>
      <c r="M803">
        <v>0</v>
      </c>
      <c r="N803">
        <v>550</v>
      </c>
    </row>
    <row r="804" spans="1:14" x14ac:dyDescent="0.25">
      <c r="A804">
        <v>459.65733399999999</v>
      </c>
      <c r="B804" s="1">
        <f>DATE(2011,8,3) + TIME(15,46,33)</f>
        <v>40758.657326388886</v>
      </c>
      <c r="C804">
        <v>80</v>
      </c>
      <c r="D804">
        <v>79.915763854999994</v>
      </c>
      <c r="E804">
        <v>60</v>
      </c>
      <c r="F804">
        <v>57.444400786999999</v>
      </c>
      <c r="G804">
        <v>1333.7318115</v>
      </c>
      <c r="H804">
        <v>1332.7253418</v>
      </c>
      <c r="I804">
        <v>1329.4571533000001</v>
      </c>
      <c r="J804">
        <v>1328.9085693</v>
      </c>
      <c r="K804">
        <v>550</v>
      </c>
      <c r="L804">
        <v>0</v>
      </c>
      <c r="M804">
        <v>0</v>
      </c>
      <c r="N804">
        <v>550</v>
      </c>
    </row>
    <row r="805" spans="1:14" x14ac:dyDescent="0.25">
      <c r="A805">
        <v>462.41755899999998</v>
      </c>
      <c r="B805" s="1">
        <f>DATE(2011,8,6) + TIME(10,1,17)</f>
        <v>40761.417557870373</v>
      </c>
      <c r="C805">
        <v>80</v>
      </c>
      <c r="D805">
        <v>79.915901184000006</v>
      </c>
      <c r="E805">
        <v>60</v>
      </c>
      <c r="F805">
        <v>57.823825835999997</v>
      </c>
      <c r="G805">
        <v>1333.7310791</v>
      </c>
      <c r="H805">
        <v>1332.7261963000001</v>
      </c>
      <c r="I805">
        <v>1329.4536132999999</v>
      </c>
      <c r="J805">
        <v>1328.9023437999999</v>
      </c>
      <c r="K805">
        <v>550</v>
      </c>
      <c r="L805">
        <v>0</v>
      </c>
      <c r="M805">
        <v>0</v>
      </c>
      <c r="N805">
        <v>550</v>
      </c>
    </row>
    <row r="806" spans="1:14" x14ac:dyDescent="0.25">
      <c r="A806">
        <v>465.29987299999999</v>
      </c>
      <c r="B806" s="1">
        <f>DATE(2011,8,9) + TIME(7,11,49)</f>
        <v>40764.299872685187</v>
      </c>
      <c r="C806">
        <v>80</v>
      </c>
      <c r="D806">
        <v>79.916038513000004</v>
      </c>
      <c r="E806">
        <v>60</v>
      </c>
      <c r="F806">
        <v>58.228252411</v>
      </c>
      <c r="G806">
        <v>1333.7304687999999</v>
      </c>
      <c r="H806">
        <v>1332.7270507999999</v>
      </c>
      <c r="I806">
        <v>1329.4504394999999</v>
      </c>
      <c r="J806">
        <v>1328.8967285000001</v>
      </c>
      <c r="K806">
        <v>550</v>
      </c>
      <c r="L806">
        <v>0</v>
      </c>
      <c r="M806">
        <v>0</v>
      </c>
      <c r="N806">
        <v>550</v>
      </c>
    </row>
    <row r="807" spans="1:14" x14ac:dyDescent="0.25">
      <c r="A807">
        <v>468.24309499999998</v>
      </c>
      <c r="B807" s="1">
        <f>DATE(2011,8,12) + TIME(5,50,3)</f>
        <v>40767.243090277778</v>
      </c>
      <c r="C807">
        <v>80</v>
      </c>
      <c r="D807">
        <v>79.916183472</v>
      </c>
      <c r="E807">
        <v>60</v>
      </c>
      <c r="F807">
        <v>58.644924164000003</v>
      </c>
      <c r="G807">
        <v>1333.7298584</v>
      </c>
      <c r="H807">
        <v>1332.7279053</v>
      </c>
      <c r="I807">
        <v>1329.4475098</v>
      </c>
      <c r="J807">
        <v>1328.8914795000001</v>
      </c>
      <c r="K807">
        <v>550</v>
      </c>
      <c r="L807">
        <v>0</v>
      </c>
      <c r="M807">
        <v>0</v>
      </c>
      <c r="N807">
        <v>550</v>
      </c>
    </row>
    <row r="808" spans="1:14" x14ac:dyDescent="0.25">
      <c r="A808">
        <v>471.20493199999999</v>
      </c>
      <c r="B808" s="1">
        <f>DATE(2011,8,15) + TIME(4,55,6)</f>
        <v>40770.204930555556</v>
      </c>
      <c r="C808">
        <v>80</v>
      </c>
      <c r="D808">
        <v>79.916328429999993</v>
      </c>
      <c r="E808">
        <v>60</v>
      </c>
      <c r="F808">
        <v>59.060855865000001</v>
      </c>
      <c r="G808">
        <v>1333.7293701000001</v>
      </c>
      <c r="H808">
        <v>1332.7287598</v>
      </c>
      <c r="I808">
        <v>1329.4448242000001</v>
      </c>
      <c r="J808">
        <v>1328.8869629000001</v>
      </c>
      <c r="K808">
        <v>550</v>
      </c>
      <c r="L808">
        <v>0</v>
      </c>
      <c r="M808">
        <v>0</v>
      </c>
      <c r="N808">
        <v>550</v>
      </c>
    </row>
    <row r="809" spans="1:14" x14ac:dyDescent="0.25">
      <c r="A809">
        <v>474.23928000000001</v>
      </c>
      <c r="B809" s="1">
        <f>DATE(2011,8,18) + TIME(5,44,33)</f>
        <v>40773.239270833335</v>
      </c>
      <c r="C809">
        <v>80</v>
      </c>
      <c r="D809">
        <v>79.916488646999994</v>
      </c>
      <c r="E809">
        <v>60</v>
      </c>
      <c r="F809">
        <v>59.470352173000002</v>
      </c>
      <c r="G809">
        <v>1333.7288818</v>
      </c>
      <c r="H809">
        <v>1332.7297363</v>
      </c>
      <c r="I809">
        <v>1329.4425048999999</v>
      </c>
      <c r="J809">
        <v>1328.8828125</v>
      </c>
      <c r="K809">
        <v>550</v>
      </c>
      <c r="L809">
        <v>0</v>
      </c>
      <c r="M809">
        <v>0</v>
      </c>
      <c r="N809">
        <v>550</v>
      </c>
    </row>
    <row r="810" spans="1:14" x14ac:dyDescent="0.25">
      <c r="A810">
        <v>477.39403199999998</v>
      </c>
      <c r="B810" s="1">
        <f>DATE(2011,8,21) + TIME(9,27,24)</f>
        <v>40776.39402777778</v>
      </c>
      <c r="C810">
        <v>80</v>
      </c>
      <c r="D810">
        <v>79.916656493999994</v>
      </c>
      <c r="E810">
        <v>60</v>
      </c>
      <c r="F810">
        <v>59.872146606000001</v>
      </c>
      <c r="G810">
        <v>1333.7283935999999</v>
      </c>
      <c r="H810">
        <v>1332.7305908000001</v>
      </c>
      <c r="I810">
        <v>1329.4403076000001</v>
      </c>
      <c r="J810">
        <v>1328.8790283000001</v>
      </c>
      <c r="K810">
        <v>550</v>
      </c>
      <c r="L810">
        <v>0</v>
      </c>
      <c r="M810">
        <v>0</v>
      </c>
      <c r="N810">
        <v>550</v>
      </c>
    </row>
    <row r="811" spans="1:14" x14ac:dyDescent="0.25">
      <c r="A811">
        <v>480.651543</v>
      </c>
      <c r="B811" s="1">
        <f>DATE(2011,8,24) + TIME(15,38,13)</f>
        <v>40779.651539351849</v>
      </c>
      <c r="C811">
        <v>80</v>
      </c>
      <c r="D811">
        <v>79.916824340999995</v>
      </c>
      <c r="E811">
        <v>60</v>
      </c>
      <c r="F811">
        <v>60.263141632</v>
      </c>
      <c r="G811">
        <v>1333.7280272999999</v>
      </c>
      <c r="H811">
        <v>1332.7315673999999</v>
      </c>
      <c r="I811">
        <v>1329.4383545000001</v>
      </c>
      <c r="J811">
        <v>1328.8756103999999</v>
      </c>
      <c r="K811">
        <v>550</v>
      </c>
      <c r="L811">
        <v>0</v>
      </c>
      <c r="M811">
        <v>0</v>
      </c>
      <c r="N811">
        <v>550</v>
      </c>
    </row>
    <row r="812" spans="1:14" x14ac:dyDescent="0.25">
      <c r="A812">
        <v>483.91887700000001</v>
      </c>
      <c r="B812" s="1">
        <f>DATE(2011,8,27) + TIME(22,3,10)</f>
        <v>40782.918865740743</v>
      </c>
      <c r="C812">
        <v>80</v>
      </c>
      <c r="D812">
        <v>79.916999817000004</v>
      </c>
      <c r="E812">
        <v>60</v>
      </c>
      <c r="F812">
        <v>60.636154175000001</v>
      </c>
      <c r="G812">
        <v>1333.7276611</v>
      </c>
      <c r="H812">
        <v>1332.7325439000001</v>
      </c>
      <c r="I812">
        <v>1329.4366454999999</v>
      </c>
      <c r="J812">
        <v>1328.8724365</v>
      </c>
      <c r="K812">
        <v>550</v>
      </c>
      <c r="L812">
        <v>0</v>
      </c>
      <c r="M812">
        <v>0</v>
      </c>
      <c r="N812">
        <v>550</v>
      </c>
    </row>
    <row r="813" spans="1:14" x14ac:dyDescent="0.25">
      <c r="A813">
        <v>487.25630899999999</v>
      </c>
      <c r="B813" s="1">
        <f>DATE(2011,8,31) + TIME(6,9,5)</f>
        <v>40786.256307870368</v>
      </c>
      <c r="C813">
        <v>80</v>
      </c>
      <c r="D813">
        <v>79.917182921999995</v>
      </c>
      <c r="E813">
        <v>60</v>
      </c>
      <c r="F813">
        <v>60.989261626999998</v>
      </c>
      <c r="G813">
        <v>1333.7274170000001</v>
      </c>
      <c r="H813">
        <v>1332.7335204999999</v>
      </c>
      <c r="I813">
        <v>1329.4350586</v>
      </c>
      <c r="J813">
        <v>1328.8695068</v>
      </c>
      <c r="K813">
        <v>550</v>
      </c>
      <c r="L813">
        <v>0</v>
      </c>
      <c r="M813">
        <v>0</v>
      </c>
      <c r="N813">
        <v>550</v>
      </c>
    </row>
    <row r="814" spans="1:14" x14ac:dyDescent="0.25">
      <c r="A814">
        <v>488</v>
      </c>
      <c r="B814" s="1">
        <f>DATE(2011,9,1) + TIME(0,0,0)</f>
        <v>40787</v>
      </c>
      <c r="C814">
        <v>80</v>
      </c>
      <c r="D814">
        <v>79.917190551999994</v>
      </c>
      <c r="E814">
        <v>60</v>
      </c>
      <c r="F814">
        <v>61.126560210999997</v>
      </c>
      <c r="G814">
        <v>1333.7271728999999</v>
      </c>
      <c r="H814">
        <v>1332.7344971</v>
      </c>
      <c r="I814">
        <v>1329.4345702999999</v>
      </c>
      <c r="J814">
        <v>1328.8670654</v>
      </c>
      <c r="K814">
        <v>550</v>
      </c>
      <c r="L814">
        <v>0</v>
      </c>
      <c r="M814">
        <v>0</v>
      </c>
      <c r="N814">
        <v>550</v>
      </c>
    </row>
    <row r="815" spans="1:14" x14ac:dyDescent="0.25">
      <c r="A815">
        <v>491.46963599999998</v>
      </c>
      <c r="B815" s="1">
        <f>DATE(2011,9,4) + TIME(11,16,16)</f>
        <v>40790.469629629632</v>
      </c>
      <c r="C815">
        <v>80</v>
      </c>
      <c r="D815">
        <v>79.917411803999997</v>
      </c>
      <c r="E815">
        <v>60</v>
      </c>
      <c r="F815">
        <v>61.418758392000001</v>
      </c>
      <c r="G815">
        <v>1333.7270507999999</v>
      </c>
      <c r="H815">
        <v>1332.7346190999999</v>
      </c>
      <c r="I815">
        <v>1329.4332274999999</v>
      </c>
      <c r="J815">
        <v>1328.8660889</v>
      </c>
      <c r="K815">
        <v>550</v>
      </c>
      <c r="L815">
        <v>0</v>
      </c>
      <c r="M815">
        <v>0</v>
      </c>
      <c r="N815">
        <v>550</v>
      </c>
    </row>
    <row r="816" spans="1:14" x14ac:dyDescent="0.25">
      <c r="A816">
        <v>495.04569900000001</v>
      </c>
      <c r="B816" s="1">
        <f>DATE(2011,9,8) + TIME(1,5,48)</f>
        <v>40794.045694444445</v>
      </c>
      <c r="C816">
        <v>80</v>
      </c>
      <c r="D816">
        <v>79.917617797999995</v>
      </c>
      <c r="E816">
        <v>60</v>
      </c>
      <c r="F816">
        <v>61.716758728000002</v>
      </c>
      <c r="G816">
        <v>1333.7268065999999</v>
      </c>
      <c r="H816">
        <v>1332.7357178</v>
      </c>
      <c r="I816">
        <v>1329.4320068</v>
      </c>
      <c r="J816">
        <v>1328.8634033000001</v>
      </c>
      <c r="K816">
        <v>550</v>
      </c>
      <c r="L816">
        <v>0</v>
      </c>
      <c r="M816">
        <v>0</v>
      </c>
      <c r="N816">
        <v>550</v>
      </c>
    </row>
    <row r="817" spans="1:14" x14ac:dyDescent="0.25">
      <c r="A817">
        <v>498.65182499999997</v>
      </c>
      <c r="B817" s="1">
        <f>DATE(2011,9,11) + TIME(15,38,37)</f>
        <v>40797.651817129627</v>
      </c>
      <c r="C817">
        <v>80</v>
      </c>
      <c r="D817">
        <v>79.917823791999993</v>
      </c>
      <c r="E817">
        <v>60</v>
      </c>
      <c r="F817">
        <v>62.004447937000002</v>
      </c>
      <c r="G817">
        <v>1333.7265625</v>
      </c>
      <c r="H817">
        <v>1332.7366943</v>
      </c>
      <c r="I817">
        <v>1329.4309082</v>
      </c>
      <c r="J817">
        <v>1328.8609618999999</v>
      </c>
      <c r="K817">
        <v>550</v>
      </c>
      <c r="L817">
        <v>0</v>
      </c>
      <c r="M817">
        <v>0</v>
      </c>
      <c r="N817">
        <v>550</v>
      </c>
    </row>
    <row r="818" spans="1:14" x14ac:dyDescent="0.25">
      <c r="A818">
        <v>502.35574000000003</v>
      </c>
      <c r="B818" s="1">
        <f>DATE(2011,9,15) + TIME(8,32,15)</f>
        <v>40801.355729166666</v>
      </c>
      <c r="C818">
        <v>80</v>
      </c>
      <c r="D818">
        <v>79.918037415000001</v>
      </c>
      <c r="E818">
        <v>60</v>
      </c>
      <c r="F818">
        <v>62.276672363000003</v>
      </c>
      <c r="G818">
        <v>1333.7264404</v>
      </c>
      <c r="H818">
        <v>1332.7376709</v>
      </c>
      <c r="I818">
        <v>1329.4298096</v>
      </c>
      <c r="J818">
        <v>1328.8586425999999</v>
      </c>
      <c r="K818">
        <v>550</v>
      </c>
      <c r="L818">
        <v>0</v>
      </c>
      <c r="M818">
        <v>0</v>
      </c>
      <c r="N818">
        <v>550</v>
      </c>
    </row>
    <row r="819" spans="1:14" x14ac:dyDescent="0.25">
      <c r="A819">
        <v>506.21185600000001</v>
      </c>
      <c r="B819" s="1">
        <f>DATE(2011,9,19) + TIME(5,5,4)</f>
        <v>40805.211851851855</v>
      </c>
      <c r="C819">
        <v>80</v>
      </c>
      <c r="D819">
        <v>79.918258667000003</v>
      </c>
      <c r="E819">
        <v>60</v>
      </c>
      <c r="F819">
        <v>62.534515380999999</v>
      </c>
      <c r="G819">
        <v>1333.7263184000001</v>
      </c>
      <c r="H819">
        <v>1332.7387695</v>
      </c>
      <c r="I819">
        <v>1329.4288329999999</v>
      </c>
      <c r="J819">
        <v>1328.8563231999999</v>
      </c>
      <c r="K819">
        <v>550</v>
      </c>
      <c r="L819">
        <v>0</v>
      </c>
      <c r="M819">
        <v>0</v>
      </c>
      <c r="N819">
        <v>550</v>
      </c>
    </row>
    <row r="820" spans="1:14" x14ac:dyDescent="0.25">
      <c r="A820">
        <v>510.12382300000002</v>
      </c>
      <c r="B820" s="1">
        <f>DATE(2011,9,23) + TIME(2,58,18)</f>
        <v>40809.123819444445</v>
      </c>
      <c r="C820">
        <v>80</v>
      </c>
      <c r="D820">
        <v>79.918487549000005</v>
      </c>
      <c r="E820">
        <v>60</v>
      </c>
      <c r="F820">
        <v>62.777347564999999</v>
      </c>
      <c r="G820">
        <v>1333.7261963000001</v>
      </c>
      <c r="H820">
        <v>1332.7397461</v>
      </c>
      <c r="I820">
        <v>1329.4279785000001</v>
      </c>
      <c r="J820">
        <v>1328.854126</v>
      </c>
      <c r="K820">
        <v>550</v>
      </c>
      <c r="L820">
        <v>0</v>
      </c>
      <c r="M820">
        <v>0</v>
      </c>
      <c r="N820">
        <v>550</v>
      </c>
    </row>
    <row r="821" spans="1:14" x14ac:dyDescent="0.25">
      <c r="A821">
        <v>514.07680000000005</v>
      </c>
      <c r="B821" s="1">
        <f>DATE(2011,9,27) + TIME(1,50,35)</f>
        <v>40813.076793981483</v>
      </c>
      <c r="C821">
        <v>80</v>
      </c>
      <c r="D821">
        <v>79.918708800999994</v>
      </c>
      <c r="E821">
        <v>60</v>
      </c>
      <c r="F821">
        <v>63.004093169999997</v>
      </c>
      <c r="G821">
        <v>1333.7261963000001</v>
      </c>
      <c r="H821">
        <v>1332.7408447</v>
      </c>
      <c r="I821">
        <v>1329.4272461</v>
      </c>
      <c r="J821">
        <v>1328.8520507999999</v>
      </c>
      <c r="K821">
        <v>550</v>
      </c>
      <c r="L821">
        <v>0</v>
      </c>
      <c r="M821">
        <v>0</v>
      </c>
      <c r="N821">
        <v>550</v>
      </c>
    </row>
    <row r="822" spans="1:14" x14ac:dyDescent="0.25">
      <c r="A822">
        <v>518</v>
      </c>
      <c r="B822" s="1">
        <f>DATE(2011,10,1) + TIME(0,0,0)</f>
        <v>40817</v>
      </c>
      <c r="C822">
        <v>80</v>
      </c>
      <c r="D822">
        <v>79.918937682999996</v>
      </c>
      <c r="E822">
        <v>60</v>
      </c>
      <c r="F822">
        <v>63.214019774999997</v>
      </c>
      <c r="G822">
        <v>1333.7261963000001</v>
      </c>
      <c r="H822">
        <v>1332.7419434000001</v>
      </c>
      <c r="I822">
        <v>1329.4265137</v>
      </c>
      <c r="J822">
        <v>1328.8500977000001</v>
      </c>
      <c r="K822">
        <v>550</v>
      </c>
      <c r="L822">
        <v>0</v>
      </c>
      <c r="M822">
        <v>0</v>
      </c>
      <c r="N822">
        <v>550</v>
      </c>
    </row>
    <row r="823" spans="1:14" x14ac:dyDescent="0.25">
      <c r="A823">
        <v>522.07025799999997</v>
      </c>
      <c r="B823" s="1">
        <f>DATE(2011,10,5) + TIME(1,41,10)</f>
        <v>40821.070254629631</v>
      </c>
      <c r="C823">
        <v>80</v>
      </c>
      <c r="D823">
        <v>79.919174193999993</v>
      </c>
      <c r="E823">
        <v>60</v>
      </c>
      <c r="F823">
        <v>63.410408019999998</v>
      </c>
      <c r="G823">
        <v>1333.7261963000001</v>
      </c>
      <c r="H823">
        <v>1332.7430420000001</v>
      </c>
      <c r="I823">
        <v>1329.4260254000001</v>
      </c>
      <c r="J823">
        <v>1328.8482666</v>
      </c>
      <c r="K823">
        <v>550</v>
      </c>
      <c r="L823">
        <v>0</v>
      </c>
      <c r="M823">
        <v>0</v>
      </c>
      <c r="N823">
        <v>550</v>
      </c>
    </row>
    <row r="824" spans="1:14" x14ac:dyDescent="0.25">
      <c r="A824">
        <v>526.32414300000005</v>
      </c>
      <c r="B824" s="1">
        <f>DATE(2011,10,9) + TIME(7,46,45)</f>
        <v>40825.324131944442</v>
      </c>
      <c r="C824">
        <v>80</v>
      </c>
      <c r="D824">
        <v>79.919425963999998</v>
      </c>
      <c r="E824">
        <v>60</v>
      </c>
      <c r="F824">
        <v>63.597724915000001</v>
      </c>
      <c r="G824">
        <v>1333.7261963000001</v>
      </c>
      <c r="H824">
        <v>1332.7441406</v>
      </c>
      <c r="I824">
        <v>1329.4255370999999</v>
      </c>
      <c r="J824">
        <v>1328.8465576000001</v>
      </c>
      <c r="K824">
        <v>550</v>
      </c>
      <c r="L824">
        <v>0</v>
      </c>
      <c r="M824">
        <v>0</v>
      </c>
      <c r="N824">
        <v>550</v>
      </c>
    </row>
    <row r="825" spans="1:14" x14ac:dyDescent="0.25">
      <c r="A825">
        <v>530.64533800000004</v>
      </c>
      <c r="B825" s="1">
        <f>DATE(2011,10,13) + TIME(15,29,17)</f>
        <v>40829.645335648151</v>
      </c>
      <c r="C825">
        <v>80</v>
      </c>
      <c r="D825">
        <v>79.919677734000004</v>
      </c>
      <c r="E825">
        <v>60</v>
      </c>
      <c r="F825">
        <v>63.776584624999998</v>
      </c>
      <c r="G825">
        <v>1333.7263184000001</v>
      </c>
      <c r="H825">
        <v>1332.7452393000001</v>
      </c>
      <c r="I825">
        <v>1329.4251709</v>
      </c>
      <c r="J825">
        <v>1328.8449707</v>
      </c>
      <c r="K825">
        <v>550</v>
      </c>
      <c r="L825">
        <v>0</v>
      </c>
      <c r="M825">
        <v>0</v>
      </c>
      <c r="N825">
        <v>550</v>
      </c>
    </row>
    <row r="826" spans="1:14" x14ac:dyDescent="0.25">
      <c r="A826">
        <v>535.10460599999999</v>
      </c>
      <c r="B826" s="1">
        <f>DATE(2011,10,18) + TIME(2,30,37)</f>
        <v>40834.104594907411</v>
      </c>
      <c r="C826">
        <v>80</v>
      </c>
      <c r="D826">
        <v>79.919937133999994</v>
      </c>
      <c r="E826">
        <v>60</v>
      </c>
      <c r="F826">
        <v>63.947101592999999</v>
      </c>
      <c r="G826">
        <v>1333.7264404</v>
      </c>
      <c r="H826">
        <v>1332.7463379000001</v>
      </c>
      <c r="I826">
        <v>1329.4248047000001</v>
      </c>
      <c r="J826">
        <v>1328.8433838000001</v>
      </c>
      <c r="K826">
        <v>550</v>
      </c>
      <c r="L826">
        <v>0</v>
      </c>
      <c r="M826">
        <v>0</v>
      </c>
      <c r="N826">
        <v>550</v>
      </c>
    </row>
    <row r="827" spans="1:14" x14ac:dyDescent="0.25">
      <c r="A827">
        <v>539.710916</v>
      </c>
      <c r="B827" s="1">
        <f>DATE(2011,10,22) + TIME(17,3,43)</f>
        <v>40838.710914351854</v>
      </c>
      <c r="C827">
        <v>80</v>
      </c>
      <c r="D827">
        <v>79.920204162999994</v>
      </c>
      <c r="E827">
        <v>60</v>
      </c>
      <c r="F827">
        <v>64.110725403000004</v>
      </c>
      <c r="G827">
        <v>1333.7265625</v>
      </c>
      <c r="H827">
        <v>1332.7475586</v>
      </c>
      <c r="I827">
        <v>1329.4246826000001</v>
      </c>
      <c r="J827">
        <v>1328.8420410000001</v>
      </c>
      <c r="K827">
        <v>550</v>
      </c>
      <c r="L827">
        <v>0</v>
      </c>
      <c r="M827">
        <v>0</v>
      </c>
      <c r="N827">
        <v>550</v>
      </c>
    </row>
    <row r="828" spans="1:14" x14ac:dyDescent="0.25">
      <c r="A828">
        <v>544.32763699999998</v>
      </c>
      <c r="B828" s="1">
        <f>DATE(2011,10,27) + TIME(7,51,47)</f>
        <v>40843.327627314815</v>
      </c>
      <c r="C828">
        <v>80</v>
      </c>
      <c r="D828">
        <v>79.920471191000004</v>
      </c>
      <c r="E828">
        <v>60</v>
      </c>
      <c r="F828">
        <v>64.266807556000003</v>
      </c>
      <c r="G828">
        <v>1333.7266846</v>
      </c>
      <c r="H828">
        <v>1332.7487793</v>
      </c>
      <c r="I828">
        <v>1329.4245605000001</v>
      </c>
      <c r="J828">
        <v>1328.8408202999999</v>
      </c>
      <c r="K828">
        <v>550</v>
      </c>
      <c r="L828">
        <v>0</v>
      </c>
      <c r="M828">
        <v>0</v>
      </c>
      <c r="N828">
        <v>550</v>
      </c>
    </row>
    <row r="829" spans="1:14" x14ac:dyDescent="0.25">
      <c r="A829">
        <v>549</v>
      </c>
      <c r="B829" s="1">
        <f>DATE(2011,11,1) + TIME(0,0,0)</f>
        <v>40848</v>
      </c>
      <c r="C829">
        <v>80</v>
      </c>
      <c r="D829">
        <v>79.920738220000004</v>
      </c>
      <c r="E829">
        <v>60</v>
      </c>
      <c r="F829">
        <v>64.414512634000005</v>
      </c>
      <c r="G829">
        <v>1333.7269286999999</v>
      </c>
      <c r="H829">
        <v>1332.7498779</v>
      </c>
      <c r="I829">
        <v>1329.4245605000001</v>
      </c>
      <c r="J829">
        <v>1328.8397216999999</v>
      </c>
      <c r="K829">
        <v>550</v>
      </c>
      <c r="L829">
        <v>0</v>
      </c>
      <c r="M829">
        <v>0</v>
      </c>
      <c r="N829">
        <v>550</v>
      </c>
    </row>
    <row r="830" spans="1:14" x14ac:dyDescent="0.25">
      <c r="A830">
        <v>549.000001</v>
      </c>
      <c r="B830" s="1">
        <f>DATE(2011,11,1) + TIME(0,0,0)</f>
        <v>40848</v>
      </c>
      <c r="C830">
        <v>80</v>
      </c>
      <c r="D830">
        <v>79.920707703000005</v>
      </c>
      <c r="E830">
        <v>60</v>
      </c>
      <c r="F830">
        <v>64.414543151999993</v>
      </c>
      <c r="G830">
        <v>1332.5242920000001</v>
      </c>
      <c r="H830">
        <v>1332.8023682</v>
      </c>
      <c r="I830">
        <v>1330.3026123</v>
      </c>
      <c r="J830">
        <v>1329.6697998</v>
      </c>
      <c r="K830">
        <v>0</v>
      </c>
      <c r="L830">
        <v>550</v>
      </c>
      <c r="M830">
        <v>550</v>
      </c>
      <c r="N830">
        <v>0</v>
      </c>
    </row>
    <row r="831" spans="1:14" x14ac:dyDescent="0.25">
      <c r="A831">
        <v>549.00000399999999</v>
      </c>
      <c r="B831" s="1">
        <f>DATE(2011,11,1) + TIME(0,0,0)</f>
        <v>40848</v>
      </c>
      <c r="C831">
        <v>80</v>
      </c>
      <c r="D831">
        <v>79.920661925999994</v>
      </c>
      <c r="E831">
        <v>60</v>
      </c>
      <c r="F831">
        <v>64.414581299000005</v>
      </c>
      <c r="G831">
        <v>1332.2269286999999</v>
      </c>
      <c r="H831">
        <v>1332.5688477000001</v>
      </c>
      <c r="I831">
        <v>1330.5980225000001</v>
      </c>
      <c r="J831">
        <v>1330.0041504000001</v>
      </c>
      <c r="K831">
        <v>0</v>
      </c>
      <c r="L831">
        <v>550</v>
      </c>
      <c r="M831">
        <v>550</v>
      </c>
      <c r="N831">
        <v>0</v>
      </c>
    </row>
    <row r="832" spans="1:14" x14ac:dyDescent="0.25">
      <c r="A832">
        <v>549.00001299999997</v>
      </c>
      <c r="B832" s="1">
        <f>DATE(2011,11,1) + TIME(0,0,1)</f>
        <v>40848.000011574077</v>
      </c>
      <c r="C832">
        <v>80</v>
      </c>
      <c r="D832">
        <v>79.920616150000001</v>
      </c>
      <c r="E832">
        <v>60</v>
      </c>
      <c r="F832">
        <v>64.414611816000004</v>
      </c>
      <c r="G832">
        <v>1331.9310303</v>
      </c>
      <c r="H832">
        <v>1332.2722168</v>
      </c>
      <c r="I832">
        <v>1330.9670410000001</v>
      </c>
      <c r="J832">
        <v>1330.3664550999999</v>
      </c>
      <c r="K832">
        <v>0</v>
      </c>
      <c r="L832">
        <v>550</v>
      </c>
      <c r="M832">
        <v>550</v>
      </c>
      <c r="N832">
        <v>0</v>
      </c>
    </row>
    <row r="833" spans="1:14" x14ac:dyDescent="0.25">
      <c r="A833">
        <v>549.00004000000001</v>
      </c>
      <c r="B833" s="1">
        <f>DATE(2011,11,1) + TIME(0,0,3)</f>
        <v>40848.000034722223</v>
      </c>
      <c r="C833">
        <v>80</v>
      </c>
      <c r="D833">
        <v>79.920578003000003</v>
      </c>
      <c r="E833">
        <v>60</v>
      </c>
      <c r="F833">
        <v>64.414596558</v>
      </c>
      <c r="G833">
        <v>1331.6567382999999</v>
      </c>
      <c r="H833">
        <v>1331.9561768000001</v>
      </c>
      <c r="I833">
        <v>1331.3474120999999</v>
      </c>
      <c r="J833">
        <v>1330.7270507999999</v>
      </c>
      <c r="K833">
        <v>0</v>
      </c>
      <c r="L833">
        <v>550</v>
      </c>
      <c r="M833">
        <v>550</v>
      </c>
      <c r="N833">
        <v>0</v>
      </c>
    </row>
    <row r="834" spans="1:14" x14ac:dyDescent="0.25">
      <c r="A834">
        <v>549.00012100000004</v>
      </c>
      <c r="B834" s="1">
        <f>DATE(2011,11,1) + TIME(0,0,10)</f>
        <v>40848.000115740739</v>
      </c>
      <c r="C834">
        <v>80</v>
      </c>
      <c r="D834">
        <v>79.920532226999995</v>
      </c>
      <c r="E834">
        <v>60</v>
      </c>
      <c r="F834">
        <v>64.414451599000003</v>
      </c>
      <c r="G834">
        <v>1331.4029541</v>
      </c>
      <c r="H834">
        <v>1331.6398925999999</v>
      </c>
      <c r="I834">
        <v>1331.7087402</v>
      </c>
      <c r="J834">
        <v>1331.0653076000001</v>
      </c>
      <c r="K834">
        <v>0</v>
      </c>
      <c r="L834">
        <v>550</v>
      </c>
      <c r="M834">
        <v>550</v>
      </c>
      <c r="N834">
        <v>0</v>
      </c>
    </row>
    <row r="835" spans="1:14" x14ac:dyDescent="0.25">
      <c r="A835">
        <v>549.00036399999999</v>
      </c>
      <c r="B835" s="1">
        <f>DATE(2011,11,1) + TIME(0,0,31)</f>
        <v>40848.000358796293</v>
      </c>
      <c r="C835">
        <v>80</v>
      </c>
      <c r="D835">
        <v>79.920486449999999</v>
      </c>
      <c r="E835">
        <v>60</v>
      </c>
      <c r="F835">
        <v>64.413902282999999</v>
      </c>
      <c r="G835">
        <v>1331.1948242000001</v>
      </c>
      <c r="H835">
        <v>1331.364624</v>
      </c>
      <c r="I835">
        <v>1332.0115966999999</v>
      </c>
      <c r="J835">
        <v>1331.3420410000001</v>
      </c>
      <c r="K835">
        <v>0</v>
      </c>
      <c r="L835">
        <v>550</v>
      </c>
      <c r="M835">
        <v>550</v>
      </c>
      <c r="N835">
        <v>0</v>
      </c>
    </row>
    <row r="836" spans="1:14" x14ac:dyDescent="0.25">
      <c r="A836">
        <v>549.00109299999997</v>
      </c>
      <c r="B836" s="1">
        <f>DATE(2011,11,1) + TIME(0,1,34)</f>
        <v>40848.001087962963</v>
      </c>
      <c r="C836">
        <v>80</v>
      </c>
      <c r="D836">
        <v>79.920410156000003</v>
      </c>
      <c r="E836">
        <v>60</v>
      </c>
      <c r="F836">
        <v>64.412101746000005</v>
      </c>
      <c r="G836">
        <v>1331.0540771000001</v>
      </c>
      <c r="H836">
        <v>1331.1850586</v>
      </c>
      <c r="I836">
        <v>1332.2127685999999</v>
      </c>
      <c r="J836">
        <v>1331.5242920000001</v>
      </c>
      <c r="K836">
        <v>0</v>
      </c>
      <c r="L836">
        <v>550</v>
      </c>
      <c r="M836">
        <v>550</v>
      </c>
      <c r="N836">
        <v>0</v>
      </c>
    </row>
    <row r="837" spans="1:14" x14ac:dyDescent="0.25">
      <c r="A837">
        <v>549.00328000000002</v>
      </c>
      <c r="B837" s="1">
        <f>DATE(2011,11,1) + TIME(0,4,43)</f>
        <v>40848.003275462965</v>
      </c>
      <c r="C837">
        <v>80</v>
      </c>
      <c r="D837">
        <v>79.920227050999998</v>
      </c>
      <c r="E837">
        <v>60</v>
      </c>
      <c r="F837">
        <v>64.406593322999996</v>
      </c>
      <c r="G837">
        <v>1330.9764404</v>
      </c>
      <c r="H837">
        <v>1331.0952147999999</v>
      </c>
      <c r="I837">
        <v>1332.3139647999999</v>
      </c>
      <c r="J837">
        <v>1331.6170654</v>
      </c>
      <c r="K837">
        <v>0</v>
      </c>
      <c r="L837">
        <v>550</v>
      </c>
      <c r="M837">
        <v>550</v>
      </c>
      <c r="N837">
        <v>0</v>
      </c>
    </row>
    <row r="838" spans="1:14" x14ac:dyDescent="0.25">
      <c r="A838">
        <v>549.00984100000005</v>
      </c>
      <c r="B838" s="1">
        <f>DATE(2011,11,1) + TIME(0,14,10)</f>
        <v>40848.009837962964</v>
      </c>
      <c r="C838">
        <v>80</v>
      </c>
      <c r="D838">
        <v>79.919708252000007</v>
      </c>
      <c r="E838">
        <v>60</v>
      </c>
      <c r="F838">
        <v>64.390022278000004</v>
      </c>
      <c r="G838">
        <v>1330.9437256000001</v>
      </c>
      <c r="H838">
        <v>1331.0593262</v>
      </c>
      <c r="I838">
        <v>1332.3470459</v>
      </c>
      <c r="J838">
        <v>1331.6477050999999</v>
      </c>
      <c r="K838">
        <v>0</v>
      </c>
      <c r="L838">
        <v>550</v>
      </c>
      <c r="M838">
        <v>550</v>
      </c>
      <c r="N838">
        <v>0</v>
      </c>
    </row>
    <row r="839" spans="1:14" x14ac:dyDescent="0.25">
      <c r="A839">
        <v>549.02952400000004</v>
      </c>
      <c r="B839" s="1">
        <f>DATE(2011,11,1) + TIME(0,42,30)</f>
        <v>40848.029513888891</v>
      </c>
      <c r="C839">
        <v>80</v>
      </c>
      <c r="D839">
        <v>79.918144225999995</v>
      </c>
      <c r="E839">
        <v>60</v>
      </c>
      <c r="F839">
        <v>64.340881347999996</v>
      </c>
      <c r="G839">
        <v>1330.9346923999999</v>
      </c>
      <c r="H839">
        <v>1331.0489502</v>
      </c>
      <c r="I839">
        <v>1332.3505858999999</v>
      </c>
      <c r="J839">
        <v>1331.6511230000001</v>
      </c>
      <c r="K839">
        <v>0</v>
      </c>
      <c r="L839">
        <v>550</v>
      </c>
      <c r="M839">
        <v>550</v>
      </c>
      <c r="N839">
        <v>0</v>
      </c>
    </row>
    <row r="840" spans="1:14" x14ac:dyDescent="0.25">
      <c r="A840">
        <v>549.088573</v>
      </c>
      <c r="B840" s="1">
        <f>DATE(2011,11,1) + TIME(2,7,32)</f>
        <v>40848.088564814818</v>
      </c>
      <c r="C840">
        <v>80</v>
      </c>
      <c r="D840">
        <v>79.913467406999999</v>
      </c>
      <c r="E840">
        <v>60</v>
      </c>
      <c r="F840">
        <v>64.198539733999993</v>
      </c>
      <c r="G840">
        <v>1330.9326172000001</v>
      </c>
      <c r="H840">
        <v>1331.0443115</v>
      </c>
      <c r="I840">
        <v>1332.3486327999999</v>
      </c>
      <c r="J840">
        <v>1331.6496582</v>
      </c>
      <c r="K840">
        <v>0</v>
      </c>
      <c r="L840">
        <v>550</v>
      </c>
      <c r="M840">
        <v>550</v>
      </c>
      <c r="N840">
        <v>0</v>
      </c>
    </row>
    <row r="841" spans="1:14" x14ac:dyDescent="0.25">
      <c r="A841">
        <v>549.211769</v>
      </c>
      <c r="B841" s="1">
        <f>DATE(2011,11,1) + TIME(5,4,56)</f>
        <v>40848.211759259262</v>
      </c>
      <c r="C841">
        <v>80</v>
      </c>
      <c r="D841">
        <v>79.903732300000001</v>
      </c>
      <c r="E841">
        <v>60</v>
      </c>
      <c r="F841">
        <v>63.921447753999999</v>
      </c>
      <c r="G841">
        <v>1330.9299315999999</v>
      </c>
      <c r="H841">
        <v>1331.0349120999999</v>
      </c>
      <c r="I841">
        <v>1332.3497314000001</v>
      </c>
      <c r="J841">
        <v>1331.6501464999999</v>
      </c>
      <c r="K841">
        <v>0</v>
      </c>
      <c r="L841">
        <v>550</v>
      </c>
      <c r="M841">
        <v>550</v>
      </c>
      <c r="N841">
        <v>0</v>
      </c>
    </row>
    <row r="842" spans="1:14" x14ac:dyDescent="0.25">
      <c r="A842">
        <v>549.33791499999995</v>
      </c>
      <c r="B842" s="1">
        <f>DATE(2011,11,1) + TIME(8,6,35)</f>
        <v>40848.337905092594</v>
      </c>
      <c r="C842">
        <v>80</v>
      </c>
      <c r="D842">
        <v>79.893775939999998</v>
      </c>
      <c r="E842">
        <v>60</v>
      </c>
      <c r="F842">
        <v>63.654933929000002</v>
      </c>
      <c r="G842">
        <v>1330.9255370999999</v>
      </c>
      <c r="H842">
        <v>1331.0178223</v>
      </c>
      <c r="I842">
        <v>1332.3669434000001</v>
      </c>
      <c r="J842">
        <v>1331.6604004000001</v>
      </c>
      <c r="K842">
        <v>0</v>
      </c>
      <c r="L842">
        <v>550</v>
      </c>
      <c r="M842">
        <v>550</v>
      </c>
      <c r="N842">
        <v>0</v>
      </c>
    </row>
    <row r="843" spans="1:14" x14ac:dyDescent="0.25">
      <c r="A843">
        <v>549.46700599999997</v>
      </c>
      <c r="B843" s="1">
        <f>DATE(2011,11,1) + TIME(11,12,29)</f>
        <v>40848.467002314814</v>
      </c>
      <c r="C843">
        <v>80</v>
      </c>
      <c r="D843">
        <v>79.883590698000006</v>
      </c>
      <c r="E843">
        <v>60</v>
      </c>
      <c r="F843">
        <v>63.399055480999998</v>
      </c>
      <c r="G843">
        <v>1330.9211425999999</v>
      </c>
      <c r="H843">
        <v>1331.0008545000001</v>
      </c>
      <c r="I843">
        <v>1332.3858643000001</v>
      </c>
      <c r="J843">
        <v>1331.6715088000001</v>
      </c>
      <c r="K843">
        <v>0</v>
      </c>
      <c r="L843">
        <v>550</v>
      </c>
      <c r="M843">
        <v>550</v>
      </c>
      <c r="N843">
        <v>0</v>
      </c>
    </row>
    <row r="844" spans="1:14" x14ac:dyDescent="0.25">
      <c r="A844">
        <v>549.59916499999997</v>
      </c>
      <c r="B844" s="1">
        <f>DATE(2011,11,1) + TIME(14,22,47)</f>
        <v>40848.59915509259</v>
      </c>
      <c r="C844">
        <v>80</v>
      </c>
      <c r="D844">
        <v>79.873161315999994</v>
      </c>
      <c r="E844">
        <v>60</v>
      </c>
      <c r="F844">
        <v>63.153659820999998</v>
      </c>
      <c r="G844">
        <v>1330.9167480000001</v>
      </c>
      <c r="H844">
        <v>1330.9841309000001</v>
      </c>
      <c r="I844">
        <v>1332.4061279</v>
      </c>
      <c r="J844">
        <v>1331.6837158000001</v>
      </c>
      <c r="K844">
        <v>0</v>
      </c>
      <c r="L844">
        <v>550</v>
      </c>
      <c r="M844">
        <v>550</v>
      </c>
      <c r="N844">
        <v>0</v>
      </c>
    </row>
    <row r="845" spans="1:14" x14ac:dyDescent="0.25">
      <c r="A845">
        <v>549.73457099999996</v>
      </c>
      <c r="B845" s="1">
        <f>DATE(2011,11,1) + TIME(17,37,46)</f>
        <v>40848.734560185185</v>
      </c>
      <c r="C845">
        <v>80</v>
      </c>
      <c r="D845">
        <v>79.862472534000005</v>
      </c>
      <c r="E845">
        <v>60</v>
      </c>
      <c r="F845">
        <v>62.918518065999997</v>
      </c>
      <c r="G845">
        <v>1330.9125977000001</v>
      </c>
      <c r="H845">
        <v>1330.9675293</v>
      </c>
      <c r="I845">
        <v>1332.4278564000001</v>
      </c>
      <c r="J845">
        <v>1331.6967772999999</v>
      </c>
      <c r="K845">
        <v>0</v>
      </c>
      <c r="L845">
        <v>550</v>
      </c>
      <c r="M845">
        <v>550</v>
      </c>
      <c r="N845">
        <v>0</v>
      </c>
    </row>
    <row r="846" spans="1:14" x14ac:dyDescent="0.25">
      <c r="A846">
        <v>549.87341600000002</v>
      </c>
      <c r="B846" s="1">
        <f>DATE(2011,11,1) + TIME(20,57,43)</f>
        <v>40848.873414351852</v>
      </c>
      <c r="C846">
        <v>80</v>
      </c>
      <c r="D846">
        <v>79.851516724000007</v>
      </c>
      <c r="E846">
        <v>60</v>
      </c>
      <c r="F846">
        <v>62.693466186999999</v>
      </c>
      <c r="G846">
        <v>1330.9084473</v>
      </c>
      <c r="H846">
        <v>1330.9510498</v>
      </c>
      <c r="I846">
        <v>1332.4508057</v>
      </c>
      <c r="J846">
        <v>1331.7106934000001</v>
      </c>
      <c r="K846">
        <v>0</v>
      </c>
      <c r="L846">
        <v>550</v>
      </c>
      <c r="M846">
        <v>550</v>
      </c>
      <c r="N846">
        <v>0</v>
      </c>
    </row>
    <row r="847" spans="1:14" x14ac:dyDescent="0.25">
      <c r="A847">
        <v>550.01590499999998</v>
      </c>
      <c r="B847" s="1">
        <f>DATE(2011,11,2) + TIME(0,22,54)</f>
        <v>40849.015902777777</v>
      </c>
      <c r="C847">
        <v>80</v>
      </c>
      <c r="D847">
        <v>79.840263367000006</v>
      </c>
      <c r="E847">
        <v>60</v>
      </c>
      <c r="F847">
        <v>62.478355407999999</v>
      </c>
      <c r="G847">
        <v>1330.9042969</v>
      </c>
      <c r="H847">
        <v>1330.9346923999999</v>
      </c>
      <c r="I847">
        <v>1332.4750977000001</v>
      </c>
      <c r="J847">
        <v>1331.7253418</v>
      </c>
      <c r="K847">
        <v>0</v>
      </c>
      <c r="L847">
        <v>550</v>
      </c>
      <c r="M847">
        <v>550</v>
      </c>
      <c r="N847">
        <v>0</v>
      </c>
    </row>
    <row r="848" spans="1:14" x14ac:dyDescent="0.25">
      <c r="A848">
        <v>550.16227400000002</v>
      </c>
      <c r="B848" s="1">
        <f>DATE(2011,11,2) + TIME(3,53,40)</f>
        <v>40849.162268518521</v>
      </c>
      <c r="C848">
        <v>80</v>
      </c>
      <c r="D848">
        <v>79.828689574999999</v>
      </c>
      <c r="E848">
        <v>60</v>
      </c>
      <c r="F848">
        <v>62.273063659999998</v>
      </c>
      <c r="G848">
        <v>1330.9002685999999</v>
      </c>
      <c r="H848">
        <v>1330.9183350000001</v>
      </c>
      <c r="I848">
        <v>1332.5004882999999</v>
      </c>
      <c r="J848">
        <v>1331.7408447</v>
      </c>
      <c r="K848">
        <v>0</v>
      </c>
      <c r="L848">
        <v>550</v>
      </c>
      <c r="M848">
        <v>550</v>
      </c>
      <c r="N848">
        <v>0</v>
      </c>
    </row>
    <row r="849" spans="1:14" x14ac:dyDescent="0.25">
      <c r="A849">
        <v>550.31278699999996</v>
      </c>
      <c r="B849" s="1">
        <f>DATE(2011,11,2) + TIME(7,30,24)</f>
        <v>40849.312777777777</v>
      </c>
      <c r="C849">
        <v>80</v>
      </c>
      <c r="D849">
        <v>79.816787719999994</v>
      </c>
      <c r="E849">
        <v>60</v>
      </c>
      <c r="F849">
        <v>62.077468871999997</v>
      </c>
      <c r="G849">
        <v>1330.8962402</v>
      </c>
      <c r="H849">
        <v>1330.9020995999999</v>
      </c>
      <c r="I849">
        <v>1332.5269774999999</v>
      </c>
      <c r="J849">
        <v>1331.7569579999999</v>
      </c>
      <c r="K849">
        <v>0</v>
      </c>
      <c r="L849">
        <v>550</v>
      </c>
      <c r="M849">
        <v>550</v>
      </c>
      <c r="N849">
        <v>0</v>
      </c>
    </row>
    <row r="850" spans="1:14" x14ac:dyDescent="0.25">
      <c r="A850">
        <v>550.46775000000002</v>
      </c>
      <c r="B850" s="1">
        <f>DATE(2011,11,2) + TIME(11,13,33)</f>
        <v>40849.467743055553</v>
      </c>
      <c r="C850">
        <v>80</v>
      </c>
      <c r="D850">
        <v>79.804489136000001</v>
      </c>
      <c r="E850">
        <v>60</v>
      </c>
      <c r="F850">
        <v>61.891448975000003</v>
      </c>
      <c r="G850">
        <v>1330.8896483999999</v>
      </c>
      <c r="H850">
        <v>1330.8869629000001</v>
      </c>
      <c r="I850">
        <v>1332.5544434000001</v>
      </c>
      <c r="J850">
        <v>1331.7738036999999</v>
      </c>
      <c r="K850">
        <v>0</v>
      </c>
      <c r="L850">
        <v>550</v>
      </c>
      <c r="M850">
        <v>550</v>
      </c>
      <c r="N850">
        <v>0</v>
      </c>
    </row>
    <row r="851" spans="1:14" x14ac:dyDescent="0.25">
      <c r="A851">
        <v>550.62750800000003</v>
      </c>
      <c r="B851" s="1">
        <f>DATE(2011,11,2) + TIME(15,3,36)</f>
        <v>40849.627500000002</v>
      </c>
      <c r="C851">
        <v>80</v>
      </c>
      <c r="D851">
        <v>79.791763306000007</v>
      </c>
      <c r="E851">
        <v>60</v>
      </c>
      <c r="F851">
        <v>61.714893341</v>
      </c>
      <c r="G851">
        <v>1330.8808594</v>
      </c>
      <c r="H851">
        <v>1330.8728027</v>
      </c>
      <c r="I851">
        <v>1332.5827637</v>
      </c>
      <c r="J851">
        <v>1331.7911377</v>
      </c>
      <c r="K851">
        <v>0</v>
      </c>
      <c r="L851">
        <v>550</v>
      </c>
      <c r="M851">
        <v>550</v>
      </c>
      <c r="N851">
        <v>0</v>
      </c>
    </row>
    <row r="852" spans="1:14" x14ac:dyDescent="0.25">
      <c r="A852">
        <v>550.79246000000001</v>
      </c>
      <c r="B852" s="1">
        <f>DATE(2011,11,2) + TIME(19,1,8)</f>
        <v>40849.792453703703</v>
      </c>
      <c r="C852">
        <v>80</v>
      </c>
      <c r="D852">
        <v>79.778564453000001</v>
      </c>
      <c r="E852">
        <v>60</v>
      </c>
      <c r="F852">
        <v>61.547698975000003</v>
      </c>
      <c r="G852">
        <v>1330.8720702999999</v>
      </c>
      <c r="H852">
        <v>1330.8586425999999</v>
      </c>
      <c r="I852">
        <v>1332.6120605000001</v>
      </c>
      <c r="J852">
        <v>1331.809082</v>
      </c>
      <c r="K852">
        <v>0</v>
      </c>
      <c r="L852">
        <v>550</v>
      </c>
      <c r="M852">
        <v>550</v>
      </c>
      <c r="N852">
        <v>0</v>
      </c>
    </row>
    <row r="853" spans="1:14" x14ac:dyDescent="0.25">
      <c r="A853">
        <v>550.96306500000003</v>
      </c>
      <c r="B853" s="1">
        <f>DATE(2011,11,2) + TIME(23,6,48)</f>
        <v>40849.963055555556</v>
      </c>
      <c r="C853">
        <v>80</v>
      </c>
      <c r="D853">
        <v>79.764854431000003</v>
      </c>
      <c r="E853">
        <v>60</v>
      </c>
      <c r="F853">
        <v>61.389751433999997</v>
      </c>
      <c r="G853">
        <v>1330.8632812000001</v>
      </c>
      <c r="H853">
        <v>1330.8444824000001</v>
      </c>
      <c r="I853">
        <v>1332.6419678</v>
      </c>
      <c r="J853">
        <v>1331.8275146000001</v>
      </c>
      <c r="K853">
        <v>0</v>
      </c>
      <c r="L853">
        <v>550</v>
      </c>
      <c r="M853">
        <v>550</v>
      </c>
      <c r="N853">
        <v>0</v>
      </c>
    </row>
    <row r="854" spans="1:14" x14ac:dyDescent="0.25">
      <c r="A854">
        <v>551.13982799999997</v>
      </c>
      <c r="B854" s="1">
        <f>DATE(2011,11,3) + TIME(3,21,21)</f>
        <v>40850.139826388891</v>
      </c>
      <c r="C854">
        <v>80</v>
      </c>
      <c r="D854">
        <v>79.750587463000002</v>
      </c>
      <c r="E854">
        <v>60</v>
      </c>
      <c r="F854">
        <v>61.240962981999999</v>
      </c>
      <c r="G854">
        <v>1330.8543701000001</v>
      </c>
      <c r="H854">
        <v>1330.8303223</v>
      </c>
      <c r="I854">
        <v>1332.6727295000001</v>
      </c>
      <c r="J854">
        <v>1331.8464355000001</v>
      </c>
      <c r="K854">
        <v>0</v>
      </c>
      <c r="L854">
        <v>550</v>
      </c>
      <c r="M854">
        <v>550</v>
      </c>
      <c r="N854">
        <v>0</v>
      </c>
    </row>
    <row r="855" spans="1:14" x14ac:dyDescent="0.25">
      <c r="A855">
        <v>551.32336399999997</v>
      </c>
      <c r="B855" s="1">
        <f>DATE(2011,11,3) + TIME(7,45,38)</f>
        <v>40850.32335648148</v>
      </c>
      <c r="C855">
        <v>80</v>
      </c>
      <c r="D855">
        <v>79.735618591000005</v>
      </c>
      <c r="E855">
        <v>60</v>
      </c>
      <c r="F855">
        <v>61.101219176999997</v>
      </c>
      <c r="G855">
        <v>1330.8454589999999</v>
      </c>
      <c r="H855">
        <v>1330.815918</v>
      </c>
      <c r="I855">
        <v>1332.7039795000001</v>
      </c>
      <c r="J855">
        <v>1331.8657227000001</v>
      </c>
      <c r="K855">
        <v>0</v>
      </c>
      <c r="L855">
        <v>550</v>
      </c>
      <c r="M855">
        <v>550</v>
      </c>
      <c r="N855">
        <v>0</v>
      </c>
    </row>
    <row r="856" spans="1:14" x14ac:dyDescent="0.25">
      <c r="A856">
        <v>551.51431000000002</v>
      </c>
      <c r="B856" s="1">
        <f>DATE(2011,11,3) + TIME(12,20,36)</f>
        <v>40850.514305555553</v>
      </c>
      <c r="C856">
        <v>80</v>
      </c>
      <c r="D856">
        <v>79.719894409000005</v>
      </c>
      <c r="E856">
        <v>60</v>
      </c>
      <c r="F856">
        <v>60.970436096</v>
      </c>
      <c r="G856">
        <v>1330.8364257999999</v>
      </c>
      <c r="H856">
        <v>1330.8015137</v>
      </c>
      <c r="I856">
        <v>1332.7357178</v>
      </c>
      <c r="J856">
        <v>1331.8854980000001</v>
      </c>
      <c r="K856">
        <v>0</v>
      </c>
      <c r="L856">
        <v>550</v>
      </c>
      <c r="M856">
        <v>550</v>
      </c>
      <c r="N856">
        <v>0</v>
      </c>
    </row>
    <row r="857" spans="1:14" x14ac:dyDescent="0.25">
      <c r="A857">
        <v>551.71277299999997</v>
      </c>
      <c r="B857" s="1">
        <f>DATE(2011,11,3) + TIME(17,6,23)</f>
        <v>40850.712766203702</v>
      </c>
      <c r="C857">
        <v>80</v>
      </c>
      <c r="D857">
        <v>79.703384399000001</v>
      </c>
      <c r="E857">
        <v>60</v>
      </c>
      <c r="F857">
        <v>60.848869323999999</v>
      </c>
      <c r="G857">
        <v>1330.8273925999999</v>
      </c>
      <c r="H857">
        <v>1330.7869873</v>
      </c>
      <c r="I857">
        <v>1332.7680664</v>
      </c>
      <c r="J857">
        <v>1331.9055175999999</v>
      </c>
      <c r="K857">
        <v>0</v>
      </c>
      <c r="L857">
        <v>550</v>
      </c>
      <c r="M857">
        <v>550</v>
      </c>
      <c r="N857">
        <v>0</v>
      </c>
    </row>
    <row r="858" spans="1:14" x14ac:dyDescent="0.25">
      <c r="A858">
        <v>551.919398</v>
      </c>
      <c r="B858" s="1">
        <f>DATE(2011,11,3) + TIME(22,3,55)</f>
        <v>40850.919386574074</v>
      </c>
      <c r="C858">
        <v>80</v>
      </c>
      <c r="D858">
        <v>79.686027526999993</v>
      </c>
      <c r="E858">
        <v>60</v>
      </c>
      <c r="F858">
        <v>60.736392975000001</v>
      </c>
      <c r="G858">
        <v>1330.8181152</v>
      </c>
      <c r="H858">
        <v>1330.7722168</v>
      </c>
      <c r="I858">
        <v>1332.8006591999999</v>
      </c>
      <c r="J858">
        <v>1331.9257812000001</v>
      </c>
      <c r="K858">
        <v>0</v>
      </c>
      <c r="L858">
        <v>550</v>
      </c>
      <c r="M858">
        <v>550</v>
      </c>
      <c r="N858">
        <v>0</v>
      </c>
    </row>
    <row r="859" spans="1:14" x14ac:dyDescent="0.25">
      <c r="A859">
        <v>552.13491099999999</v>
      </c>
      <c r="B859" s="1">
        <f>DATE(2011,11,4) + TIME(3,14,16)</f>
        <v>40851.13490740741</v>
      </c>
      <c r="C859">
        <v>80</v>
      </c>
      <c r="D859">
        <v>79.667724609000004</v>
      </c>
      <c r="E859">
        <v>60</v>
      </c>
      <c r="F859">
        <v>60.632865905999999</v>
      </c>
      <c r="G859">
        <v>1330.8087158000001</v>
      </c>
      <c r="H859">
        <v>1330.7573242000001</v>
      </c>
      <c r="I859">
        <v>1332.833374</v>
      </c>
      <c r="J859">
        <v>1331.9461670000001</v>
      </c>
      <c r="K859">
        <v>0</v>
      </c>
      <c r="L859">
        <v>550</v>
      </c>
      <c r="M859">
        <v>550</v>
      </c>
      <c r="N859">
        <v>0</v>
      </c>
    </row>
    <row r="860" spans="1:14" x14ac:dyDescent="0.25">
      <c r="A860">
        <v>552.36014</v>
      </c>
      <c r="B860" s="1">
        <f>DATE(2011,11,4) + TIME(8,38,36)</f>
        <v>40851.360138888886</v>
      </c>
      <c r="C860">
        <v>80</v>
      </c>
      <c r="D860">
        <v>79.648399353000002</v>
      </c>
      <c r="E860">
        <v>60</v>
      </c>
      <c r="F860">
        <v>60.538108825999998</v>
      </c>
      <c r="G860">
        <v>1330.7991943</v>
      </c>
      <c r="H860">
        <v>1330.7421875</v>
      </c>
      <c r="I860">
        <v>1332.8660889</v>
      </c>
      <c r="J860">
        <v>1331.9666748</v>
      </c>
      <c r="K860">
        <v>0</v>
      </c>
      <c r="L860">
        <v>550</v>
      </c>
      <c r="M860">
        <v>550</v>
      </c>
      <c r="N860">
        <v>0</v>
      </c>
    </row>
    <row r="861" spans="1:14" x14ac:dyDescent="0.25">
      <c r="A861">
        <v>552.59602700000005</v>
      </c>
      <c r="B861" s="1">
        <f>DATE(2011,11,4) + TIME(14,18,16)</f>
        <v>40851.596018518518</v>
      </c>
      <c r="C861">
        <v>80</v>
      </c>
      <c r="D861">
        <v>79.627929687999995</v>
      </c>
      <c r="E861">
        <v>60</v>
      </c>
      <c r="F861">
        <v>60.451915741000001</v>
      </c>
      <c r="G861">
        <v>1330.7895507999999</v>
      </c>
      <c r="H861">
        <v>1330.7268065999999</v>
      </c>
      <c r="I861">
        <v>1332.8988036999999</v>
      </c>
      <c r="J861">
        <v>1331.9870605000001</v>
      </c>
      <c r="K861">
        <v>0</v>
      </c>
      <c r="L861">
        <v>550</v>
      </c>
      <c r="M861">
        <v>550</v>
      </c>
      <c r="N861">
        <v>0</v>
      </c>
    </row>
    <row r="862" spans="1:14" x14ac:dyDescent="0.25">
      <c r="A862">
        <v>552.84359900000004</v>
      </c>
      <c r="B862" s="1">
        <f>DATE(2011,11,4) + TIME(20,14,46)</f>
        <v>40851.843587962961</v>
      </c>
      <c r="C862">
        <v>80</v>
      </c>
      <c r="D862">
        <v>79.606216431000007</v>
      </c>
      <c r="E862">
        <v>60</v>
      </c>
      <c r="F862">
        <v>60.374053955000001</v>
      </c>
      <c r="G862">
        <v>1330.7795410000001</v>
      </c>
      <c r="H862">
        <v>1330.7111815999999</v>
      </c>
      <c r="I862">
        <v>1332.9312743999999</v>
      </c>
      <c r="J862">
        <v>1332.0075684000001</v>
      </c>
      <c r="K862">
        <v>0</v>
      </c>
      <c r="L862">
        <v>550</v>
      </c>
      <c r="M862">
        <v>550</v>
      </c>
      <c r="N862">
        <v>0</v>
      </c>
    </row>
    <row r="863" spans="1:14" x14ac:dyDescent="0.25">
      <c r="A863">
        <v>553.10414300000002</v>
      </c>
      <c r="B863" s="1">
        <f>DATE(2011,11,5) + TIME(2,29,57)</f>
        <v>40852.104131944441</v>
      </c>
      <c r="C863">
        <v>80</v>
      </c>
      <c r="D863">
        <v>79.583099364999995</v>
      </c>
      <c r="E863">
        <v>60</v>
      </c>
      <c r="F863">
        <v>60.304233551000003</v>
      </c>
      <c r="G863">
        <v>1330.7694091999999</v>
      </c>
      <c r="H863">
        <v>1330.6951904</v>
      </c>
      <c r="I863">
        <v>1332.963501</v>
      </c>
      <c r="J863">
        <v>1332.0277100000001</v>
      </c>
      <c r="K863">
        <v>0</v>
      </c>
      <c r="L863">
        <v>550</v>
      </c>
      <c r="M863">
        <v>550</v>
      </c>
      <c r="N863">
        <v>0</v>
      </c>
    </row>
    <row r="864" spans="1:14" x14ac:dyDescent="0.25">
      <c r="A864">
        <v>553.37910899999997</v>
      </c>
      <c r="B864" s="1">
        <f>DATE(2011,11,5) + TIME(9,5,55)</f>
        <v>40852.379108796296</v>
      </c>
      <c r="C864">
        <v>80</v>
      </c>
      <c r="D864">
        <v>79.558418274000005</v>
      </c>
      <c r="E864">
        <v>60</v>
      </c>
      <c r="F864">
        <v>60.242130279999998</v>
      </c>
      <c r="G864">
        <v>1330.7589111</v>
      </c>
      <c r="H864">
        <v>1330.6788329999999</v>
      </c>
      <c r="I864">
        <v>1332.9951172000001</v>
      </c>
      <c r="J864">
        <v>1332.0477295000001</v>
      </c>
      <c r="K864">
        <v>0</v>
      </c>
      <c r="L864">
        <v>550</v>
      </c>
      <c r="M864">
        <v>550</v>
      </c>
      <c r="N864">
        <v>0</v>
      </c>
    </row>
    <row r="865" spans="1:14" x14ac:dyDescent="0.25">
      <c r="A865">
        <v>553.67021799999998</v>
      </c>
      <c r="B865" s="1">
        <f>DATE(2011,11,5) + TIME(16,5,6)</f>
        <v>40852.670208333337</v>
      </c>
      <c r="C865">
        <v>80</v>
      </c>
      <c r="D865">
        <v>79.531982421999999</v>
      </c>
      <c r="E865">
        <v>60</v>
      </c>
      <c r="F865">
        <v>60.187423705999997</v>
      </c>
      <c r="G865">
        <v>1330.7480469</v>
      </c>
      <c r="H865">
        <v>1330.6618652</v>
      </c>
      <c r="I865">
        <v>1333.0234375</v>
      </c>
      <c r="J865">
        <v>1332.0656738</v>
      </c>
      <c r="K865">
        <v>0</v>
      </c>
      <c r="L865">
        <v>550</v>
      </c>
      <c r="M865">
        <v>550</v>
      </c>
      <c r="N865">
        <v>0</v>
      </c>
    </row>
    <row r="866" spans="1:14" x14ac:dyDescent="0.25">
      <c r="A866">
        <v>553.98019299999999</v>
      </c>
      <c r="B866" s="1">
        <f>DATE(2011,11,5) + TIME(23,31,28)</f>
        <v>40852.980185185188</v>
      </c>
      <c r="C866">
        <v>80</v>
      </c>
      <c r="D866">
        <v>79.503433228000006</v>
      </c>
      <c r="E866">
        <v>60</v>
      </c>
      <c r="F866">
        <v>60.139606475999997</v>
      </c>
      <c r="G866">
        <v>1330.7366943</v>
      </c>
      <c r="H866">
        <v>1330.6445312000001</v>
      </c>
      <c r="I866">
        <v>1333.0511475000001</v>
      </c>
      <c r="J866">
        <v>1332.0832519999999</v>
      </c>
      <c r="K866">
        <v>0</v>
      </c>
      <c r="L866">
        <v>550</v>
      </c>
      <c r="M866">
        <v>550</v>
      </c>
      <c r="N866">
        <v>0</v>
      </c>
    </row>
    <row r="867" spans="1:14" x14ac:dyDescent="0.25">
      <c r="A867">
        <v>554.31154000000004</v>
      </c>
      <c r="B867" s="1">
        <f>DATE(2011,11,6) + TIME(7,28,37)</f>
        <v>40853.311539351853</v>
      </c>
      <c r="C867">
        <v>80</v>
      </c>
      <c r="D867">
        <v>79.472427367999998</v>
      </c>
      <c r="E867">
        <v>60</v>
      </c>
      <c r="F867">
        <v>60.098300934000001</v>
      </c>
      <c r="G867">
        <v>1330.7249756000001</v>
      </c>
      <c r="H867">
        <v>1330.6264647999999</v>
      </c>
      <c r="I867">
        <v>1333.0770264</v>
      </c>
      <c r="J867">
        <v>1332.0996094</v>
      </c>
      <c r="K867">
        <v>0</v>
      </c>
      <c r="L867">
        <v>550</v>
      </c>
      <c r="M867">
        <v>550</v>
      </c>
      <c r="N867">
        <v>0</v>
      </c>
    </row>
    <row r="868" spans="1:14" x14ac:dyDescent="0.25">
      <c r="A868">
        <v>554.66763400000002</v>
      </c>
      <c r="B868" s="1">
        <f>DATE(2011,11,6) + TIME(16,1,23)</f>
        <v>40853.667627314811</v>
      </c>
      <c r="C868">
        <v>80</v>
      </c>
      <c r="D868">
        <v>79.438568114999995</v>
      </c>
      <c r="E868">
        <v>60</v>
      </c>
      <c r="F868">
        <v>60.063041687000002</v>
      </c>
      <c r="G868">
        <v>1330.7125243999999</v>
      </c>
      <c r="H868">
        <v>1330.6077881000001</v>
      </c>
      <c r="I868">
        <v>1333.0994873</v>
      </c>
      <c r="J868">
        <v>1332.1138916</v>
      </c>
      <c r="K868">
        <v>0</v>
      </c>
      <c r="L868">
        <v>550</v>
      </c>
      <c r="M868">
        <v>550</v>
      </c>
      <c r="N868">
        <v>0</v>
      </c>
    </row>
    <row r="869" spans="1:14" x14ac:dyDescent="0.25">
      <c r="A869">
        <v>555.05318</v>
      </c>
      <c r="B869" s="1">
        <f>DATE(2011,11,7) + TIME(1,16,34)</f>
        <v>40854.053171296298</v>
      </c>
      <c r="C869">
        <v>80</v>
      </c>
      <c r="D869">
        <v>79.401329040999997</v>
      </c>
      <c r="E869">
        <v>60</v>
      </c>
      <c r="F869">
        <v>60.033313751000001</v>
      </c>
      <c r="G869">
        <v>1330.6994629000001</v>
      </c>
      <c r="H869">
        <v>1330.5881348</v>
      </c>
      <c r="I869">
        <v>1333.1212158000001</v>
      </c>
      <c r="J869">
        <v>1332.1278076000001</v>
      </c>
      <c r="K869">
        <v>0</v>
      </c>
      <c r="L869">
        <v>550</v>
      </c>
      <c r="M869">
        <v>550</v>
      </c>
      <c r="N869">
        <v>0</v>
      </c>
    </row>
    <row r="870" spans="1:14" x14ac:dyDescent="0.25">
      <c r="A870">
        <v>555.45087699999999</v>
      </c>
      <c r="B870" s="1">
        <f>DATE(2011,11,7) + TIME(10,49,15)</f>
        <v>40854.450868055559</v>
      </c>
      <c r="C870">
        <v>80</v>
      </c>
      <c r="D870">
        <v>79.362213135000005</v>
      </c>
      <c r="E870">
        <v>60</v>
      </c>
      <c r="F870">
        <v>60.009662628000001</v>
      </c>
      <c r="G870">
        <v>1330.6857910000001</v>
      </c>
      <c r="H870">
        <v>1330.5676269999999</v>
      </c>
      <c r="I870">
        <v>1333.1422118999999</v>
      </c>
      <c r="J870">
        <v>1332.1413574000001</v>
      </c>
      <c r="K870">
        <v>0</v>
      </c>
      <c r="L870">
        <v>550</v>
      </c>
      <c r="M870">
        <v>550</v>
      </c>
      <c r="N870">
        <v>0</v>
      </c>
    </row>
    <row r="871" spans="1:14" x14ac:dyDescent="0.25">
      <c r="A871">
        <v>555.84981700000003</v>
      </c>
      <c r="B871" s="1">
        <f>DATE(2011,11,7) + TIME(20,23,44)</f>
        <v>40854.849814814814</v>
      </c>
      <c r="C871">
        <v>80</v>
      </c>
      <c r="D871">
        <v>79.322242736999996</v>
      </c>
      <c r="E871">
        <v>60</v>
      </c>
      <c r="F871">
        <v>59.991416931000003</v>
      </c>
      <c r="G871">
        <v>1330.671875</v>
      </c>
      <c r="H871">
        <v>1330.5469971</v>
      </c>
      <c r="I871">
        <v>1333.1582031</v>
      </c>
      <c r="J871">
        <v>1332.1517334</v>
      </c>
      <c r="K871">
        <v>0</v>
      </c>
      <c r="L871">
        <v>550</v>
      </c>
      <c r="M871">
        <v>550</v>
      </c>
      <c r="N871">
        <v>0</v>
      </c>
    </row>
    <row r="872" spans="1:14" x14ac:dyDescent="0.25">
      <c r="A872">
        <v>556.25355500000001</v>
      </c>
      <c r="B872" s="1">
        <f>DATE(2011,11,8) + TIME(6,5,7)</f>
        <v>40855.253553240742</v>
      </c>
      <c r="C872">
        <v>80</v>
      </c>
      <c r="D872">
        <v>79.281059264999996</v>
      </c>
      <c r="E872">
        <v>60</v>
      </c>
      <c r="F872">
        <v>59.977275847999998</v>
      </c>
      <c r="G872">
        <v>1330.6580810999999</v>
      </c>
      <c r="H872">
        <v>1330.5268555</v>
      </c>
      <c r="I872">
        <v>1333.1715088000001</v>
      </c>
      <c r="J872">
        <v>1332.1604004000001</v>
      </c>
      <c r="K872">
        <v>0</v>
      </c>
      <c r="L872">
        <v>550</v>
      </c>
      <c r="M872">
        <v>550</v>
      </c>
      <c r="N872">
        <v>0</v>
      </c>
    </row>
    <row r="873" spans="1:14" x14ac:dyDescent="0.25">
      <c r="A873">
        <v>556.66414299999997</v>
      </c>
      <c r="B873" s="1">
        <f>DATE(2011,11,8) + TIME(15,56,21)</f>
        <v>40855.664131944446</v>
      </c>
      <c r="C873">
        <v>80</v>
      </c>
      <c r="D873">
        <v>79.238433838000006</v>
      </c>
      <c r="E873">
        <v>60</v>
      </c>
      <c r="F873">
        <v>59.966331482000001</v>
      </c>
      <c r="G873">
        <v>1330.6445312000001</v>
      </c>
      <c r="H873">
        <v>1330.5067139</v>
      </c>
      <c r="I873">
        <v>1333.1832274999999</v>
      </c>
      <c r="J873">
        <v>1332.1682129000001</v>
      </c>
      <c r="K873">
        <v>0</v>
      </c>
      <c r="L873">
        <v>550</v>
      </c>
      <c r="M873">
        <v>550</v>
      </c>
      <c r="N873">
        <v>0</v>
      </c>
    </row>
    <row r="874" spans="1:14" x14ac:dyDescent="0.25">
      <c r="A874">
        <v>557.08350299999995</v>
      </c>
      <c r="B874" s="1">
        <f>DATE(2011,11,9) + TIME(2,0,14)</f>
        <v>40856.083495370367</v>
      </c>
      <c r="C874">
        <v>80</v>
      </c>
      <c r="D874">
        <v>79.194152832</v>
      </c>
      <c r="E874">
        <v>60</v>
      </c>
      <c r="F874">
        <v>59.957881927000003</v>
      </c>
      <c r="G874">
        <v>1330.6308594</v>
      </c>
      <c r="H874">
        <v>1330.4868164</v>
      </c>
      <c r="I874">
        <v>1333.1937256000001</v>
      </c>
      <c r="J874">
        <v>1332.1751709</v>
      </c>
      <c r="K874">
        <v>0</v>
      </c>
      <c r="L874">
        <v>550</v>
      </c>
      <c r="M874">
        <v>550</v>
      </c>
      <c r="N874">
        <v>0</v>
      </c>
    </row>
    <row r="875" spans="1:14" x14ac:dyDescent="0.25">
      <c r="A875">
        <v>557.51370399999996</v>
      </c>
      <c r="B875" s="1">
        <f>DATE(2011,11,9) + TIME(12,19,44)</f>
        <v>40856.513703703706</v>
      </c>
      <c r="C875">
        <v>80</v>
      </c>
      <c r="D875">
        <v>79.147956848000007</v>
      </c>
      <c r="E875">
        <v>60</v>
      </c>
      <c r="F875">
        <v>59.951370238999999</v>
      </c>
      <c r="G875">
        <v>1330.6173096</v>
      </c>
      <c r="H875">
        <v>1330.4669189000001</v>
      </c>
      <c r="I875">
        <v>1333.2028809000001</v>
      </c>
      <c r="J875">
        <v>1332.1813964999999</v>
      </c>
      <c r="K875">
        <v>0</v>
      </c>
      <c r="L875">
        <v>550</v>
      </c>
      <c r="M875">
        <v>550</v>
      </c>
      <c r="N875">
        <v>0</v>
      </c>
    </row>
    <row r="876" spans="1:14" x14ac:dyDescent="0.25">
      <c r="A876">
        <v>557.95697800000005</v>
      </c>
      <c r="B876" s="1">
        <f>DATE(2011,11,9) + TIME(22,58,2)</f>
        <v>40856.956967592596</v>
      </c>
      <c r="C876">
        <v>80</v>
      </c>
      <c r="D876">
        <v>79.099571228000002</v>
      </c>
      <c r="E876">
        <v>60</v>
      </c>
      <c r="F876">
        <v>59.946380615000002</v>
      </c>
      <c r="G876">
        <v>1330.6036377</v>
      </c>
      <c r="H876">
        <v>1330.4470214999999</v>
      </c>
      <c r="I876">
        <v>1333.2109375</v>
      </c>
      <c r="J876">
        <v>1332.1870117000001</v>
      </c>
      <c r="K876">
        <v>0</v>
      </c>
      <c r="L876">
        <v>550</v>
      </c>
      <c r="M876">
        <v>550</v>
      </c>
      <c r="N876">
        <v>0</v>
      </c>
    </row>
    <row r="877" spans="1:14" x14ac:dyDescent="0.25">
      <c r="A877">
        <v>558.417416</v>
      </c>
      <c r="B877" s="1">
        <f>DATE(2011,11,10) + TIME(10,1,4)</f>
        <v>40857.417407407411</v>
      </c>
      <c r="C877">
        <v>80</v>
      </c>
      <c r="D877">
        <v>79.048500060999999</v>
      </c>
      <c r="E877">
        <v>60</v>
      </c>
      <c r="F877">
        <v>59.942554473999998</v>
      </c>
      <c r="G877">
        <v>1330.5898437999999</v>
      </c>
      <c r="H877">
        <v>1330.4270019999999</v>
      </c>
      <c r="I877">
        <v>1333.2174072</v>
      </c>
      <c r="J877">
        <v>1332.1915283000001</v>
      </c>
      <c r="K877">
        <v>0</v>
      </c>
      <c r="L877">
        <v>550</v>
      </c>
      <c r="M877">
        <v>550</v>
      </c>
      <c r="N877">
        <v>0</v>
      </c>
    </row>
    <row r="878" spans="1:14" x14ac:dyDescent="0.25">
      <c r="A878">
        <v>558.89845200000002</v>
      </c>
      <c r="B878" s="1">
        <f>DATE(2011,11,10) + TIME(21,33,46)</f>
        <v>40857.898449074077</v>
      </c>
      <c r="C878">
        <v>80</v>
      </c>
      <c r="D878">
        <v>78.994308472</v>
      </c>
      <c r="E878">
        <v>60</v>
      </c>
      <c r="F878">
        <v>59.939632416000002</v>
      </c>
      <c r="G878">
        <v>1330.5756836</v>
      </c>
      <c r="H878">
        <v>1330.4066161999999</v>
      </c>
      <c r="I878">
        <v>1333.2211914</v>
      </c>
      <c r="J878">
        <v>1332.1945800999999</v>
      </c>
      <c r="K878">
        <v>0</v>
      </c>
      <c r="L878">
        <v>550</v>
      </c>
      <c r="M878">
        <v>550</v>
      </c>
      <c r="N878">
        <v>0</v>
      </c>
    </row>
    <row r="879" spans="1:14" x14ac:dyDescent="0.25">
      <c r="A879">
        <v>559.40443800000003</v>
      </c>
      <c r="B879" s="1">
        <f>DATE(2011,11,11) + TIME(9,42,23)</f>
        <v>40858.404432870368</v>
      </c>
      <c r="C879">
        <v>80</v>
      </c>
      <c r="D879">
        <v>78.936431885000005</v>
      </c>
      <c r="E879">
        <v>60</v>
      </c>
      <c r="F879">
        <v>59.937408447000003</v>
      </c>
      <c r="G879">
        <v>1330.5612793</v>
      </c>
      <c r="H879">
        <v>1330.3859863</v>
      </c>
      <c r="I879">
        <v>1333.2246094</v>
      </c>
      <c r="J879">
        <v>1332.1972656</v>
      </c>
      <c r="K879">
        <v>0</v>
      </c>
      <c r="L879">
        <v>550</v>
      </c>
      <c r="M879">
        <v>550</v>
      </c>
      <c r="N879">
        <v>0</v>
      </c>
    </row>
    <row r="880" spans="1:14" x14ac:dyDescent="0.25">
      <c r="A880">
        <v>559.93981299999996</v>
      </c>
      <c r="B880" s="1">
        <f>DATE(2011,11,11) + TIME(22,33,19)</f>
        <v>40858.939803240741</v>
      </c>
      <c r="C880">
        <v>80</v>
      </c>
      <c r="D880">
        <v>78.874259949000006</v>
      </c>
      <c r="E880">
        <v>60</v>
      </c>
      <c r="F880">
        <v>59.935733794999997</v>
      </c>
      <c r="G880">
        <v>1330.5465088000001</v>
      </c>
      <c r="H880">
        <v>1330.3647461</v>
      </c>
      <c r="I880">
        <v>1333.2274170000001</v>
      </c>
      <c r="J880">
        <v>1332.1995850000001</v>
      </c>
      <c r="K880">
        <v>0</v>
      </c>
      <c r="L880">
        <v>550</v>
      </c>
      <c r="M880">
        <v>550</v>
      </c>
      <c r="N880">
        <v>0</v>
      </c>
    </row>
    <row r="881" spans="1:14" x14ac:dyDescent="0.25">
      <c r="A881">
        <v>560.498335</v>
      </c>
      <c r="B881" s="1">
        <f>DATE(2011,11,12) + TIME(11,57,36)</f>
        <v>40859.498333333337</v>
      </c>
      <c r="C881">
        <v>80</v>
      </c>
      <c r="D881">
        <v>78.808326721</v>
      </c>
      <c r="E881">
        <v>60</v>
      </c>
      <c r="F881">
        <v>59.934494018999999</v>
      </c>
      <c r="G881">
        <v>1330.53125</v>
      </c>
      <c r="H881">
        <v>1330.3428954999999</v>
      </c>
      <c r="I881">
        <v>1333.2298584</v>
      </c>
      <c r="J881">
        <v>1332.2017822</v>
      </c>
      <c r="K881">
        <v>0</v>
      </c>
      <c r="L881">
        <v>550</v>
      </c>
      <c r="M881">
        <v>550</v>
      </c>
      <c r="N881">
        <v>0</v>
      </c>
    </row>
    <row r="882" spans="1:14" x14ac:dyDescent="0.25">
      <c r="A882">
        <v>561.07868900000005</v>
      </c>
      <c r="B882" s="1">
        <f>DATE(2011,11,13) + TIME(1,53,18)</f>
        <v>40860.078680555554</v>
      </c>
      <c r="C882">
        <v>80</v>
      </c>
      <c r="D882">
        <v>78.738647460999999</v>
      </c>
      <c r="E882">
        <v>60</v>
      </c>
      <c r="F882">
        <v>59.933589935000001</v>
      </c>
      <c r="G882">
        <v>1330.515625</v>
      </c>
      <c r="H882">
        <v>1330.3206786999999</v>
      </c>
      <c r="I882">
        <v>1333.2316894999999</v>
      </c>
      <c r="J882">
        <v>1332.2037353999999</v>
      </c>
      <c r="K882">
        <v>0</v>
      </c>
      <c r="L882">
        <v>550</v>
      </c>
      <c r="M882">
        <v>550</v>
      </c>
      <c r="N882">
        <v>0</v>
      </c>
    </row>
    <row r="883" spans="1:14" x14ac:dyDescent="0.25">
      <c r="A883">
        <v>561.68442400000004</v>
      </c>
      <c r="B883" s="1">
        <f>DATE(2011,11,13) + TIME(16,25,34)</f>
        <v>40860.684421296297</v>
      </c>
      <c r="C883">
        <v>80</v>
      </c>
      <c r="D883">
        <v>78.664703368999994</v>
      </c>
      <c r="E883">
        <v>60</v>
      </c>
      <c r="F883">
        <v>59.932926178000002</v>
      </c>
      <c r="G883">
        <v>1330.4998779</v>
      </c>
      <c r="H883">
        <v>1330.2982178</v>
      </c>
      <c r="I883">
        <v>1333.2330322</v>
      </c>
      <c r="J883">
        <v>1332.2053223</v>
      </c>
      <c r="K883">
        <v>0</v>
      </c>
      <c r="L883">
        <v>550</v>
      </c>
      <c r="M883">
        <v>550</v>
      </c>
      <c r="N883">
        <v>0</v>
      </c>
    </row>
    <row r="884" spans="1:14" x14ac:dyDescent="0.25">
      <c r="A884">
        <v>562.31932300000005</v>
      </c>
      <c r="B884" s="1">
        <f>DATE(2011,11,14) + TIME(7,39,49)</f>
        <v>40861.31931712963</v>
      </c>
      <c r="C884">
        <v>80</v>
      </c>
      <c r="D884">
        <v>78.585914611999996</v>
      </c>
      <c r="E884">
        <v>60</v>
      </c>
      <c r="F884">
        <v>59.932437897</v>
      </c>
      <c r="G884">
        <v>1330.4837646000001</v>
      </c>
      <c r="H884">
        <v>1330.2753906</v>
      </c>
      <c r="I884">
        <v>1333.2340088000001</v>
      </c>
      <c r="J884">
        <v>1332.2067870999999</v>
      </c>
      <c r="K884">
        <v>0</v>
      </c>
      <c r="L884">
        <v>550</v>
      </c>
      <c r="M884">
        <v>550</v>
      </c>
      <c r="N884">
        <v>0</v>
      </c>
    </row>
    <row r="885" spans="1:14" x14ac:dyDescent="0.25">
      <c r="A885">
        <v>562.98821399999997</v>
      </c>
      <c r="B885" s="1">
        <f>DATE(2011,11,14) + TIME(23,43,1)</f>
        <v>40861.988206018519</v>
      </c>
      <c r="C885">
        <v>80</v>
      </c>
      <c r="D885">
        <v>78.501556395999998</v>
      </c>
      <c r="E885">
        <v>60</v>
      </c>
      <c r="F885">
        <v>59.932075500000003</v>
      </c>
      <c r="G885">
        <v>1330.4672852000001</v>
      </c>
      <c r="H885">
        <v>1330.2520752</v>
      </c>
      <c r="I885">
        <v>1333.2346190999999</v>
      </c>
      <c r="J885">
        <v>1332.2078856999999</v>
      </c>
      <c r="K885">
        <v>0</v>
      </c>
      <c r="L885">
        <v>550</v>
      </c>
      <c r="M885">
        <v>550</v>
      </c>
      <c r="N885">
        <v>0</v>
      </c>
    </row>
    <row r="886" spans="1:14" x14ac:dyDescent="0.25">
      <c r="A886">
        <v>563.69856100000004</v>
      </c>
      <c r="B886" s="1">
        <f>DATE(2011,11,15) + TIME(16,45,55)</f>
        <v>40862.698553240742</v>
      </c>
      <c r="C886">
        <v>80</v>
      </c>
      <c r="D886">
        <v>78.410575867000006</v>
      </c>
      <c r="E886">
        <v>60</v>
      </c>
      <c r="F886">
        <v>59.931804657000001</v>
      </c>
      <c r="G886">
        <v>1330.4503173999999</v>
      </c>
      <c r="H886">
        <v>1330.2281493999999</v>
      </c>
      <c r="I886">
        <v>1333.2348632999999</v>
      </c>
      <c r="J886">
        <v>1332.2089844</v>
      </c>
      <c r="K886">
        <v>0</v>
      </c>
      <c r="L886">
        <v>550</v>
      </c>
      <c r="M886">
        <v>550</v>
      </c>
      <c r="N886">
        <v>0</v>
      </c>
    </row>
    <row r="887" spans="1:14" x14ac:dyDescent="0.25">
      <c r="A887">
        <v>564.43561899999997</v>
      </c>
      <c r="B887" s="1">
        <f>DATE(2011,11,16) + TIME(10,27,17)</f>
        <v>40863.435613425929</v>
      </c>
      <c r="C887">
        <v>80</v>
      </c>
      <c r="D887">
        <v>78.314369201999995</v>
      </c>
      <c r="E887">
        <v>60</v>
      </c>
      <c r="F887">
        <v>59.931598663000003</v>
      </c>
      <c r="G887">
        <v>1330.4328613</v>
      </c>
      <c r="H887">
        <v>1330.2036132999999</v>
      </c>
      <c r="I887">
        <v>1333.2347411999999</v>
      </c>
      <c r="J887">
        <v>1332.2098389</v>
      </c>
      <c r="K887">
        <v>0</v>
      </c>
      <c r="L887">
        <v>550</v>
      </c>
      <c r="M887">
        <v>550</v>
      </c>
      <c r="N887">
        <v>0</v>
      </c>
    </row>
    <row r="888" spans="1:14" x14ac:dyDescent="0.25">
      <c r="A888">
        <v>565.184077</v>
      </c>
      <c r="B888" s="1">
        <f>DATE(2011,11,17) + TIME(4,25,4)</f>
        <v>40864.184074074074</v>
      </c>
      <c r="C888">
        <v>80</v>
      </c>
      <c r="D888">
        <v>78.214500427000004</v>
      </c>
      <c r="E888">
        <v>60</v>
      </c>
      <c r="F888">
        <v>59.931446074999997</v>
      </c>
      <c r="G888">
        <v>1330.4151611</v>
      </c>
      <c r="H888">
        <v>1330.1787108999999</v>
      </c>
      <c r="I888">
        <v>1333.2344971</v>
      </c>
      <c r="J888">
        <v>1332.2105713000001</v>
      </c>
      <c r="K888">
        <v>0</v>
      </c>
      <c r="L888">
        <v>550</v>
      </c>
      <c r="M888">
        <v>550</v>
      </c>
      <c r="N888">
        <v>0</v>
      </c>
    </row>
    <row r="889" spans="1:14" x14ac:dyDescent="0.25">
      <c r="A889">
        <v>565.94926599999997</v>
      </c>
      <c r="B889" s="1">
        <f>DATE(2011,11,17) + TIME(22,46,56)</f>
        <v>40864.949259259258</v>
      </c>
      <c r="C889">
        <v>80</v>
      </c>
      <c r="D889">
        <v>78.110305785999998</v>
      </c>
      <c r="E889">
        <v>60</v>
      </c>
      <c r="F889">
        <v>59.931320190000001</v>
      </c>
      <c r="G889">
        <v>1330.3975829999999</v>
      </c>
      <c r="H889">
        <v>1330.1540527</v>
      </c>
      <c r="I889">
        <v>1333.2338867000001</v>
      </c>
      <c r="J889">
        <v>1332.2111815999999</v>
      </c>
      <c r="K889">
        <v>0</v>
      </c>
      <c r="L889">
        <v>550</v>
      </c>
      <c r="M889">
        <v>550</v>
      </c>
      <c r="N889">
        <v>0</v>
      </c>
    </row>
    <row r="890" spans="1:14" x14ac:dyDescent="0.25">
      <c r="A890">
        <v>566.73708599999998</v>
      </c>
      <c r="B890" s="1">
        <f>DATE(2011,11,18) + TIME(17,41,24)</f>
        <v>40865.737083333333</v>
      </c>
      <c r="C890">
        <v>80</v>
      </c>
      <c r="D890">
        <v>78.001007079999994</v>
      </c>
      <c r="E890">
        <v>60</v>
      </c>
      <c r="F890">
        <v>59.931221008000001</v>
      </c>
      <c r="G890">
        <v>1330.3798827999999</v>
      </c>
      <c r="H890">
        <v>1330.1293945</v>
      </c>
      <c r="I890">
        <v>1333.2331543</v>
      </c>
      <c r="J890">
        <v>1332.2116699000001</v>
      </c>
      <c r="K890">
        <v>0</v>
      </c>
      <c r="L890">
        <v>550</v>
      </c>
      <c r="M890">
        <v>550</v>
      </c>
      <c r="N890">
        <v>0</v>
      </c>
    </row>
    <row r="891" spans="1:14" x14ac:dyDescent="0.25">
      <c r="A891">
        <v>567.55942200000004</v>
      </c>
      <c r="B891" s="1">
        <f>DATE(2011,11,19) + TIME(13,25,34)</f>
        <v>40866.559421296297</v>
      </c>
      <c r="C891">
        <v>80</v>
      </c>
      <c r="D891">
        <v>77.885086060000006</v>
      </c>
      <c r="E891">
        <v>60</v>
      </c>
      <c r="F891">
        <v>59.931133269999997</v>
      </c>
      <c r="G891">
        <v>1330.3621826000001</v>
      </c>
      <c r="H891">
        <v>1330.1047363</v>
      </c>
      <c r="I891">
        <v>1333.2322998</v>
      </c>
      <c r="J891">
        <v>1332.2120361</v>
      </c>
      <c r="K891">
        <v>0</v>
      </c>
      <c r="L891">
        <v>550</v>
      </c>
      <c r="M891">
        <v>550</v>
      </c>
      <c r="N891">
        <v>0</v>
      </c>
    </row>
    <row r="892" spans="1:14" x14ac:dyDescent="0.25">
      <c r="A892">
        <v>568.42389700000001</v>
      </c>
      <c r="B892" s="1">
        <f>DATE(2011,11,20) + TIME(10,10,24)</f>
        <v>40867.423888888887</v>
      </c>
      <c r="C892">
        <v>80</v>
      </c>
      <c r="D892">
        <v>77.761436462000006</v>
      </c>
      <c r="E892">
        <v>60</v>
      </c>
      <c r="F892">
        <v>59.931053161999998</v>
      </c>
      <c r="G892">
        <v>1330.3442382999999</v>
      </c>
      <c r="H892">
        <v>1330.0795897999999</v>
      </c>
      <c r="I892">
        <v>1333.2312012</v>
      </c>
      <c r="J892">
        <v>1332.2124022999999</v>
      </c>
      <c r="K892">
        <v>0</v>
      </c>
      <c r="L892">
        <v>550</v>
      </c>
      <c r="M892">
        <v>550</v>
      </c>
      <c r="N892">
        <v>0</v>
      </c>
    </row>
    <row r="893" spans="1:14" x14ac:dyDescent="0.25">
      <c r="A893">
        <v>569.33989199999996</v>
      </c>
      <c r="B893" s="1">
        <f>DATE(2011,11,21) + TIME(8,9,26)</f>
        <v>40868.339884259258</v>
      </c>
      <c r="C893">
        <v>80</v>
      </c>
      <c r="D893">
        <v>77.628700256000002</v>
      </c>
      <c r="E893">
        <v>60</v>
      </c>
      <c r="F893">
        <v>59.930980681999998</v>
      </c>
      <c r="G893">
        <v>1330.3259277</v>
      </c>
      <c r="H893">
        <v>1330.0540771000001</v>
      </c>
      <c r="I893">
        <v>1333.2301024999999</v>
      </c>
      <c r="J893">
        <v>1332.2127685999999</v>
      </c>
      <c r="K893">
        <v>0</v>
      </c>
      <c r="L893">
        <v>550</v>
      </c>
      <c r="M893">
        <v>550</v>
      </c>
      <c r="N893">
        <v>0</v>
      </c>
    </row>
    <row r="894" spans="1:14" x14ac:dyDescent="0.25">
      <c r="A894">
        <v>570.30570399999999</v>
      </c>
      <c r="B894" s="1">
        <f>DATE(2011,11,22) + TIME(7,20,12)</f>
        <v>40869.305694444447</v>
      </c>
      <c r="C894">
        <v>80</v>
      </c>
      <c r="D894">
        <v>77.486778259000005</v>
      </c>
      <c r="E894">
        <v>60</v>
      </c>
      <c r="F894">
        <v>59.930912018000001</v>
      </c>
      <c r="G894">
        <v>1330.3070068</v>
      </c>
      <c r="H894">
        <v>1330.0279541</v>
      </c>
      <c r="I894">
        <v>1333.2287598</v>
      </c>
      <c r="J894">
        <v>1332.2130127</v>
      </c>
      <c r="K894">
        <v>0</v>
      </c>
      <c r="L894">
        <v>550</v>
      </c>
      <c r="M894">
        <v>550</v>
      </c>
      <c r="N894">
        <v>0</v>
      </c>
    </row>
    <row r="895" spans="1:14" x14ac:dyDescent="0.25">
      <c r="A895">
        <v>571.28587300000004</v>
      </c>
      <c r="B895" s="1">
        <f>DATE(2011,11,23) + TIME(6,51,39)</f>
        <v>40870.285868055558</v>
      </c>
      <c r="C895">
        <v>80</v>
      </c>
      <c r="D895">
        <v>77.339561462000006</v>
      </c>
      <c r="E895">
        <v>60</v>
      </c>
      <c r="F895">
        <v>59.930847168</v>
      </c>
      <c r="G895">
        <v>1330.2877197</v>
      </c>
      <c r="H895">
        <v>1330.0012207</v>
      </c>
      <c r="I895">
        <v>1333.2274170000001</v>
      </c>
      <c r="J895">
        <v>1332.2133789</v>
      </c>
      <c r="K895">
        <v>0</v>
      </c>
      <c r="L895">
        <v>550</v>
      </c>
      <c r="M895">
        <v>550</v>
      </c>
      <c r="N895">
        <v>0</v>
      </c>
    </row>
    <row r="896" spans="1:14" x14ac:dyDescent="0.25">
      <c r="A896">
        <v>572.28597600000001</v>
      </c>
      <c r="B896" s="1">
        <f>DATE(2011,11,24) + TIME(6,51,48)</f>
        <v>40871.28597222222</v>
      </c>
      <c r="C896">
        <v>80</v>
      </c>
      <c r="D896">
        <v>77.186531067000004</v>
      </c>
      <c r="E896">
        <v>60</v>
      </c>
      <c r="F896">
        <v>59.930782317999999</v>
      </c>
      <c r="G896">
        <v>1330.2685547000001</v>
      </c>
      <c r="H896">
        <v>1329.9747314000001</v>
      </c>
      <c r="I896">
        <v>1333.2260742000001</v>
      </c>
      <c r="J896">
        <v>1332.2136230000001</v>
      </c>
      <c r="K896">
        <v>0</v>
      </c>
      <c r="L896">
        <v>550</v>
      </c>
      <c r="M896">
        <v>550</v>
      </c>
      <c r="N896">
        <v>0</v>
      </c>
    </row>
    <row r="897" spans="1:14" x14ac:dyDescent="0.25">
      <c r="A897">
        <v>573.31168600000001</v>
      </c>
      <c r="B897" s="1">
        <f>DATE(2011,11,25) + TIME(7,28,49)</f>
        <v>40872.311678240738</v>
      </c>
      <c r="C897">
        <v>80</v>
      </c>
      <c r="D897">
        <v>77.027091979999994</v>
      </c>
      <c r="E897">
        <v>60</v>
      </c>
      <c r="F897">
        <v>59.930721282999997</v>
      </c>
      <c r="G897">
        <v>1330.2495117000001</v>
      </c>
      <c r="H897">
        <v>1329.9484863</v>
      </c>
      <c r="I897">
        <v>1333.2246094</v>
      </c>
      <c r="J897">
        <v>1332.2139893000001</v>
      </c>
      <c r="K897">
        <v>0</v>
      </c>
      <c r="L897">
        <v>550</v>
      </c>
      <c r="M897">
        <v>550</v>
      </c>
      <c r="N897">
        <v>0</v>
      </c>
    </row>
    <row r="898" spans="1:14" x14ac:dyDescent="0.25">
      <c r="A898">
        <v>574.36902999999995</v>
      </c>
      <c r="B898" s="1">
        <f>DATE(2011,11,26) + TIME(8,51,24)</f>
        <v>40873.369027777779</v>
      </c>
      <c r="C898">
        <v>80</v>
      </c>
      <c r="D898">
        <v>76.860565186000002</v>
      </c>
      <c r="E898">
        <v>60</v>
      </c>
      <c r="F898">
        <v>59.930664061999998</v>
      </c>
      <c r="G898">
        <v>1330.2304687999999</v>
      </c>
      <c r="H898">
        <v>1329.9221190999999</v>
      </c>
      <c r="I898">
        <v>1333.2232666</v>
      </c>
      <c r="J898">
        <v>1332.2142334</v>
      </c>
      <c r="K898">
        <v>0</v>
      </c>
      <c r="L898">
        <v>550</v>
      </c>
      <c r="M898">
        <v>550</v>
      </c>
      <c r="N898">
        <v>0</v>
      </c>
    </row>
    <row r="899" spans="1:14" x14ac:dyDescent="0.25">
      <c r="A899">
        <v>575.46453599999995</v>
      </c>
      <c r="B899" s="1">
        <f>DATE(2011,11,27) + TIME(11,8,55)</f>
        <v>40874.464525462965</v>
      </c>
      <c r="C899">
        <v>80</v>
      </c>
      <c r="D899">
        <v>76.686172485</v>
      </c>
      <c r="E899">
        <v>60</v>
      </c>
      <c r="F899">
        <v>59.930610657000003</v>
      </c>
      <c r="G899">
        <v>1330.2114257999999</v>
      </c>
      <c r="H899">
        <v>1329.895874</v>
      </c>
      <c r="I899">
        <v>1333.2219238</v>
      </c>
      <c r="J899">
        <v>1332.2145995999999</v>
      </c>
      <c r="K899">
        <v>0</v>
      </c>
      <c r="L899">
        <v>550</v>
      </c>
      <c r="M899">
        <v>550</v>
      </c>
      <c r="N899">
        <v>0</v>
      </c>
    </row>
    <row r="900" spans="1:14" x14ac:dyDescent="0.25">
      <c r="A900">
        <v>576.60567100000003</v>
      </c>
      <c r="B900" s="1">
        <f>DATE(2011,11,28) + TIME(14,32,9)</f>
        <v>40875.60565972222</v>
      </c>
      <c r="C900">
        <v>80</v>
      </c>
      <c r="D900">
        <v>76.503005981000001</v>
      </c>
      <c r="E900">
        <v>60</v>
      </c>
      <c r="F900">
        <v>59.930553435999997</v>
      </c>
      <c r="G900">
        <v>1330.1922606999999</v>
      </c>
      <c r="H900">
        <v>1329.8695068</v>
      </c>
      <c r="I900">
        <v>1333.2204589999999</v>
      </c>
      <c r="J900">
        <v>1332.2149658000001</v>
      </c>
      <c r="K900">
        <v>0</v>
      </c>
      <c r="L900">
        <v>550</v>
      </c>
      <c r="M900">
        <v>550</v>
      </c>
      <c r="N900">
        <v>0</v>
      </c>
    </row>
    <row r="901" spans="1:14" x14ac:dyDescent="0.25">
      <c r="A901">
        <v>577.80138299999999</v>
      </c>
      <c r="B901" s="1">
        <f>DATE(2011,11,29) + TIME(19,13,59)</f>
        <v>40876.801377314812</v>
      </c>
      <c r="C901">
        <v>80</v>
      </c>
      <c r="D901">
        <v>76.309921265</v>
      </c>
      <c r="E901">
        <v>60</v>
      </c>
      <c r="F901">
        <v>59.930503844999997</v>
      </c>
      <c r="G901">
        <v>1330.1728516000001</v>
      </c>
      <c r="H901">
        <v>1329.8428954999999</v>
      </c>
      <c r="I901">
        <v>1333.2191161999999</v>
      </c>
      <c r="J901">
        <v>1332.215332</v>
      </c>
      <c r="K901">
        <v>0</v>
      </c>
      <c r="L901">
        <v>550</v>
      </c>
      <c r="M901">
        <v>550</v>
      </c>
      <c r="N901">
        <v>0</v>
      </c>
    </row>
    <row r="902" spans="1:14" x14ac:dyDescent="0.25">
      <c r="A902">
        <v>579</v>
      </c>
      <c r="B902" s="1">
        <f>DATE(2011,12,1) + TIME(0,0,0)</f>
        <v>40878</v>
      </c>
      <c r="C902">
        <v>80</v>
      </c>
      <c r="D902">
        <v>76.112846375000004</v>
      </c>
      <c r="E902">
        <v>60</v>
      </c>
      <c r="F902">
        <v>59.930450438999998</v>
      </c>
      <c r="G902">
        <v>1330.1531981999999</v>
      </c>
      <c r="H902">
        <v>1329.8160399999999</v>
      </c>
      <c r="I902">
        <v>1333.2177733999999</v>
      </c>
      <c r="J902">
        <v>1332.2156981999999</v>
      </c>
      <c r="K902">
        <v>0</v>
      </c>
      <c r="L902">
        <v>550</v>
      </c>
      <c r="M902">
        <v>550</v>
      </c>
      <c r="N902">
        <v>0</v>
      </c>
    </row>
    <row r="903" spans="1:14" x14ac:dyDescent="0.25">
      <c r="A903">
        <v>580.26441599999998</v>
      </c>
      <c r="B903" s="1">
        <f>DATE(2011,12,2) + TIME(6,20,45)</f>
        <v>40879.264409722222</v>
      </c>
      <c r="C903">
        <v>80</v>
      </c>
      <c r="D903">
        <v>75.905052185000002</v>
      </c>
      <c r="E903">
        <v>60</v>
      </c>
      <c r="F903">
        <v>59.930400847999998</v>
      </c>
      <c r="G903">
        <v>1330.1340332</v>
      </c>
      <c r="H903">
        <v>1329.7896728999999</v>
      </c>
      <c r="I903">
        <v>1333.2164307</v>
      </c>
      <c r="J903">
        <v>1332.2161865</v>
      </c>
      <c r="K903">
        <v>0</v>
      </c>
      <c r="L903">
        <v>550</v>
      </c>
      <c r="M903">
        <v>550</v>
      </c>
      <c r="N903">
        <v>0</v>
      </c>
    </row>
    <row r="904" spans="1:14" x14ac:dyDescent="0.25">
      <c r="A904">
        <v>581.64647600000001</v>
      </c>
      <c r="B904" s="1">
        <f>DATE(2011,12,3) + TIME(15,30,55)</f>
        <v>40880.646469907406</v>
      </c>
      <c r="C904">
        <v>80</v>
      </c>
      <c r="D904">
        <v>75.680419921999999</v>
      </c>
      <c r="E904">
        <v>60</v>
      </c>
      <c r="F904">
        <v>59.930355071999998</v>
      </c>
      <c r="G904">
        <v>1330.1143798999999</v>
      </c>
      <c r="H904">
        <v>1329.7629394999999</v>
      </c>
      <c r="I904">
        <v>1333.2152100000001</v>
      </c>
      <c r="J904">
        <v>1332.2166748</v>
      </c>
      <c r="K904">
        <v>0</v>
      </c>
      <c r="L904">
        <v>550</v>
      </c>
      <c r="M904">
        <v>550</v>
      </c>
      <c r="N904">
        <v>0</v>
      </c>
    </row>
    <row r="905" spans="1:14" x14ac:dyDescent="0.25">
      <c r="A905">
        <v>583.11077499999999</v>
      </c>
      <c r="B905" s="1">
        <f>DATE(2011,12,5) + TIME(2,39,30)</f>
        <v>40882.110763888886</v>
      </c>
      <c r="C905">
        <v>80</v>
      </c>
      <c r="D905">
        <v>75.441909789999997</v>
      </c>
      <c r="E905">
        <v>60</v>
      </c>
      <c r="F905">
        <v>59.930309295999997</v>
      </c>
      <c r="G905">
        <v>1330.0938721</v>
      </c>
      <c r="H905">
        <v>1329.7351074000001</v>
      </c>
      <c r="I905">
        <v>1333.2138672000001</v>
      </c>
      <c r="J905">
        <v>1332.2172852000001</v>
      </c>
      <c r="K905">
        <v>0</v>
      </c>
      <c r="L905">
        <v>550</v>
      </c>
      <c r="M905">
        <v>550</v>
      </c>
      <c r="N905">
        <v>0</v>
      </c>
    </row>
    <row r="906" spans="1:14" x14ac:dyDescent="0.25">
      <c r="A906">
        <v>584.66788399999996</v>
      </c>
      <c r="B906" s="1">
        <f>DATE(2011,12,6) + TIME(16,1,45)</f>
        <v>40883.667881944442</v>
      </c>
      <c r="C906">
        <v>80</v>
      </c>
      <c r="D906">
        <v>75.188262938999998</v>
      </c>
      <c r="E906">
        <v>60</v>
      </c>
      <c r="F906">
        <v>59.930263519</v>
      </c>
      <c r="G906">
        <v>1330.072876</v>
      </c>
      <c r="H906">
        <v>1329.7066649999999</v>
      </c>
      <c r="I906">
        <v>1333.2126464999999</v>
      </c>
      <c r="J906">
        <v>1332.2178954999999</v>
      </c>
      <c r="K906">
        <v>0</v>
      </c>
      <c r="L906">
        <v>550</v>
      </c>
      <c r="M906">
        <v>550</v>
      </c>
      <c r="N906">
        <v>0</v>
      </c>
    </row>
    <row r="907" spans="1:14" x14ac:dyDescent="0.25">
      <c r="A907">
        <v>586.34112600000003</v>
      </c>
      <c r="B907" s="1">
        <f>DATE(2011,12,8) + TIME(8,11,13)</f>
        <v>40885.341122685182</v>
      </c>
      <c r="C907">
        <v>80</v>
      </c>
      <c r="D907">
        <v>74.916809082</v>
      </c>
      <c r="E907">
        <v>60</v>
      </c>
      <c r="F907">
        <v>59.930217743</v>
      </c>
      <c r="G907">
        <v>1330.0513916</v>
      </c>
      <c r="H907">
        <v>1329.6776123</v>
      </c>
      <c r="I907">
        <v>1333.2113036999999</v>
      </c>
      <c r="J907">
        <v>1332.2186279</v>
      </c>
      <c r="K907">
        <v>0</v>
      </c>
      <c r="L907">
        <v>550</v>
      </c>
      <c r="M907">
        <v>550</v>
      </c>
      <c r="N907">
        <v>0</v>
      </c>
    </row>
    <row r="908" spans="1:14" x14ac:dyDescent="0.25">
      <c r="A908">
        <v>588.02302299999997</v>
      </c>
      <c r="B908" s="1">
        <f>DATE(2011,12,10) + TIME(0,33,9)</f>
        <v>40887.023020833331</v>
      </c>
      <c r="C908">
        <v>80</v>
      </c>
      <c r="D908">
        <v>74.637710571</v>
      </c>
      <c r="E908">
        <v>60</v>
      </c>
      <c r="F908">
        <v>59.930171967</v>
      </c>
      <c r="G908">
        <v>1330.0292969</v>
      </c>
      <c r="H908">
        <v>1329.6477050999999</v>
      </c>
      <c r="I908">
        <v>1333.2100829999999</v>
      </c>
      <c r="J908">
        <v>1332.2194824000001</v>
      </c>
      <c r="K908">
        <v>0</v>
      </c>
      <c r="L908">
        <v>550</v>
      </c>
      <c r="M908">
        <v>550</v>
      </c>
      <c r="N908">
        <v>0</v>
      </c>
    </row>
    <row r="909" spans="1:14" x14ac:dyDescent="0.25">
      <c r="A909">
        <v>589.72463400000004</v>
      </c>
      <c r="B909" s="1">
        <f>DATE(2011,12,11) + TIME(17,23,28)</f>
        <v>40888.724629629629</v>
      </c>
      <c r="C909">
        <v>80</v>
      </c>
      <c r="D909">
        <v>74.352355957</v>
      </c>
      <c r="E909">
        <v>60</v>
      </c>
      <c r="F909">
        <v>59.930130005000002</v>
      </c>
      <c r="G909">
        <v>1330.0075684000001</v>
      </c>
      <c r="H909">
        <v>1329.6182861</v>
      </c>
      <c r="I909">
        <v>1333.2089844</v>
      </c>
      <c r="J909">
        <v>1332.2203368999999</v>
      </c>
      <c r="K909">
        <v>0</v>
      </c>
      <c r="L909">
        <v>550</v>
      </c>
      <c r="M909">
        <v>550</v>
      </c>
      <c r="N909">
        <v>0</v>
      </c>
    </row>
    <row r="910" spans="1:14" x14ac:dyDescent="0.25">
      <c r="A910">
        <v>591.45947799999999</v>
      </c>
      <c r="B910" s="1">
        <f>DATE(2011,12,13) + TIME(11,1,38)</f>
        <v>40890.459467592591</v>
      </c>
      <c r="C910">
        <v>80</v>
      </c>
      <c r="D910">
        <v>74.060737610000004</v>
      </c>
      <c r="E910">
        <v>60</v>
      </c>
      <c r="F910">
        <v>59.930091857999997</v>
      </c>
      <c r="G910">
        <v>1329.9862060999999</v>
      </c>
      <c r="H910">
        <v>1329.5892334</v>
      </c>
      <c r="I910">
        <v>1333.2078856999999</v>
      </c>
      <c r="J910">
        <v>1332.2211914</v>
      </c>
      <c r="K910">
        <v>0</v>
      </c>
      <c r="L910">
        <v>550</v>
      </c>
      <c r="M910">
        <v>550</v>
      </c>
      <c r="N910">
        <v>0</v>
      </c>
    </row>
    <row r="911" spans="1:14" x14ac:dyDescent="0.25">
      <c r="A911">
        <v>593.22534399999995</v>
      </c>
      <c r="B911" s="1">
        <f>DATE(2011,12,15) + TIME(5,24,29)</f>
        <v>40892.225335648145</v>
      </c>
      <c r="C911">
        <v>80</v>
      </c>
      <c r="D911">
        <v>73.763778686999999</v>
      </c>
      <c r="E911">
        <v>60</v>
      </c>
      <c r="F911">
        <v>59.930053710999999</v>
      </c>
      <c r="G911">
        <v>1329.9652100000001</v>
      </c>
      <c r="H911">
        <v>1329.5607910000001</v>
      </c>
      <c r="I911">
        <v>1333.2069091999999</v>
      </c>
      <c r="J911">
        <v>1332.222168</v>
      </c>
      <c r="K911">
        <v>0</v>
      </c>
      <c r="L911">
        <v>550</v>
      </c>
      <c r="M911">
        <v>550</v>
      </c>
      <c r="N911">
        <v>0</v>
      </c>
    </row>
    <row r="912" spans="1:14" x14ac:dyDescent="0.25">
      <c r="A912">
        <v>595.02884200000005</v>
      </c>
      <c r="B912" s="1">
        <f>DATE(2011,12,17) + TIME(0,41,31)</f>
        <v>40894.028831018521</v>
      </c>
      <c r="C912">
        <v>80</v>
      </c>
      <c r="D912">
        <v>73.461425781000003</v>
      </c>
      <c r="E912">
        <v>60</v>
      </c>
      <c r="F912">
        <v>59.930023192999997</v>
      </c>
      <c r="G912">
        <v>1329.9445800999999</v>
      </c>
      <c r="H912">
        <v>1329.5328368999999</v>
      </c>
      <c r="I912">
        <v>1333.2060547000001</v>
      </c>
      <c r="J912">
        <v>1332.2231445</v>
      </c>
      <c r="K912">
        <v>0</v>
      </c>
      <c r="L912">
        <v>550</v>
      </c>
      <c r="M912">
        <v>550</v>
      </c>
      <c r="N912">
        <v>0</v>
      </c>
    </row>
    <row r="913" spans="1:14" x14ac:dyDescent="0.25">
      <c r="A913">
        <v>596.88363400000003</v>
      </c>
      <c r="B913" s="1">
        <f>DATE(2011,12,18) + TIME(21,12,25)</f>
        <v>40895.883622685185</v>
      </c>
      <c r="C913">
        <v>80</v>
      </c>
      <c r="D913">
        <v>73.152709960999999</v>
      </c>
      <c r="E913">
        <v>60</v>
      </c>
      <c r="F913">
        <v>59.929992675999998</v>
      </c>
      <c r="G913">
        <v>1329.9241943</v>
      </c>
      <c r="H913">
        <v>1329.505249</v>
      </c>
      <c r="I913">
        <v>1333.2052002</v>
      </c>
      <c r="J913">
        <v>1332.2241211</v>
      </c>
      <c r="K913">
        <v>0</v>
      </c>
      <c r="L913">
        <v>550</v>
      </c>
      <c r="M913">
        <v>550</v>
      </c>
      <c r="N913">
        <v>0</v>
      </c>
    </row>
    <row r="914" spans="1:14" x14ac:dyDescent="0.25">
      <c r="A914">
        <v>598.80494599999997</v>
      </c>
      <c r="B914" s="1">
        <f>DATE(2011,12,20) + TIME(19,19,7)</f>
        <v>40897.804942129631</v>
      </c>
      <c r="C914">
        <v>80</v>
      </c>
      <c r="D914">
        <v>72.836189270000006</v>
      </c>
      <c r="E914">
        <v>60</v>
      </c>
      <c r="F914">
        <v>59.929969788000001</v>
      </c>
      <c r="G914">
        <v>1329.9041748</v>
      </c>
      <c r="H914">
        <v>1329.4780272999999</v>
      </c>
      <c r="I914">
        <v>1333.2043457</v>
      </c>
      <c r="J914">
        <v>1332.2252197</v>
      </c>
      <c r="K914">
        <v>0</v>
      </c>
      <c r="L914">
        <v>550</v>
      </c>
      <c r="M914">
        <v>550</v>
      </c>
      <c r="N914">
        <v>0</v>
      </c>
    </row>
    <row r="915" spans="1:14" x14ac:dyDescent="0.25">
      <c r="A915">
        <v>600.80876000000001</v>
      </c>
      <c r="B915" s="1">
        <f>DATE(2011,12,22) + TIME(19,24,36)</f>
        <v>40899.808749999997</v>
      </c>
      <c r="C915">
        <v>80</v>
      </c>
      <c r="D915">
        <v>72.510147094999994</v>
      </c>
      <c r="E915">
        <v>60</v>
      </c>
      <c r="F915">
        <v>59.929946899000001</v>
      </c>
      <c r="G915">
        <v>1329.8841553</v>
      </c>
      <c r="H915">
        <v>1329.4511719</v>
      </c>
      <c r="I915">
        <v>1333.2036132999999</v>
      </c>
      <c r="J915">
        <v>1332.2263184000001</v>
      </c>
      <c r="K915">
        <v>0</v>
      </c>
      <c r="L915">
        <v>550</v>
      </c>
      <c r="M915">
        <v>550</v>
      </c>
      <c r="N915">
        <v>0</v>
      </c>
    </row>
    <row r="916" spans="1:14" x14ac:dyDescent="0.25">
      <c r="A916">
        <v>602.91346699999997</v>
      </c>
      <c r="B916" s="1">
        <f>DATE(2011,12,24) + TIME(21,55,23)</f>
        <v>40901.913460648146</v>
      </c>
      <c r="C916">
        <v>80</v>
      </c>
      <c r="D916">
        <v>72.172515868999994</v>
      </c>
      <c r="E916">
        <v>60</v>
      </c>
      <c r="F916">
        <v>59.929931641000003</v>
      </c>
      <c r="G916">
        <v>1329.8641356999999</v>
      </c>
      <c r="H916">
        <v>1329.4241943</v>
      </c>
      <c r="I916">
        <v>1333.2030029</v>
      </c>
      <c r="J916">
        <v>1332.2274170000001</v>
      </c>
      <c r="K916">
        <v>0</v>
      </c>
      <c r="L916">
        <v>550</v>
      </c>
      <c r="M916">
        <v>550</v>
      </c>
      <c r="N916">
        <v>0</v>
      </c>
    </row>
    <row r="917" spans="1:14" x14ac:dyDescent="0.25">
      <c r="A917">
        <v>605.153865</v>
      </c>
      <c r="B917" s="1">
        <f>DATE(2011,12,27) + TIME(3,41,33)</f>
        <v>40904.153854166667</v>
      </c>
      <c r="C917">
        <v>80</v>
      </c>
      <c r="D917">
        <v>71.819808960000003</v>
      </c>
      <c r="E917">
        <v>60</v>
      </c>
      <c r="F917">
        <v>59.929920197000001</v>
      </c>
      <c r="G917">
        <v>1329.8441161999999</v>
      </c>
      <c r="H917">
        <v>1329.3972168</v>
      </c>
      <c r="I917">
        <v>1333.2022704999999</v>
      </c>
      <c r="J917">
        <v>1332.2286377</v>
      </c>
      <c r="K917">
        <v>0</v>
      </c>
      <c r="L917">
        <v>550</v>
      </c>
      <c r="M917">
        <v>550</v>
      </c>
      <c r="N917">
        <v>0</v>
      </c>
    </row>
    <row r="918" spans="1:14" x14ac:dyDescent="0.25">
      <c r="A918">
        <v>607.60438699999997</v>
      </c>
      <c r="B918" s="1">
        <f>DATE(2011,12,29) + TIME(14,30,19)</f>
        <v>40906.604386574072</v>
      </c>
      <c r="C918">
        <v>80</v>
      </c>
      <c r="D918">
        <v>71.445022582999997</v>
      </c>
      <c r="E918">
        <v>60</v>
      </c>
      <c r="F918">
        <v>59.929912567000002</v>
      </c>
      <c r="G918">
        <v>1329.8237305</v>
      </c>
      <c r="H918">
        <v>1329.3698730000001</v>
      </c>
      <c r="I918">
        <v>1333.2016602000001</v>
      </c>
      <c r="J918">
        <v>1332.2299805</v>
      </c>
      <c r="K918">
        <v>0</v>
      </c>
      <c r="L918">
        <v>550</v>
      </c>
      <c r="M918">
        <v>550</v>
      </c>
      <c r="N918">
        <v>0</v>
      </c>
    </row>
    <row r="919" spans="1:14" x14ac:dyDescent="0.25">
      <c r="A919">
        <v>610</v>
      </c>
      <c r="B919" s="1">
        <f>DATE(2012,1,1) + TIME(0,0,0)</f>
        <v>40909</v>
      </c>
      <c r="C919">
        <v>80</v>
      </c>
      <c r="D919">
        <v>71.065155028999996</v>
      </c>
      <c r="E919">
        <v>60</v>
      </c>
      <c r="F919">
        <v>59.929901123</v>
      </c>
      <c r="G919">
        <v>1329.8026123</v>
      </c>
      <c r="H919">
        <v>1329.3419189000001</v>
      </c>
      <c r="I919">
        <v>1333.2010498</v>
      </c>
      <c r="J919">
        <v>1332.2313231999999</v>
      </c>
      <c r="K919">
        <v>0</v>
      </c>
      <c r="L919">
        <v>550</v>
      </c>
      <c r="M919">
        <v>550</v>
      </c>
      <c r="N919">
        <v>0</v>
      </c>
    </row>
    <row r="920" spans="1:14" x14ac:dyDescent="0.25">
      <c r="A920">
        <v>612.58947999999998</v>
      </c>
      <c r="B920" s="1">
        <f>DATE(2012,1,3) + TIME(14,8,51)</f>
        <v>40911.589479166665</v>
      </c>
      <c r="C920">
        <v>80</v>
      </c>
      <c r="D920">
        <v>70.670242310000006</v>
      </c>
      <c r="E920">
        <v>60</v>
      </c>
      <c r="F920">
        <v>59.929901123</v>
      </c>
      <c r="G920">
        <v>1329.7823486</v>
      </c>
      <c r="H920">
        <v>1329.3145752</v>
      </c>
      <c r="I920">
        <v>1333.2004394999999</v>
      </c>
      <c r="J920">
        <v>1332.2326660000001</v>
      </c>
      <c r="K920">
        <v>0</v>
      </c>
      <c r="L920">
        <v>550</v>
      </c>
      <c r="M920">
        <v>550</v>
      </c>
      <c r="N920">
        <v>0</v>
      </c>
    </row>
    <row r="921" spans="1:14" x14ac:dyDescent="0.25">
      <c r="A921">
        <v>615.365047</v>
      </c>
      <c r="B921" s="1">
        <f>DATE(2012,1,6) + TIME(8,45,40)</f>
        <v>40914.365046296298</v>
      </c>
      <c r="C921">
        <v>80</v>
      </c>
      <c r="D921">
        <v>70.256248474000003</v>
      </c>
      <c r="E921">
        <v>60</v>
      </c>
      <c r="F921">
        <v>59.929908752000003</v>
      </c>
      <c r="G921">
        <v>1329.7617187999999</v>
      </c>
      <c r="H921">
        <v>1329.2869873</v>
      </c>
      <c r="I921">
        <v>1333.1999512</v>
      </c>
      <c r="J921">
        <v>1332.2341309000001</v>
      </c>
      <c r="K921">
        <v>0</v>
      </c>
      <c r="L921">
        <v>550</v>
      </c>
      <c r="M921">
        <v>550</v>
      </c>
      <c r="N921">
        <v>0</v>
      </c>
    </row>
    <row r="922" spans="1:14" x14ac:dyDescent="0.25">
      <c r="A922">
        <v>618.14566600000001</v>
      </c>
      <c r="B922" s="1">
        <f>DATE(2012,1,9) + TIME(3,29,45)</f>
        <v>40917.14565972222</v>
      </c>
      <c r="C922">
        <v>80</v>
      </c>
      <c r="D922">
        <v>69.833320618000002</v>
      </c>
      <c r="E922">
        <v>60</v>
      </c>
      <c r="F922">
        <v>59.929912567000002</v>
      </c>
      <c r="G922">
        <v>1329.7408447</v>
      </c>
      <c r="H922">
        <v>1329.2590332</v>
      </c>
      <c r="I922">
        <v>1333.1993408000001</v>
      </c>
      <c r="J922">
        <v>1332.2357178</v>
      </c>
      <c r="K922">
        <v>0</v>
      </c>
      <c r="L922">
        <v>550</v>
      </c>
      <c r="M922">
        <v>550</v>
      </c>
      <c r="N922">
        <v>0</v>
      </c>
    </row>
    <row r="923" spans="1:14" x14ac:dyDescent="0.25">
      <c r="A923">
        <v>620.95910300000003</v>
      </c>
      <c r="B923" s="1">
        <f>DATE(2012,1,11) + TIME(23,1,6)</f>
        <v>40919.959097222221</v>
      </c>
      <c r="C923">
        <v>80</v>
      </c>
      <c r="D923">
        <v>69.406684874999996</v>
      </c>
      <c r="E923">
        <v>60</v>
      </c>
      <c r="F923">
        <v>59.929924010999997</v>
      </c>
      <c r="G923">
        <v>1329.7204589999999</v>
      </c>
      <c r="H923">
        <v>1329.2316894999999</v>
      </c>
      <c r="I923">
        <v>1333.1989745999999</v>
      </c>
      <c r="J923">
        <v>1332.2371826000001</v>
      </c>
      <c r="K923">
        <v>0</v>
      </c>
      <c r="L923">
        <v>550</v>
      </c>
      <c r="M923">
        <v>550</v>
      </c>
      <c r="N923">
        <v>0</v>
      </c>
    </row>
    <row r="924" spans="1:14" x14ac:dyDescent="0.25">
      <c r="A924">
        <v>623.83302500000002</v>
      </c>
      <c r="B924" s="1">
        <f>DATE(2012,1,14) + TIME(19,59,33)</f>
        <v>40922.833020833335</v>
      </c>
      <c r="C924">
        <v>80</v>
      </c>
      <c r="D924">
        <v>68.976821899000001</v>
      </c>
      <c r="E924">
        <v>60</v>
      </c>
      <c r="F924">
        <v>59.929939269999998</v>
      </c>
      <c r="G924">
        <v>1329.7006836</v>
      </c>
      <c r="H924">
        <v>1329.2050781</v>
      </c>
      <c r="I924">
        <v>1333.1984863</v>
      </c>
      <c r="J924">
        <v>1332.2386475000001</v>
      </c>
      <c r="K924">
        <v>0</v>
      </c>
      <c r="L924">
        <v>550</v>
      </c>
      <c r="M924">
        <v>550</v>
      </c>
      <c r="N924">
        <v>0</v>
      </c>
    </row>
    <row r="925" spans="1:14" x14ac:dyDescent="0.25">
      <c r="A925">
        <v>626.79443200000003</v>
      </c>
      <c r="B925" s="1">
        <f>DATE(2012,1,17) + TIME(19,3,58)</f>
        <v>40925.794421296298</v>
      </c>
      <c r="C925">
        <v>80</v>
      </c>
      <c r="D925">
        <v>68.541870117000002</v>
      </c>
      <c r="E925">
        <v>60</v>
      </c>
      <c r="F925">
        <v>59.929958343999999</v>
      </c>
      <c r="G925">
        <v>1329.6815185999999</v>
      </c>
      <c r="H925">
        <v>1329.1791992000001</v>
      </c>
      <c r="I925">
        <v>1333.1981201000001</v>
      </c>
      <c r="J925">
        <v>1332.2402344</v>
      </c>
      <c r="K925">
        <v>0</v>
      </c>
      <c r="L925">
        <v>550</v>
      </c>
      <c r="M925">
        <v>550</v>
      </c>
      <c r="N925">
        <v>0</v>
      </c>
    </row>
    <row r="926" spans="1:14" x14ac:dyDescent="0.25">
      <c r="A926">
        <v>629.87136399999997</v>
      </c>
      <c r="B926" s="1">
        <f>DATE(2012,1,20) + TIME(20,54,45)</f>
        <v>40928.871354166666</v>
      </c>
      <c r="C926">
        <v>80</v>
      </c>
      <c r="D926">
        <v>68.099014281999999</v>
      </c>
      <c r="E926">
        <v>60</v>
      </c>
      <c r="F926">
        <v>59.929985045999999</v>
      </c>
      <c r="G926">
        <v>1329.6627197</v>
      </c>
      <c r="H926">
        <v>1329.1539307</v>
      </c>
      <c r="I926">
        <v>1333.1976318</v>
      </c>
      <c r="J926">
        <v>1332.2416992000001</v>
      </c>
      <c r="K926">
        <v>0</v>
      </c>
      <c r="L926">
        <v>550</v>
      </c>
      <c r="M926">
        <v>550</v>
      </c>
      <c r="N926">
        <v>0</v>
      </c>
    </row>
    <row r="927" spans="1:14" x14ac:dyDescent="0.25">
      <c r="A927">
        <v>633.09696899999994</v>
      </c>
      <c r="B927" s="1">
        <f>DATE(2012,1,24) + TIME(2,19,38)</f>
        <v>40932.096967592595</v>
      </c>
      <c r="C927">
        <v>80</v>
      </c>
      <c r="D927">
        <v>67.644813537999994</v>
      </c>
      <c r="E927">
        <v>60</v>
      </c>
      <c r="F927">
        <v>59.930019379000001</v>
      </c>
      <c r="G927">
        <v>1329.6441649999999</v>
      </c>
      <c r="H927">
        <v>1329.1291504000001</v>
      </c>
      <c r="I927">
        <v>1333.1972656</v>
      </c>
      <c r="J927">
        <v>1332.2431641000001</v>
      </c>
      <c r="K927">
        <v>0</v>
      </c>
      <c r="L927">
        <v>550</v>
      </c>
      <c r="M927">
        <v>550</v>
      </c>
      <c r="N927">
        <v>0</v>
      </c>
    </row>
    <row r="928" spans="1:14" x14ac:dyDescent="0.25">
      <c r="A928">
        <v>636.53926999999999</v>
      </c>
      <c r="B928" s="1">
        <f>DATE(2012,1,27) + TIME(12,56,32)</f>
        <v>40935.539259259262</v>
      </c>
      <c r="C928">
        <v>80</v>
      </c>
      <c r="D928">
        <v>67.173652649000005</v>
      </c>
      <c r="E928">
        <v>60</v>
      </c>
      <c r="F928">
        <v>59.930061340000002</v>
      </c>
      <c r="G928">
        <v>1329.6258545000001</v>
      </c>
      <c r="H928">
        <v>1329.1044922000001</v>
      </c>
      <c r="I928">
        <v>1333.1970214999999</v>
      </c>
      <c r="J928">
        <v>1332.244751</v>
      </c>
      <c r="K928">
        <v>0</v>
      </c>
      <c r="L928">
        <v>550</v>
      </c>
      <c r="M928">
        <v>550</v>
      </c>
      <c r="N928">
        <v>0</v>
      </c>
    </row>
    <row r="929" spans="1:14" x14ac:dyDescent="0.25">
      <c r="A929">
        <v>640.148864</v>
      </c>
      <c r="B929" s="1">
        <f>DATE(2012,1,31) + TIME(3,34,21)</f>
        <v>40939.148854166669</v>
      </c>
      <c r="C929">
        <v>80</v>
      </c>
      <c r="D929">
        <v>66.684539795000006</v>
      </c>
      <c r="E929">
        <v>60</v>
      </c>
      <c r="F929">
        <v>59.930107116999999</v>
      </c>
      <c r="G929">
        <v>1329.6074219</v>
      </c>
      <c r="H929">
        <v>1329.0799560999999</v>
      </c>
      <c r="I929">
        <v>1333.1966553</v>
      </c>
      <c r="J929">
        <v>1332.2463379000001</v>
      </c>
      <c r="K929">
        <v>0</v>
      </c>
      <c r="L929">
        <v>550</v>
      </c>
      <c r="M929">
        <v>550</v>
      </c>
      <c r="N929">
        <v>0</v>
      </c>
    </row>
    <row r="930" spans="1:14" x14ac:dyDescent="0.25">
      <c r="A930">
        <v>641</v>
      </c>
      <c r="B930" s="1">
        <f>DATE(2012,2,1) + TIME(0,0,0)</f>
        <v>40940</v>
      </c>
      <c r="C930">
        <v>80</v>
      </c>
      <c r="D930">
        <v>66.462203978999995</v>
      </c>
      <c r="E930">
        <v>60</v>
      </c>
      <c r="F930">
        <v>59.930080414000003</v>
      </c>
      <c r="G930">
        <v>1329.5891113</v>
      </c>
      <c r="H930">
        <v>1329.0566406</v>
      </c>
      <c r="I930">
        <v>1333.1962891000001</v>
      </c>
      <c r="J930">
        <v>1332.2479248</v>
      </c>
      <c r="K930">
        <v>0</v>
      </c>
      <c r="L930">
        <v>550</v>
      </c>
      <c r="M930">
        <v>550</v>
      </c>
      <c r="N930">
        <v>0</v>
      </c>
    </row>
    <row r="931" spans="1:14" x14ac:dyDescent="0.25">
      <c r="A931">
        <v>644.87538600000005</v>
      </c>
      <c r="B931" s="1">
        <f>DATE(2012,2,4) + TIME(21,0,33)</f>
        <v>40943.875381944446</v>
      </c>
      <c r="C931">
        <v>80</v>
      </c>
      <c r="D931">
        <v>66.017471313000001</v>
      </c>
      <c r="E931">
        <v>60</v>
      </c>
      <c r="F931">
        <v>59.930168152</v>
      </c>
      <c r="G931">
        <v>1329.5830077999999</v>
      </c>
      <c r="H931">
        <v>1329.0458983999999</v>
      </c>
      <c r="I931">
        <v>1333.1961670000001</v>
      </c>
      <c r="J931">
        <v>1332.2482910000001</v>
      </c>
      <c r="K931">
        <v>0</v>
      </c>
      <c r="L931">
        <v>550</v>
      </c>
      <c r="M931">
        <v>550</v>
      </c>
      <c r="N931">
        <v>0</v>
      </c>
    </row>
    <row r="932" spans="1:14" x14ac:dyDescent="0.25">
      <c r="A932">
        <v>649.24222099999997</v>
      </c>
      <c r="B932" s="1">
        <f>DATE(2012,2,9) + TIME(5,48,47)</f>
        <v>40948.242210648146</v>
      </c>
      <c r="C932">
        <v>80</v>
      </c>
      <c r="D932">
        <v>65.497840881000002</v>
      </c>
      <c r="E932">
        <v>60</v>
      </c>
      <c r="F932">
        <v>59.930255889999998</v>
      </c>
      <c r="G932">
        <v>1329.5661620999999</v>
      </c>
      <c r="H932">
        <v>1329.0240478999999</v>
      </c>
      <c r="I932">
        <v>1333.1959228999999</v>
      </c>
      <c r="J932">
        <v>1332.25</v>
      </c>
      <c r="K932">
        <v>0</v>
      </c>
      <c r="L932">
        <v>550</v>
      </c>
      <c r="M932">
        <v>550</v>
      </c>
      <c r="N932">
        <v>0</v>
      </c>
    </row>
    <row r="933" spans="1:14" x14ac:dyDescent="0.25">
      <c r="A933">
        <v>651.56877099999997</v>
      </c>
      <c r="B933" s="1">
        <f>DATE(2012,2,11) + TIME(13,39,1)</f>
        <v>40950.568761574075</v>
      </c>
      <c r="C933">
        <v>80</v>
      </c>
      <c r="D933">
        <v>65.064346313000001</v>
      </c>
      <c r="E933">
        <v>60</v>
      </c>
      <c r="F933">
        <v>59.930252074999999</v>
      </c>
      <c r="G933">
        <v>1329.5478516000001</v>
      </c>
      <c r="H933">
        <v>1329.0007324000001</v>
      </c>
      <c r="I933">
        <v>1333.1956786999999</v>
      </c>
      <c r="J933">
        <v>1332.2519531</v>
      </c>
      <c r="K933">
        <v>0</v>
      </c>
      <c r="L933">
        <v>550</v>
      </c>
      <c r="M933">
        <v>550</v>
      </c>
      <c r="N933">
        <v>0</v>
      </c>
    </row>
    <row r="934" spans="1:14" x14ac:dyDescent="0.25">
      <c r="A934">
        <v>653.89505099999997</v>
      </c>
      <c r="B934" s="1">
        <f>DATE(2012,2,13) + TIME(21,28,52)</f>
        <v>40952.895046296297</v>
      </c>
      <c r="C934">
        <v>80</v>
      </c>
      <c r="D934">
        <v>64.695259093999994</v>
      </c>
      <c r="E934">
        <v>60</v>
      </c>
      <c r="F934">
        <v>59.930274963000002</v>
      </c>
      <c r="G934">
        <v>1329.5358887</v>
      </c>
      <c r="H934">
        <v>1328.9831543</v>
      </c>
      <c r="I934">
        <v>1333.1955565999999</v>
      </c>
      <c r="J934">
        <v>1332.2528076000001</v>
      </c>
      <c r="K934">
        <v>0</v>
      </c>
      <c r="L934">
        <v>550</v>
      </c>
      <c r="M934">
        <v>550</v>
      </c>
      <c r="N934">
        <v>0</v>
      </c>
    </row>
    <row r="935" spans="1:14" x14ac:dyDescent="0.25">
      <c r="A935">
        <v>658.54761199999996</v>
      </c>
      <c r="B935" s="1">
        <f>DATE(2012,2,18) + TIME(13,8,33)</f>
        <v>40957.54760416667</v>
      </c>
      <c r="C935">
        <v>80</v>
      </c>
      <c r="D935">
        <v>64.250961304</v>
      </c>
      <c r="E935">
        <v>60</v>
      </c>
      <c r="F935">
        <v>59.930416106999999</v>
      </c>
      <c r="G935">
        <v>1329.5255127</v>
      </c>
      <c r="H935">
        <v>1328.9677733999999</v>
      </c>
      <c r="I935">
        <v>1333.1954346</v>
      </c>
      <c r="J935">
        <v>1332.2537841999999</v>
      </c>
      <c r="K935">
        <v>0</v>
      </c>
      <c r="L935">
        <v>550</v>
      </c>
      <c r="M935">
        <v>550</v>
      </c>
      <c r="N935">
        <v>0</v>
      </c>
    </row>
    <row r="936" spans="1:14" x14ac:dyDescent="0.25">
      <c r="A936">
        <v>663.217713</v>
      </c>
      <c r="B936" s="1">
        <f>DATE(2012,2,23) + TIME(5,13,30)</f>
        <v>40962.21770833333</v>
      </c>
      <c r="C936">
        <v>80</v>
      </c>
      <c r="D936">
        <v>63.704097748000002</v>
      </c>
      <c r="E936">
        <v>60</v>
      </c>
      <c r="F936">
        <v>59.930511475000003</v>
      </c>
      <c r="G936">
        <v>1329.5102539</v>
      </c>
      <c r="H936">
        <v>1328.9488524999999</v>
      </c>
      <c r="I936">
        <v>1333.1951904</v>
      </c>
      <c r="J936">
        <v>1332.2556152</v>
      </c>
      <c r="K936">
        <v>0</v>
      </c>
      <c r="L936">
        <v>550</v>
      </c>
      <c r="M936">
        <v>550</v>
      </c>
      <c r="N936">
        <v>0</v>
      </c>
    </row>
    <row r="937" spans="1:14" x14ac:dyDescent="0.25">
      <c r="A937">
        <v>667.98135300000001</v>
      </c>
      <c r="B937" s="1">
        <f>DATE(2012,2,27) + TIME(23,33,8)</f>
        <v>40966.981342592589</v>
      </c>
      <c r="C937">
        <v>80</v>
      </c>
      <c r="D937">
        <v>63.131874084000003</v>
      </c>
      <c r="E937">
        <v>60</v>
      </c>
      <c r="F937">
        <v>59.930610657000003</v>
      </c>
      <c r="G937">
        <v>1329.4945068</v>
      </c>
      <c r="H937">
        <v>1328.9278564000001</v>
      </c>
      <c r="I937">
        <v>1333.1949463000001</v>
      </c>
      <c r="J937">
        <v>1332.2574463000001</v>
      </c>
      <c r="K937">
        <v>0</v>
      </c>
      <c r="L937">
        <v>550</v>
      </c>
      <c r="M937">
        <v>550</v>
      </c>
      <c r="N937">
        <v>0</v>
      </c>
    </row>
    <row r="938" spans="1:14" x14ac:dyDescent="0.25">
      <c r="A938">
        <v>670</v>
      </c>
      <c r="B938" s="1">
        <f>DATE(2012,3,1) + TIME(0,0,0)</f>
        <v>40969</v>
      </c>
      <c r="C938">
        <v>80</v>
      </c>
      <c r="D938">
        <v>62.731430054</v>
      </c>
      <c r="E938">
        <v>60</v>
      </c>
      <c r="F938">
        <v>59.930606842000003</v>
      </c>
      <c r="G938">
        <v>1329.4788818</v>
      </c>
      <c r="H938">
        <v>1328.9077147999999</v>
      </c>
      <c r="I938">
        <v>1333.1948242000001</v>
      </c>
      <c r="J938">
        <v>1332.2591553</v>
      </c>
      <c r="K938">
        <v>0</v>
      </c>
      <c r="L938">
        <v>550</v>
      </c>
      <c r="M938">
        <v>550</v>
      </c>
      <c r="N938">
        <v>0</v>
      </c>
    </row>
    <row r="939" spans="1:14" x14ac:dyDescent="0.25">
      <c r="A939">
        <v>674.91669200000001</v>
      </c>
      <c r="B939" s="1">
        <f>DATE(2012,3,5) + TIME(22,0,2)</f>
        <v>40973.916689814818</v>
      </c>
      <c r="C939">
        <v>80</v>
      </c>
      <c r="D939">
        <v>62.264316559000001</v>
      </c>
      <c r="E939">
        <v>60</v>
      </c>
      <c r="F939">
        <v>59.930751801</v>
      </c>
      <c r="G939">
        <v>1329.4709473</v>
      </c>
      <c r="H939">
        <v>1328.8942870999999</v>
      </c>
      <c r="I939">
        <v>1333.1948242000001</v>
      </c>
      <c r="J939">
        <v>1332.2598877</v>
      </c>
      <c r="K939">
        <v>0</v>
      </c>
      <c r="L939">
        <v>550</v>
      </c>
      <c r="M939">
        <v>550</v>
      </c>
      <c r="N939">
        <v>0</v>
      </c>
    </row>
    <row r="940" spans="1:14" x14ac:dyDescent="0.25">
      <c r="A940">
        <v>680.16130899999996</v>
      </c>
      <c r="B940" s="1">
        <f>DATE(2012,3,11) + TIME(3,52,17)</f>
        <v>40979.161307870374</v>
      </c>
      <c r="C940">
        <v>80</v>
      </c>
      <c r="D940">
        <v>61.719306946000003</v>
      </c>
      <c r="E940">
        <v>60</v>
      </c>
      <c r="F940">
        <v>59.930885314999998</v>
      </c>
      <c r="G940">
        <v>1329.4582519999999</v>
      </c>
      <c r="H940">
        <v>1328.8780518000001</v>
      </c>
      <c r="I940">
        <v>1333.1947021000001</v>
      </c>
      <c r="J940">
        <v>1332.2615966999999</v>
      </c>
      <c r="K940">
        <v>0</v>
      </c>
      <c r="L940">
        <v>550</v>
      </c>
      <c r="M940">
        <v>550</v>
      </c>
      <c r="N940">
        <v>0</v>
      </c>
    </row>
    <row r="941" spans="1:14" x14ac:dyDescent="0.25">
      <c r="A941">
        <v>685.80535299999997</v>
      </c>
      <c r="B941" s="1">
        <f>DATE(2012,3,16) + TIME(19,19,42)</f>
        <v>40984.805347222224</v>
      </c>
      <c r="C941">
        <v>80</v>
      </c>
      <c r="D941">
        <v>61.140865325999997</v>
      </c>
      <c r="E941">
        <v>60</v>
      </c>
      <c r="F941">
        <v>59.931026459000002</v>
      </c>
      <c r="G941">
        <v>1329.4450684000001</v>
      </c>
      <c r="H941">
        <v>1328.8604736</v>
      </c>
      <c r="I941">
        <v>1333.1945800999999</v>
      </c>
      <c r="J941">
        <v>1332.2633057</v>
      </c>
      <c r="K941">
        <v>0</v>
      </c>
      <c r="L941">
        <v>550</v>
      </c>
      <c r="M941">
        <v>550</v>
      </c>
      <c r="N941">
        <v>0</v>
      </c>
    </row>
    <row r="942" spans="1:14" x14ac:dyDescent="0.25">
      <c r="A942">
        <v>692.00908000000004</v>
      </c>
      <c r="B942" s="1">
        <f>DATE(2012,3,23) + TIME(0,13,4)</f>
        <v>40991.009074074071</v>
      </c>
      <c r="C942">
        <v>80</v>
      </c>
      <c r="D942">
        <v>60.539985657000003</v>
      </c>
      <c r="E942">
        <v>60</v>
      </c>
      <c r="F942">
        <v>59.931190491000002</v>
      </c>
      <c r="G942">
        <v>1329.432251</v>
      </c>
      <c r="H942">
        <v>1328.8430175999999</v>
      </c>
      <c r="I942">
        <v>1333.1944579999999</v>
      </c>
      <c r="J942">
        <v>1332.2651367000001</v>
      </c>
      <c r="K942">
        <v>0</v>
      </c>
      <c r="L942">
        <v>550</v>
      </c>
      <c r="M942">
        <v>550</v>
      </c>
      <c r="N942">
        <v>0</v>
      </c>
    </row>
    <row r="943" spans="1:14" x14ac:dyDescent="0.25">
      <c r="A943">
        <v>698.48047799999995</v>
      </c>
      <c r="B943" s="1">
        <f>DATE(2012,3,29) + TIME(11,31,53)</f>
        <v>40997.480474537035</v>
      </c>
      <c r="C943">
        <v>80</v>
      </c>
      <c r="D943">
        <v>59.926937103</v>
      </c>
      <c r="E943">
        <v>60</v>
      </c>
      <c r="F943">
        <v>59.931358336999999</v>
      </c>
      <c r="G943">
        <v>1329.4195557</v>
      </c>
      <c r="H943">
        <v>1328.8259277</v>
      </c>
      <c r="I943">
        <v>1333.1943358999999</v>
      </c>
      <c r="J943">
        <v>1332.2670897999999</v>
      </c>
      <c r="K943">
        <v>0</v>
      </c>
      <c r="L943">
        <v>550</v>
      </c>
      <c r="M943">
        <v>550</v>
      </c>
      <c r="N943">
        <v>0</v>
      </c>
    </row>
    <row r="944" spans="1:14" x14ac:dyDescent="0.25">
      <c r="A944">
        <v>701</v>
      </c>
      <c r="B944" s="1">
        <f>DATE(2012,4,1) + TIME(0,0,0)</f>
        <v>41000</v>
      </c>
      <c r="C944">
        <v>80</v>
      </c>
      <c r="D944">
        <v>59.502185822000001</v>
      </c>
      <c r="E944">
        <v>60</v>
      </c>
      <c r="F944">
        <v>59.931365966999998</v>
      </c>
      <c r="G944">
        <v>1329.4072266000001</v>
      </c>
      <c r="H944">
        <v>1328.8100586</v>
      </c>
      <c r="I944">
        <v>1333.1943358999999</v>
      </c>
      <c r="J944">
        <v>1332.269043</v>
      </c>
      <c r="K944">
        <v>0</v>
      </c>
      <c r="L944">
        <v>550</v>
      </c>
      <c r="M944">
        <v>550</v>
      </c>
      <c r="N944">
        <v>0</v>
      </c>
    </row>
    <row r="945" spans="1:14" x14ac:dyDescent="0.25">
      <c r="A945">
        <v>708.02820499999996</v>
      </c>
      <c r="B945" s="1">
        <f>DATE(2012,4,8) + TIME(0,40,36)</f>
        <v>41007.028194444443</v>
      </c>
      <c r="C945">
        <v>80</v>
      </c>
      <c r="D945">
        <v>59.052375793000003</v>
      </c>
      <c r="E945">
        <v>60</v>
      </c>
      <c r="F945">
        <v>59.931610106999997</v>
      </c>
      <c r="G945">
        <v>1329.4016113</v>
      </c>
      <c r="H945">
        <v>1328.7996826000001</v>
      </c>
      <c r="I945">
        <v>1333.1943358999999</v>
      </c>
      <c r="J945">
        <v>1332.2697754000001</v>
      </c>
      <c r="K945">
        <v>0</v>
      </c>
      <c r="L945">
        <v>550</v>
      </c>
      <c r="M945">
        <v>550</v>
      </c>
      <c r="N945">
        <v>0</v>
      </c>
    </row>
    <row r="946" spans="1:14" x14ac:dyDescent="0.25">
      <c r="A946">
        <v>715.44399399999998</v>
      </c>
      <c r="B946" s="1">
        <f>DATE(2012,4,15) + TIME(10,39,21)</f>
        <v>41014.443993055553</v>
      </c>
      <c r="C946">
        <v>80</v>
      </c>
      <c r="D946">
        <v>58.504882811999998</v>
      </c>
      <c r="E946">
        <v>60</v>
      </c>
      <c r="F946">
        <v>59.931819916000002</v>
      </c>
      <c r="G946">
        <v>1329.3924560999999</v>
      </c>
      <c r="H946">
        <v>1328.7882079999999</v>
      </c>
      <c r="I946">
        <v>1333.1943358999999</v>
      </c>
      <c r="J946">
        <v>1332.2717285000001</v>
      </c>
      <c r="K946">
        <v>0</v>
      </c>
      <c r="L946">
        <v>550</v>
      </c>
      <c r="M946">
        <v>550</v>
      </c>
      <c r="N946">
        <v>0</v>
      </c>
    </row>
    <row r="947" spans="1:14" x14ac:dyDescent="0.25">
      <c r="A947">
        <v>723.01502500000004</v>
      </c>
      <c r="B947" s="1">
        <f>DATE(2012,4,23) + TIME(0,21,38)</f>
        <v>41022.015023148146</v>
      </c>
      <c r="C947">
        <v>80</v>
      </c>
      <c r="D947">
        <v>57.961898804</v>
      </c>
      <c r="E947">
        <v>60</v>
      </c>
      <c r="F947">
        <v>59.932033539000003</v>
      </c>
      <c r="G947">
        <v>1329.3830565999999</v>
      </c>
      <c r="H947">
        <v>1328.7756348</v>
      </c>
      <c r="I947">
        <v>1333.1943358999999</v>
      </c>
      <c r="J947">
        <v>1332.2736815999999</v>
      </c>
      <c r="K947">
        <v>0</v>
      </c>
      <c r="L947">
        <v>550</v>
      </c>
      <c r="M947">
        <v>550</v>
      </c>
      <c r="N947">
        <v>0</v>
      </c>
    </row>
    <row r="948" spans="1:14" x14ac:dyDescent="0.25">
      <c r="A948">
        <v>731</v>
      </c>
      <c r="B948" s="1">
        <f>DATE(2012,5,1) + TIME(0,0,0)</f>
        <v>41030</v>
      </c>
      <c r="C948">
        <v>80</v>
      </c>
      <c r="D948">
        <v>57.454933167</v>
      </c>
      <c r="E948">
        <v>60</v>
      </c>
      <c r="F948">
        <v>59.932262420999997</v>
      </c>
      <c r="G948">
        <v>1329.3747559000001</v>
      </c>
      <c r="H948">
        <v>1328.7640381000001</v>
      </c>
      <c r="I948">
        <v>1333.1944579999999</v>
      </c>
      <c r="J948">
        <v>1332.2757568</v>
      </c>
      <c r="K948">
        <v>0</v>
      </c>
      <c r="L948">
        <v>550</v>
      </c>
      <c r="M948">
        <v>550</v>
      </c>
      <c r="N948">
        <v>0</v>
      </c>
    </row>
    <row r="949" spans="1:14" x14ac:dyDescent="0.25">
      <c r="A949">
        <v>731.000001</v>
      </c>
      <c r="B949" s="1">
        <f>DATE(2012,5,1) + TIME(0,0,0)</f>
        <v>41030</v>
      </c>
      <c r="C949">
        <v>80</v>
      </c>
      <c r="D949">
        <v>57.454975128000001</v>
      </c>
      <c r="E949">
        <v>60</v>
      </c>
      <c r="F949">
        <v>59.932235718000001</v>
      </c>
      <c r="G949">
        <v>1330.2357178</v>
      </c>
      <c r="H949">
        <v>1329.605957</v>
      </c>
      <c r="I949">
        <v>1332.0968018000001</v>
      </c>
      <c r="J949">
        <v>1332.0823975000001</v>
      </c>
      <c r="K949">
        <v>550</v>
      </c>
      <c r="L949">
        <v>0</v>
      </c>
      <c r="M949">
        <v>0</v>
      </c>
      <c r="N949">
        <v>550</v>
      </c>
    </row>
    <row r="950" spans="1:14" x14ac:dyDescent="0.25">
      <c r="A950">
        <v>731.00000399999999</v>
      </c>
      <c r="B950" s="1">
        <f>DATE(2012,5,1) + TIME(0,0,0)</f>
        <v>41030</v>
      </c>
      <c r="C950">
        <v>80</v>
      </c>
      <c r="D950">
        <v>57.455047606999997</v>
      </c>
      <c r="E950">
        <v>60</v>
      </c>
      <c r="F950">
        <v>59.932201384999999</v>
      </c>
      <c r="G950">
        <v>1330.5328368999999</v>
      </c>
      <c r="H950">
        <v>1329.9383545000001</v>
      </c>
      <c r="I950">
        <v>1331.8352050999999</v>
      </c>
      <c r="J950">
        <v>1331.8260498</v>
      </c>
      <c r="K950">
        <v>550</v>
      </c>
      <c r="L950">
        <v>0</v>
      </c>
      <c r="M950">
        <v>0</v>
      </c>
      <c r="N950">
        <v>550</v>
      </c>
    </row>
    <row r="951" spans="1:14" x14ac:dyDescent="0.25">
      <c r="A951">
        <v>731.00001299999997</v>
      </c>
      <c r="B951" s="1">
        <f>DATE(2012,5,1) + TIME(0,0,1)</f>
        <v>41030.000011574077</v>
      </c>
      <c r="C951">
        <v>80</v>
      </c>
      <c r="D951">
        <v>57.455181121999999</v>
      </c>
      <c r="E951">
        <v>60</v>
      </c>
      <c r="F951">
        <v>59.932163238999998</v>
      </c>
      <c r="G951">
        <v>1330.9067382999999</v>
      </c>
      <c r="H951">
        <v>1330.3057861</v>
      </c>
      <c r="I951">
        <v>1331.5439452999999</v>
      </c>
      <c r="J951">
        <v>1331.5234375</v>
      </c>
      <c r="K951">
        <v>550</v>
      </c>
      <c r="L951">
        <v>0</v>
      </c>
      <c r="M951">
        <v>0</v>
      </c>
      <c r="N951">
        <v>550</v>
      </c>
    </row>
    <row r="952" spans="1:14" x14ac:dyDescent="0.25">
      <c r="A952">
        <v>731.00004000000001</v>
      </c>
      <c r="B952" s="1">
        <f>DATE(2012,5,1) + TIME(0,0,3)</f>
        <v>41030.000034722223</v>
      </c>
      <c r="C952">
        <v>80</v>
      </c>
      <c r="D952">
        <v>57.455493926999999</v>
      </c>
      <c r="E952">
        <v>60</v>
      </c>
      <c r="F952">
        <v>59.932125092</v>
      </c>
      <c r="G952">
        <v>1331.2915039</v>
      </c>
      <c r="H952">
        <v>1330.6716309000001</v>
      </c>
      <c r="I952">
        <v>1331.2497559000001</v>
      </c>
      <c r="J952">
        <v>1331.2120361</v>
      </c>
      <c r="K952">
        <v>550</v>
      </c>
      <c r="L952">
        <v>0</v>
      </c>
      <c r="M952">
        <v>0</v>
      </c>
      <c r="N952">
        <v>550</v>
      </c>
    </row>
    <row r="953" spans="1:14" x14ac:dyDescent="0.25">
      <c r="A953">
        <v>731.00012100000004</v>
      </c>
      <c r="B953" s="1">
        <f>DATE(2012,5,1) + TIME(0,0,10)</f>
        <v>41030.000115740739</v>
      </c>
      <c r="C953">
        <v>80</v>
      </c>
      <c r="D953">
        <v>57.456363678000002</v>
      </c>
      <c r="E953">
        <v>60</v>
      </c>
      <c r="F953">
        <v>59.932083130000002</v>
      </c>
      <c r="G953">
        <v>1331.6566161999999</v>
      </c>
      <c r="H953">
        <v>1331.0163574000001</v>
      </c>
      <c r="I953">
        <v>1330.9604492000001</v>
      </c>
      <c r="J953">
        <v>1330.9024658000001</v>
      </c>
      <c r="K953">
        <v>550</v>
      </c>
      <c r="L953">
        <v>0</v>
      </c>
      <c r="M953">
        <v>0</v>
      </c>
      <c r="N953">
        <v>550</v>
      </c>
    </row>
    <row r="954" spans="1:14" x14ac:dyDescent="0.25">
      <c r="A954">
        <v>731.00036399999999</v>
      </c>
      <c r="B954" s="1">
        <f>DATE(2012,5,1) + TIME(0,0,31)</f>
        <v>41030.000358796293</v>
      </c>
      <c r="C954">
        <v>80</v>
      </c>
      <c r="D954">
        <v>57.458957671999997</v>
      </c>
      <c r="E954">
        <v>60</v>
      </c>
      <c r="F954">
        <v>59.932033539000003</v>
      </c>
      <c r="G954">
        <v>1331.9608154</v>
      </c>
      <c r="H954">
        <v>1331.2982178</v>
      </c>
      <c r="I954">
        <v>1330.7092285000001</v>
      </c>
      <c r="J954">
        <v>1330.6308594</v>
      </c>
      <c r="K954">
        <v>550</v>
      </c>
      <c r="L954">
        <v>0</v>
      </c>
      <c r="M954">
        <v>0</v>
      </c>
      <c r="N954">
        <v>550</v>
      </c>
    </row>
    <row r="955" spans="1:14" x14ac:dyDescent="0.25">
      <c r="A955">
        <v>731.00109299999997</v>
      </c>
      <c r="B955" s="1">
        <f>DATE(2012,5,1) + TIME(0,1,34)</f>
        <v>41030.001087962963</v>
      </c>
      <c r="C955">
        <v>80</v>
      </c>
      <c r="D955">
        <v>57.466842651</v>
      </c>
      <c r="E955">
        <v>60</v>
      </c>
      <c r="F955">
        <v>59.931972504000001</v>
      </c>
      <c r="G955">
        <v>1332.1582031</v>
      </c>
      <c r="H955">
        <v>1331.4792480000001</v>
      </c>
      <c r="I955">
        <v>1330.5360106999999</v>
      </c>
      <c r="J955">
        <v>1330.4448242000001</v>
      </c>
      <c r="K955">
        <v>550</v>
      </c>
      <c r="L955">
        <v>0</v>
      </c>
      <c r="M955">
        <v>0</v>
      </c>
      <c r="N955">
        <v>550</v>
      </c>
    </row>
    <row r="956" spans="1:14" x14ac:dyDescent="0.25">
      <c r="A956">
        <v>731.00328000000002</v>
      </c>
      <c r="B956" s="1">
        <f>DATE(2012,5,1) + TIME(0,4,43)</f>
        <v>41030.003275462965</v>
      </c>
      <c r="C956">
        <v>80</v>
      </c>
      <c r="D956">
        <v>57.490661621000001</v>
      </c>
      <c r="E956">
        <v>60</v>
      </c>
      <c r="F956">
        <v>59.931831359999997</v>
      </c>
      <c r="G956">
        <v>1332.2562256000001</v>
      </c>
      <c r="H956">
        <v>1331.5704346</v>
      </c>
      <c r="I956">
        <v>1330.4439697</v>
      </c>
      <c r="J956">
        <v>1330.3476562000001</v>
      </c>
      <c r="K956">
        <v>550</v>
      </c>
      <c r="L956">
        <v>0</v>
      </c>
      <c r="M956">
        <v>0</v>
      </c>
      <c r="N956">
        <v>550</v>
      </c>
    </row>
    <row r="957" spans="1:14" x14ac:dyDescent="0.25">
      <c r="A957">
        <v>731.00984100000005</v>
      </c>
      <c r="B957" s="1">
        <f>DATE(2012,5,1) + TIME(0,14,10)</f>
        <v>41030.009837962964</v>
      </c>
      <c r="C957">
        <v>80</v>
      </c>
      <c r="D957">
        <v>57.562080383000001</v>
      </c>
      <c r="E957">
        <v>60</v>
      </c>
      <c r="F957">
        <v>59.931446074999997</v>
      </c>
      <c r="G957">
        <v>1332.2939452999999</v>
      </c>
      <c r="H957">
        <v>1331.6068115</v>
      </c>
      <c r="I957">
        <v>1330.4122314000001</v>
      </c>
      <c r="J957">
        <v>1330.3145752</v>
      </c>
      <c r="K957">
        <v>550</v>
      </c>
      <c r="L957">
        <v>0</v>
      </c>
      <c r="M957">
        <v>0</v>
      </c>
      <c r="N957">
        <v>550</v>
      </c>
    </row>
    <row r="958" spans="1:14" x14ac:dyDescent="0.25">
      <c r="A958">
        <v>731.02952400000004</v>
      </c>
      <c r="B958" s="1">
        <f>DATE(2012,5,1) + TIME(0,42,30)</f>
        <v>41030.029513888891</v>
      </c>
      <c r="C958">
        <v>80</v>
      </c>
      <c r="D958">
        <v>57.774662018000001</v>
      </c>
      <c r="E958">
        <v>60</v>
      </c>
      <c r="F958">
        <v>59.930305480999998</v>
      </c>
      <c r="G958">
        <v>1332.3035889</v>
      </c>
      <c r="H958">
        <v>1331.6171875</v>
      </c>
      <c r="I958">
        <v>1330.4080810999999</v>
      </c>
      <c r="J958">
        <v>1330.3100586</v>
      </c>
      <c r="K958">
        <v>550</v>
      </c>
      <c r="L958">
        <v>0</v>
      </c>
      <c r="M958">
        <v>0</v>
      </c>
      <c r="N958">
        <v>550</v>
      </c>
    </row>
    <row r="959" spans="1:14" x14ac:dyDescent="0.25">
      <c r="A959">
        <v>731.088573</v>
      </c>
      <c r="B959" s="1">
        <f>DATE(2012,5,1) + TIME(2,7,32)</f>
        <v>41030.088564814818</v>
      </c>
      <c r="C959">
        <v>80</v>
      </c>
      <c r="D959">
        <v>58.397129059000001</v>
      </c>
      <c r="E959">
        <v>60</v>
      </c>
      <c r="F959">
        <v>59.926887512</v>
      </c>
      <c r="G959">
        <v>1332.3048096</v>
      </c>
      <c r="H959">
        <v>1331.621582</v>
      </c>
      <c r="I959">
        <v>1330.4073486</v>
      </c>
      <c r="J959">
        <v>1330.3085937999999</v>
      </c>
      <c r="K959">
        <v>550</v>
      </c>
      <c r="L959">
        <v>0</v>
      </c>
      <c r="M959">
        <v>0</v>
      </c>
      <c r="N959">
        <v>550</v>
      </c>
    </row>
    <row r="960" spans="1:14" x14ac:dyDescent="0.25">
      <c r="A960">
        <v>731.16347900000005</v>
      </c>
      <c r="B960" s="1">
        <f>DATE(2012,5,1) + TIME(3,55,24)</f>
        <v>41030.163472222222</v>
      </c>
      <c r="C960">
        <v>80</v>
      </c>
      <c r="D960">
        <v>59.174922942999999</v>
      </c>
      <c r="E960">
        <v>60</v>
      </c>
      <c r="F960">
        <v>59.922542571999998</v>
      </c>
      <c r="G960">
        <v>1332.3302002</v>
      </c>
      <c r="H960">
        <v>1331.6398925999999</v>
      </c>
      <c r="I960">
        <v>1330.4051514</v>
      </c>
      <c r="J960">
        <v>1330.3044434000001</v>
      </c>
      <c r="K960">
        <v>550</v>
      </c>
      <c r="L960">
        <v>0</v>
      </c>
      <c r="M960">
        <v>0</v>
      </c>
      <c r="N960">
        <v>550</v>
      </c>
    </row>
    <row r="961" spans="1:14" x14ac:dyDescent="0.25">
      <c r="A961">
        <v>731.23982000000001</v>
      </c>
      <c r="B961" s="1">
        <f>DATE(2012,5,1) + TIME(5,45,20)</f>
        <v>41030.239814814813</v>
      </c>
      <c r="C961">
        <v>80</v>
      </c>
      <c r="D961">
        <v>59.960128783999998</v>
      </c>
      <c r="E961">
        <v>60</v>
      </c>
      <c r="F961">
        <v>59.918098450000002</v>
      </c>
      <c r="G961">
        <v>1332.3676757999999</v>
      </c>
      <c r="H961">
        <v>1331.6651611</v>
      </c>
      <c r="I961">
        <v>1330.4024658000001</v>
      </c>
      <c r="J961">
        <v>1330.2995605000001</v>
      </c>
      <c r="K961">
        <v>550</v>
      </c>
      <c r="L961">
        <v>0</v>
      </c>
      <c r="M961">
        <v>0</v>
      </c>
      <c r="N961">
        <v>550</v>
      </c>
    </row>
    <row r="962" spans="1:14" x14ac:dyDescent="0.25">
      <c r="A962">
        <v>731.31770600000004</v>
      </c>
      <c r="B962" s="1">
        <f>DATE(2012,5,1) + TIME(7,37,29)</f>
        <v>41030.317696759259</v>
      </c>
      <c r="C962">
        <v>80</v>
      </c>
      <c r="D962">
        <v>60.752010345000002</v>
      </c>
      <c r="E962">
        <v>60</v>
      </c>
      <c r="F962">
        <v>59.913547516000001</v>
      </c>
      <c r="G962">
        <v>1332.4069824000001</v>
      </c>
      <c r="H962">
        <v>1331.6916504000001</v>
      </c>
      <c r="I962">
        <v>1330.3997803</v>
      </c>
      <c r="J962">
        <v>1330.2946777</v>
      </c>
      <c r="K962">
        <v>550</v>
      </c>
      <c r="L962">
        <v>0</v>
      </c>
      <c r="M962">
        <v>0</v>
      </c>
      <c r="N962">
        <v>550</v>
      </c>
    </row>
    <row r="963" spans="1:14" x14ac:dyDescent="0.25">
      <c r="A963">
        <v>731.39720199999999</v>
      </c>
      <c r="B963" s="1">
        <f>DATE(2012,5,1) + TIME(9,31,58)</f>
        <v>41030.397199074076</v>
      </c>
      <c r="C963">
        <v>80</v>
      </c>
      <c r="D963">
        <v>61.550197601000001</v>
      </c>
      <c r="E963">
        <v>60</v>
      </c>
      <c r="F963">
        <v>59.908885955999999</v>
      </c>
      <c r="G963">
        <v>1332.4481201000001</v>
      </c>
      <c r="H963">
        <v>1331.7194824000001</v>
      </c>
      <c r="I963">
        <v>1330.3972168</v>
      </c>
      <c r="J963">
        <v>1330.2897949000001</v>
      </c>
      <c r="K963">
        <v>550</v>
      </c>
      <c r="L963">
        <v>0</v>
      </c>
      <c r="M963">
        <v>0</v>
      </c>
      <c r="N963">
        <v>550</v>
      </c>
    </row>
    <row r="964" spans="1:14" x14ac:dyDescent="0.25">
      <c r="A964">
        <v>731.47837800000002</v>
      </c>
      <c r="B964" s="1">
        <f>DATE(2012,5,1) + TIME(11,28,51)</f>
        <v>41030.478368055556</v>
      </c>
      <c r="C964">
        <v>80</v>
      </c>
      <c r="D964">
        <v>62.353672027999998</v>
      </c>
      <c r="E964">
        <v>60</v>
      </c>
      <c r="F964">
        <v>59.904106140000003</v>
      </c>
      <c r="G964">
        <v>1332.4910889</v>
      </c>
      <c r="H964">
        <v>1331.7484131000001</v>
      </c>
      <c r="I964">
        <v>1330.3946533000001</v>
      </c>
      <c r="J964">
        <v>1330.2849120999999</v>
      </c>
      <c r="K964">
        <v>550</v>
      </c>
      <c r="L964">
        <v>0</v>
      </c>
      <c r="M964">
        <v>0</v>
      </c>
      <c r="N964">
        <v>550</v>
      </c>
    </row>
    <row r="965" spans="1:14" x14ac:dyDescent="0.25">
      <c r="A965">
        <v>731.56130800000005</v>
      </c>
      <c r="B965" s="1">
        <f>DATE(2012,5,1) + TIME(13,28,17)</f>
        <v>41030.561307870368</v>
      </c>
      <c r="C965">
        <v>80</v>
      </c>
      <c r="D965">
        <v>63.161170959000003</v>
      </c>
      <c r="E965">
        <v>60</v>
      </c>
      <c r="F965">
        <v>59.899208068999997</v>
      </c>
      <c r="G965">
        <v>1332.5355225000001</v>
      </c>
      <c r="H965">
        <v>1331.7784423999999</v>
      </c>
      <c r="I965">
        <v>1330.3920897999999</v>
      </c>
      <c r="J965">
        <v>1330.2800293</v>
      </c>
      <c r="K965">
        <v>550</v>
      </c>
      <c r="L965">
        <v>0</v>
      </c>
      <c r="M965">
        <v>0</v>
      </c>
      <c r="N965">
        <v>550</v>
      </c>
    </row>
    <row r="966" spans="1:14" x14ac:dyDescent="0.25">
      <c r="A966">
        <v>731.646073</v>
      </c>
      <c r="B966" s="1">
        <f>DATE(2012,5,1) + TIME(15,30,20)</f>
        <v>41030.646064814813</v>
      </c>
      <c r="C966">
        <v>80</v>
      </c>
      <c r="D966">
        <v>63.971244812000002</v>
      </c>
      <c r="E966">
        <v>60</v>
      </c>
      <c r="F966">
        <v>59.894184113000001</v>
      </c>
      <c r="G966">
        <v>1332.581543</v>
      </c>
      <c r="H966">
        <v>1331.8094481999999</v>
      </c>
      <c r="I966">
        <v>1330.3895264</v>
      </c>
      <c r="J966">
        <v>1330.2751464999999</v>
      </c>
      <c r="K966">
        <v>550</v>
      </c>
      <c r="L966">
        <v>0</v>
      </c>
      <c r="M966">
        <v>0</v>
      </c>
      <c r="N966">
        <v>550</v>
      </c>
    </row>
    <row r="967" spans="1:14" x14ac:dyDescent="0.25">
      <c r="A967">
        <v>731.73276099999998</v>
      </c>
      <c r="B967" s="1">
        <f>DATE(2012,5,1) + TIME(17,35,10)</f>
        <v>41030.732754629629</v>
      </c>
      <c r="C967">
        <v>80</v>
      </c>
      <c r="D967">
        <v>64.782257079999994</v>
      </c>
      <c r="E967">
        <v>60</v>
      </c>
      <c r="F967">
        <v>59.889030456999997</v>
      </c>
      <c r="G967">
        <v>1332.6290283000001</v>
      </c>
      <c r="H967">
        <v>1331.8415527</v>
      </c>
      <c r="I967">
        <v>1330.3870850000001</v>
      </c>
      <c r="J967">
        <v>1330.2703856999999</v>
      </c>
      <c r="K967">
        <v>550</v>
      </c>
      <c r="L967">
        <v>0</v>
      </c>
      <c r="M967">
        <v>0</v>
      </c>
      <c r="N967">
        <v>550</v>
      </c>
    </row>
    <row r="968" spans="1:14" x14ac:dyDescent="0.25">
      <c r="A968">
        <v>731.82139400000005</v>
      </c>
      <c r="B968" s="1">
        <f>DATE(2012,5,1) + TIME(19,42,48)</f>
        <v>41030.821388888886</v>
      </c>
      <c r="C968">
        <v>80</v>
      </c>
      <c r="D968">
        <v>65.591865540000001</v>
      </c>
      <c r="E968">
        <v>60</v>
      </c>
      <c r="F968">
        <v>59.883739470999998</v>
      </c>
      <c r="G968">
        <v>1332.6778564000001</v>
      </c>
      <c r="H968">
        <v>1331.8745117000001</v>
      </c>
      <c r="I968">
        <v>1330.3846435999999</v>
      </c>
      <c r="J968">
        <v>1330.2655029</v>
      </c>
      <c r="K968">
        <v>550</v>
      </c>
      <c r="L968">
        <v>0</v>
      </c>
      <c r="M968">
        <v>0</v>
      </c>
      <c r="N968">
        <v>550</v>
      </c>
    </row>
    <row r="969" spans="1:14" x14ac:dyDescent="0.25">
      <c r="A969">
        <v>731.91205600000001</v>
      </c>
      <c r="B969" s="1">
        <f>DATE(2012,5,1) + TIME(21,53,21)</f>
        <v>41030.912048611113</v>
      </c>
      <c r="C969">
        <v>80</v>
      </c>
      <c r="D969">
        <v>66.397872925000001</v>
      </c>
      <c r="E969">
        <v>60</v>
      </c>
      <c r="F969">
        <v>59.878314971999998</v>
      </c>
      <c r="G969">
        <v>1332.7277832</v>
      </c>
      <c r="H969">
        <v>1331.9083252</v>
      </c>
      <c r="I969">
        <v>1330.3820800999999</v>
      </c>
      <c r="J969">
        <v>1330.2607422000001</v>
      </c>
      <c r="K969">
        <v>550</v>
      </c>
      <c r="L969">
        <v>0</v>
      </c>
      <c r="M969">
        <v>0</v>
      </c>
      <c r="N969">
        <v>550</v>
      </c>
    </row>
    <row r="970" spans="1:14" x14ac:dyDescent="0.25">
      <c r="A970">
        <v>732.00484800000004</v>
      </c>
      <c r="B970" s="1">
        <f>DATE(2012,5,2) + TIME(0,6,58)</f>
        <v>41031.004837962966</v>
      </c>
      <c r="C970">
        <v>80</v>
      </c>
      <c r="D970">
        <v>67.198013306000007</v>
      </c>
      <c r="E970">
        <v>60</v>
      </c>
      <c r="F970">
        <v>59.872745514000002</v>
      </c>
      <c r="G970">
        <v>1332.7788086</v>
      </c>
      <c r="H970">
        <v>1331.9428711</v>
      </c>
      <c r="I970">
        <v>1330.3796387</v>
      </c>
      <c r="J970">
        <v>1330.2558594</v>
      </c>
      <c r="K970">
        <v>550</v>
      </c>
      <c r="L970">
        <v>0</v>
      </c>
      <c r="M970">
        <v>0</v>
      </c>
      <c r="N970">
        <v>550</v>
      </c>
    </row>
    <row r="971" spans="1:14" x14ac:dyDescent="0.25">
      <c r="A971">
        <v>732.09991400000001</v>
      </c>
      <c r="B971" s="1">
        <f>DATE(2012,5,2) + TIME(2,23,52)</f>
        <v>41031.099907407406</v>
      </c>
      <c r="C971">
        <v>80</v>
      </c>
      <c r="D971">
        <v>67.990219116000006</v>
      </c>
      <c r="E971">
        <v>60</v>
      </c>
      <c r="F971">
        <v>59.867023467999999</v>
      </c>
      <c r="G971">
        <v>1332.8306885</v>
      </c>
      <c r="H971">
        <v>1331.9780272999999</v>
      </c>
      <c r="I971">
        <v>1330.3773193</v>
      </c>
      <c r="J971">
        <v>1330.2509766000001</v>
      </c>
      <c r="K971">
        <v>550</v>
      </c>
      <c r="L971">
        <v>0</v>
      </c>
      <c r="M971">
        <v>0</v>
      </c>
      <c r="N971">
        <v>550</v>
      </c>
    </row>
    <row r="972" spans="1:14" x14ac:dyDescent="0.25">
      <c r="A972">
        <v>732.19741699999997</v>
      </c>
      <c r="B972" s="1">
        <f>DATE(2012,5,2) + TIME(4,44,16)</f>
        <v>41031.19740740741</v>
      </c>
      <c r="C972">
        <v>80</v>
      </c>
      <c r="D972">
        <v>68.772338867000002</v>
      </c>
      <c r="E972">
        <v>60</v>
      </c>
      <c r="F972">
        <v>59.861133574999997</v>
      </c>
      <c r="G972">
        <v>1332.8833007999999</v>
      </c>
      <c r="H972">
        <v>1332.0137939000001</v>
      </c>
      <c r="I972">
        <v>1330.3748779</v>
      </c>
      <c r="J972">
        <v>1330.2462158000001</v>
      </c>
      <c r="K972">
        <v>550</v>
      </c>
      <c r="L972">
        <v>0</v>
      </c>
      <c r="M972">
        <v>0</v>
      </c>
      <c r="N972">
        <v>550</v>
      </c>
    </row>
    <row r="973" spans="1:14" x14ac:dyDescent="0.25">
      <c r="A973">
        <v>732.29754100000002</v>
      </c>
      <c r="B973" s="1">
        <f>DATE(2012,5,2) + TIME(7,8,27)</f>
        <v>41031.297534722224</v>
      </c>
      <c r="C973">
        <v>80</v>
      </c>
      <c r="D973">
        <v>69.542160034000005</v>
      </c>
      <c r="E973">
        <v>60</v>
      </c>
      <c r="F973">
        <v>59.855072020999998</v>
      </c>
      <c r="G973">
        <v>1332.9366454999999</v>
      </c>
      <c r="H973">
        <v>1332.0500488</v>
      </c>
      <c r="I973">
        <v>1330.3724365</v>
      </c>
      <c r="J973">
        <v>1330.2413329999999</v>
      </c>
      <c r="K973">
        <v>550</v>
      </c>
      <c r="L973">
        <v>0</v>
      </c>
      <c r="M973">
        <v>0</v>
      </c>
      <c r="N973">
        <v>550</v>
      </c>
    </row>
    <row r="974" spans="1:14" x14ac:dyDescent="0.25">
      <c r="A974">
        <v>732.40049799999997</v>
      </c>
      <c r="B974" s="1">
        <f>DATE(2012,5,2) + TIME(9,36,43)</f>
        <v>41031.400497685187</v>
      </c>
      <c r="C974">
        <v>80</v>
      </c>
      <c r="D974">
        <v>70.297241210999999</v>
      </c>
      <c r="E974">
        <v>60</v>
      </c>
      <c r="F974">
        <v>59.848823547000002</v>
      </c>
      <c r="G974">
        <v>1332.9904785000001</v>
      </c>
      <c r="H974">
        <v>1332.0867920000001</v>
      </c>
      <c r="I974">
        <v>1330.3699951000001</v>
      </c>
      <c r="J974">
        <v>1330.2364502</v>
      </c>
      <c r="K974">
        <v>550</v>
      </c>
      <c r="L974">
        <v>0</v>
      </c>
      <c r="M974">
        <v>0</v>
      </c>
      <c r="N974">
        <v>550</v>
      </c>
    </row>
    <row r="975" spans="1:14" x14ac:dyDescent="0.25">
      <c r="A975">
        <v>732.506529</v>
      </c>
      <c r="B975" s="1">
        <f>DATE(2012,5,2) + TIME(12,9,24)</f>
        <v>41031.506527777776</v>
      </c>
      <c r="C975">
        <v>80</v>
      </c>
      <c r="D975">
        <v>71.035194396999998</v>
      </c>
      <c r="E975">
        <v>60</v>
      </c>
      <c r="F975">
        <v>59.842372894</v>
      </c>
      <c r="G975">
        <v>1333.0447998</v>
      </c>
      <c r="H975">
        <v>1332.1237793</v>
      </c>
      <c r="I975">
        <v>1330.3675536999999</v>
      </c>
      <c r="J975">
        <v>1330.2315673999999</v>
      </c>
      <c r="K975">
        <v>550</v>
      </c>
      <c r="L975">
        <v>0</v>
      </c>
      <c r="M975">
        <v>0</v>
      </c>
      <c r="N975">
        <v>550</v>
      </c>
    </row>
    <row r="976" spans="1:14" x14ac:dyDescent="0.25">
      <c r="A976">
        <v>732.61589400000003</v>
      </c>
      <c r="B976" s="1">
        <f>DATE(2012,5,2) + TIME(14,46,53)</f>
        <v>41031.615891203706</v>
      </c>
      <c r="C976">
        <v>80</v>
      </c>
      <c r="D976">
        <v>71.754013061999999</v>
      </c>
      <c r="E976">
        <v>60</v>
      </c>
      <c r="F976">
        <v>59.835704802999999</v>
      </c>
      <c r="G976">
        <v>1333.0993652</v>
      </c>
      <c r="H976">
        <v>1332.1610106999999</v>
      </c>
      <c r="I976">
        <v>1330.3649902</v>
      </c>
      <c r="J976">
        <v>1330.2265625</v>
      </c>
      <c r="K976">
        <v>550</v>
      </c>
      <c r="L976">
        <v>0</v>
      </c>
      <c r="M976">
        <v>0</v>
      </c>
      <c r="N976">
        <v>550</v>
      </c>
    </row>
    <row r="977" spans="1:14" x14ac:dyDescent="0.25">
      <c r="A977">
        <v>732.72860800000001</v>
      </c>
      <c r="B977" s="1">
        <f>DATE(2012,5,2) + TIME(17,29,11)</f>
        <v>41031.72859953704</v>
      </c>
      <c r="C977">
        <v>80</v>
      </c>
      <c r="D977">
        <v>72.44984436</v>
      </c>
      <c r="E977">
        <v>60</v>
      </c>
      <c r="F977">
        <v>59.828815460000001</v>
      </c>
      <c r="G977">
        <v>1333.1540527</v>
      </c>
      <c r="H977">
        <v>1332.1983643000001</v>
      </c>
      <c r="I977">
        <v>1330.3625488</v>
      </c>
      <c r="J977">
        <v>1330.2215576000001</v>
      </c>
      <c r="K977">
        <v>550</v>
      </c>
      <c r="L977">
        <v>0</v>
      </c>
      <c r="M977">
        <v>0</v>
      </c>
      <c r="N977">
        <v>550</v>
      </c>
    </row>
    <row r="978" spans="1:14" x14ac:dyDescent="0.25">
      <c r="A978">
        <v>732.84489799999994</v>
      </c>
      <c r="B978" s="1">
        <f>DATE(2012,5,2) + TIME(20,16,39)</f>
        <v>41031.844895833332</v>
      </c>
      <c r="C978">
        <v>80</v>
      </c>
      <c r="D978">
        <v>73.120193481000001</v>
      </c>
      <c r="E978">
        <v>60</v>
      </c>
      <c r="F978">
        <v>59.821693420000003</v>
      </c>
      <c r="G978">
        <v>1333.2087402</v>
      </c>
      <c r="H978">
        <v>1332.2355957</v>
      </c>
      <c r="I978">
        <v>1330.3599853999999</v>
      </c>
      <c r="J978">
        <v>1330.2165527</v>
      </c>
      <c r="K978">
        <v>550</v>
      </c>
      <c r="L978">
        <v>0</v>
      </c>
      <c r="M978">
        <v>0</v>
      </c>
      <c r="N978">
        <v>550</v>
      </c>
    </row>
    <row r="979" spans="1:14" x14ac:dyDescent="0.25">
      <c r="A979">
        <v>732.965012</v>
      </c>
      <c r="B979" s="1">
        <f>DATE(2012,5,2) + TIME(23,9,37)</f>
        <v>41031.965011574073</v>
      </c>
      <c r="C979">
        <v>80</v>
      </c>
      <c r="D979">
        <v>73.762725829999994</v>
      </c>
      <c r="E979">
        <v>60</v>
      </c>
      <c r="F979">
        <v>59.814327239999997</v>
      </c>
      <c r="G979">
        <v>1333.2630615</v>
      </c>
      <c r="H979">
        <v>1332.2727050999999</v>
      </c>
      <c r="I979">
        <v>1330.3574219</v>
      </c>
      <c r="J979">
        <v>1330.2114257999999</v>
      </c>
      <c r="K979">
        <v>550</v>
      </c>
      <c r="L979">
        <v>0</v>
      </c>
      <c r="M979">
        <v>0</v>
      </c>
      <c r="N979">
        <v>550</v>
      </c>
    </row>
    <row r="980" spans="1:14" x14ac:dyDescent="0.25">
      <c r="A980">
        <v>733.08921999999995</v>
      </c>
      <c r="B980" s="1">
        <f>DATE(2012,5,3) + TIME(2,8,28)</f>
        <v>41032.089212962965</v>
      </c>
      <c r="C980">
        <v>80</v>
      </c>
      <c r="D980">
        <v>74.375289917000003</v>
      </c>
      <c r="E980">
        <v>60</v>
      </c>
      <c r="F980">
        <v>59.806694030999999</v>
      </c>
      <c r="G980">
        <v>1333.3170166</v>
      </c>
      <c r="H980">
        <v>1332.3095702999999</v>
      </c>
      <c r="I980">
        <v>1330.3547363</v>
      </c>
      <c r="J980">
        <v>1330.2061768000001</v>
      </c>
      <c r="K980">
        <v>550</v>
      </c>
      <c r="L980">
        <v>0</v>
      </c>
      <c r="M980">
        <v>0</v>
      </c>
      <c r="N980">
        <v>550</v>
      </c>
    </row>
    <row r="981" spans="1:14" x14ac:dyDescent="0.25">
      <c r="A981">
        <v>733.21783000000005</v>
      </c>
      <c r="B981" s="1">
        <f>DATE(2012,5,3) + TIME(5,13,40)</f>
        <v>41032.217824074076</v>
      </c>
      <c r="C981">
        <v>80</v>
      </c>
      <c r="D981">
        <v>74.956024170000006</v>
      </c>
      <c r="E981">
        <v>60</v>
      </c>
      <c r="F981">
        <v>59.798778534</v>
      </c>
      <c r="G981">
        <v>1333.3702393000001</v>
      </c>
      <c r="H981">
        <v>1332.3459473</v>
      </c>
      <c r="I981">
        <v>1330.3520507999999</v>
      </c>
      <c r="J981">
        <v>1330.2010498</v>
      </c>
      <c r="K981">
        <v>550</v>
      </c>
      <c r="L981">
        <v>0</v>
      </c>
      <c r="M981">
        <v>0</v>
      </c>
      <c r="N981">
        <v>550</v>
      </c>
    </row>
    <row r="982" spans="1:14" x14ac:dyDescent="0.25">
      <c r="A982">
        <v>733.35121900000001</v>
      </c>
      <c r="B982" s="1">
        <f>DATE(2012,5,3) + TIME(8,25,45)</f>
        <v>41032.351215277777</v>
      </c>
      <c r="C982">
        <v>80</v>
      </c>
      <c r="D982">
        <v>75.502830505000006</v>
      </c>
      <c r="E982">
        <v>60</v>
      </c>
      <c r="F982">
        <v>59.790561676000003</v>
      </c>
      <c r="G982">
        <v>1333.4212646000001</v>
      </c>
      <c r="H982">
        <v>1332.3807373</v>
      </c>
      <c r="I982">
        <v>1330.3492432</v>
      </c>
      <c r="J982">
        <v>1330.1956786999999</v>
      </c>
      <c r="K982">
        <v>550</v>
      </c>
      <c r="L982">
        <v>0</v>
      </c>
      <c r="M982">
        <v>0</v>
      </c>
      <c r="N982">
        <v>550</v>
      </c>
    </row>
    <row r="983" spans="1:14" x14ac:dyDescent="0.25">
      <c r="A983">
        <v>733.48986000000002</v>
      </c>
      <c r="B983" s="1">
        <f>DATE(2012,5,3) + TIME(11,45,23)</f>
        <v>41032.489849537036</v>
      </c>
      <c r="C983">
        <v>80</v>
      </c>
      <c r="D983">
        <v>76.014923096000004</v>
      </c>
      <c r="E983">
        <v>60</v>
      </c>
      <c r="F983">
        <v>59.782012938999998</v>
      </c>
      <c r="G983">
        <v>1333.4697266000001</v>
      </c>
      <c r="H983">
        <v>1332.4139404</v>
      </c>
      <c r="I983">
        <v>1330.3463135</v>
      </c>
      <c r="J983">
        <v>1330.1901855000001</v>
      </c>
      <c r="K983">
        <v>550</v>
      </c>
      <c r="L983">
        <v>0</v>
      </c>
      <c r="M983">
        <v>0</v>
      </c>
      <c r="N983">
        <v>550</v>
      </c>
    </row>
    <row r="984" spans="1:14" x14ac:dyDescent="0.25">
      <c r="A984">
        <v>733.63434800000005</v>
      </c>
      <c r="B984" s="1">
        <f>DATE(2012,5,3) + TIME(15,13,27)</f>
        <v>41032.634340277778</v>
      </c>
      <c r="C984">
        <v>80</v>
      </c>
      <c r="D984">
        <v>76.491630553999997</v>
      </c>
      <c r="E984">
        <v>60</v>
      </c>
      <c r="F984">
        <v>59.773097991999997</v>
      </c>
      <c r="G984">
        <v>1333.5155029</v>
      </c>
      <c r="H984">
        <v>1332.4451904</v>
      </c>
      <c r="I984">
        <v>1330.3432617000001</v>
      </c>
      <c r="J984">
        <v>1330.1845702999999</v>
      </c>
      <c r="K984">
        <v>550</v>
      </c>
      <c r="L984">
        <v>0</v>
      </c>
      <c r="M984">
        <v>0</v>
      </c>
      <c r="N984">
        <v>550</v>
      </c>
    </row>
    <row r="985" spans="1:14" x14ac:dyDescent="0.25">
      <c r="A985">
        <v>733.78538600000002</v>
      </c>
      <c r="B985" s="1">
        <f>DATE(2012,5,3) + TIME(18,50,57)</f>
        <v>41032.785381944443</v>
      </c>
      <c r="C985">
        <v>80</v>
      </c>
      <c r="D985">
        <v>76.932632446</v>
      </c>
      <c r="E985">
        <v>60</v>
      </c>
      <c r="F985">
        <v>59.763778686999999</v>
      </c>
      <c r="G985">
        <v>1333.5579834</v>
      </c>
      <c r="H985">
        <v>1332.4742432</v>
      </c>
      <c r="I985">
        <v>1330.3399658000001</v>
      </c>
      <c r="J985">
        <v>1330.1788329999999</v>
      </c>
      <c r="K985">
        <v>550</v>
      </c>
      <c r="L985">
        <v>0</v>
      </c>
      <c r="M985">
        <v>0</v>
      </c>
      <c r="N985">
        <v>550</v>
      </c>
    </row>
    <row r="986" spans="1:14" x14ac:dyDescent="0.25">
      <c r="A986">
        <v>733.94381799999996</v>
      </c>
      <c r="B986" s="1">
        <f>DATE(2012,5,3) + TIME(22,39,5)</f>
        <v>41032.943807870368</v>
      </c>
      <c r="C986">
        <v>80</v>
      </c>
      <c r="D986">
        <v>77.338119507000002</v>
      </c>
      <c r="E986">
        <v>60</v>
      </c>
      <c r="F986">
        <v>59.754001617</v>
      </c>
      <c r="G986">
        <v>1333.5987548999999</v>
      </c>
      <c r="H986">
        <v>1332.5020752</v>
      </c>
      <c r="I986">
        <v>1330.3366699000001</v>
      </c>
      <c r="J986">
        <v>1330.1729736</v>
      </c>
      <c r="K986">
        <v>550</v>
      </c>
      <c r="L986">
        <v>0</v>
      </c>
      <c r="M986">
        <v>0</v>
      </c>
      <c r="N986">
        <v>550</v>
      </c>
    </row>
    <row r="987" spans="1:14" x14ac:dyDescent="0.25">
      <c r="A987">
        <v>734.11038299999996</v>
      </c>
      <c r="B987" s="1">
        <f>DATE(2012,5,4) + TIME(2,38,57)</f>
        <v>41033.110381944447</v>
      </c>
      <c r="C987">
        <v>80</v>
      </c>
      <c r="D987">
        <v>77.707710266000007</v>
      </c>
      <c r="E987">
        <v>60</v>
      </c>
      <c r="F987">
        <v>59.743728638</v>
      </c>
      <c r="G987">
        <v>1333.6343993999999</v>
      </c>
      <c r="H987">
        <v>1332.5264893000001</v>
      </c>
      <c r="I987">
        <v>1330.3330077999999</v>
      </c>
      <c r="J987">
        <v>1330.1668701000001</v>
      </c>
      <c r="K987">
        <v>550</v>
      </c>
      <c r="L987">
        <v>0</v>
      </c>
      <c r="M987">
        <v>0</v>
      </c>
      <c r="N987">
        <v>550</v>
      </c>
    </row>
    <row r="988" spans="1:14" x14ac:dyDescent="0.25">
      <c r="A988">
        <v>734.28648399999997</v>
      </c>
      <c r="B988" s="1">
        <f>DATE(2012,5,4) + TIME(6,52,32)</f>
        <v>41033.286481481482</v>
      </c>
      <c r="C988">
        <v>80</v>
      </c>
      <c r="D988">
        <v>78.042800903</v>
      </c>
      <c r="E988">
        <v>60</v>
      </c>
      <c r="F988">
        <v>59.732879638999997</v>
      </c>
      <c r="G988">
        <v>1333.6687012</v>
      </c>
      <c r="H988">
        <v>1332.5499268000001</v>
      </c>
      <c r="I988">
        <v>1330.3292236</v>
      </c>
      <c r="J988">
        <v>1330.1606445</v>
      </c>
      <c r="K988">
        <v>550</v>
      </c>
      <c r="L988">
        <v>0</v>
      </c>
      <c r="M988">
        <v>0</v>
      </c>
      <c r="N988">
        <v>550</v>
      </c>
    </row>
    <row r="989" spans="1:14" x14ac:dyDescent="0.25">
      <c r="A989">
        <v>734.47303999999997</v>
      </c>
      <c r="B989" s="1">
        <f>DATE(2012,5,4) + TIME(11,21,10)</f>
        <v>41033.473032407404</v>
      </c>
      <c r="C989">
        <v>80</v>
      </c>
      <c r="D989">
        <v>78.343574524000005</v>
      </c>
      <c r="E989">
        <v>60</v>
      </c>
      <c r="F989">
        <v>59.721401215</v>
      </c>
      <c r="G989">
        <v>1333.7000731999999</v>
      </c>
      <c r="H989">
        <v>1332.5714111</v>
      </c>
      <c r="I989">
        <v>1330.3253173999999</v>
      </c>
      <c r="J989">
        <v>1330.1541748</v>
      </c>
      <c r="K989">
        <v>550</v>
      </c>
      <c r="L989">
        <v>0</v>
      </c>
      <c r="M989">
        <v>0</v>
      </c>
      <c r="N989">
        <v>550</v>
      </c>
    </row>
    <row r="990" spans="1:14" x14ac:dyDescent="0.25">
      <c r="A990">
        <v>734.67151899999999</v>
      </c>
      <c r="B990" s="1">
        <f>DATE(2012,5,4) + TIME(16,6,59)</f>
        <v>41033.671516203707</v>
      </c>
      <c r="C990">
        <v>80</v>
      </c>
      <c r="D990">
        <v>78.611068725999999</v>
      </c>
      <c r="E990">
        <v>60</v>
      </c>
      <c r="F990">
        <v>59.709213257000002</v>
      </c>
      <c r="G990">
        <v>1333.7268065999999</v>
      </c>
      <c r="H990">
        <v>1332.5898437999999</v>
      </c>
      <c r="I990">
        <v>1330.3211670000001</v>
      </c>
      <c r="J990">
        <v>1330.1473389</v>
      </c>
      <c r="K990">
        <v>550</v>
      </c>
      <c r="L990">
        <v>0</v>
      </c>
      <c r="M990">
        <v>0</v>
      </c>
      <c r="N990">
        <v>550</v>
      </c>
    </row>
    <row r="991" spans="1:14" x14ac:dyDescent="0.25">
      <c r="A991">
        <v>734.88396899999998</v>
      </c>
      <c r="B991" s="1">
        <f>DATE(2012,5,4) + TIME(21,12,54)</f>
        <v>41033.883958333332</v>
      </c>
      <c r="C991">
        <v>80</v>
      </c>
      <c r="D991">
        <v>78.847106933999996</v>
      </c>
      <c r="E991">
        <v>60</v>
      </c>
      <c r="F991">
        <v>59.696197509999998</v>
      </c>
      <c r="G991">
        <v>1333.7523193</v>
      </c>
      <c r="H991">
        <v>1332.6075439000001</v>
      </c>
      <c r="I991">
        <v>1330.3167725000001</v>
      </c>
      <c r="J991">
        <v>1330.1403809000001</v>
      </c>
      <c r="K991">
        <v>550</v>
      </c>
      <c r="L991">
        <v>0</v>
      </c>
      <c r="M991">
        <v>0</v>
      </c>
      <c r="N991">
        <v>550</v>
      </c>
    </row>
    <row r="992" spans="1:14" x14ac:dyDescent="0.25">
      <c r="A992">
        <v>735.11209699999995</v>
      </c>
      <c r="B992" s="1">
        <f>DATE(2012,5,5) + TIME(2,41,25)</f>
        <v>41034.11209490741</v>
      </c>
      <c r="C992">
        <v>80</v>
      </c>
      <c r="D992">
        <v>79.052917480000005</v>
      </c>
      <c r="E992">
        <v>60</v>
      </c>
      <c r="F992">
        <v>59.682262420999997</v>
      </c>
      <c r="G992">
        <v>1333.7766113</v>
      </c>
      <c r="H992">
        <v>1332.6245117000001</v>
      </c>
      <c r="I992">
        <v>1330.3121338000001</v>
      </c>
      <c r="J992">
        <v>1330.1330565999999</v>
      </c>
      <c r="K992">
        <v>550</v>
      </c>
      <c r="L992">
        <v>0</v>
      </c>
      <c r="M992">
        <v>0</v>
      </c>
      <c r="N992">
        <v>550</v>
      </c>
    </row>
    <row r="993" spans="1:14" x14ac:dyDescent="0.25">
      <c r="A993">
        <v>735.35541499999999</v>
      </c>
      <c r="B993" s="1">
        <f>DATE(2012,5,5) + TIME(8,31,47)</f>
        <v>41034.355405092596</v>
      </c>
      <c r="C993">
        <v>80</v>
      </c>
      <c r="D993">
        <v>79.228485106999997</v>
      </c>
      <c r="E993">
        <v>60</v>
      </c>
      <c r="F993">
        <v>59.667449951000002</v>
      </c>
      <c r="G993">
        <v>1333.7962646000001</v>
      </c>
      <c r="H993">
        <v>1332.6384277</v>
      </c>
      <c r="I993">
        <v>1330.307251</v>
      </c>
      <c r="J993">
        <v>1330.1253661999999</v>
      </c>
      <c r="K993">
        <v>550</v>
      </c>
      <c r="L993">
        <v>0</v>
      </c>
      <c r="M993">
        <v>0</v>
      </c>
      <c r="N993">
        <v>550</v>
      </c>
    </row>
    <row r="994" spans="1:14" x14ac:dyDescent="0.25">
      <c r="A994">
        <v>735.599692</v>
      </c>
      <c r="B994" s="1">
        <f>DATE(2012,5,5) + TIME(14,23,33)</f>
        <v>41034.599687499998</v>
      </c>
      <c r="C994">
        <v>80</v>
      </c>
      <c r="D994">
        <v>79.369155883999994</v>
      </c>
      <c r="E994">
        <v>60</v>
      </c>
      <c r="F994">
        <v>59.652606964</v>
      </c>
      <c r="G994">
        <v>1333.8126221</v>
      </c>
      <c r="H994">
        <v>1332.6501464999999</v>
      </c>
      <c r="I994">
        <v>1330.302124</v>
      </c>
      <c r="J994">
        <v>1330.1174315999999</v>
      </c>
      <c r="K994">
        <v>550</v>
      </c>
      <c r="L994">
        <v>0</v>
      </c>
      <c r="M994">
        <v>0</v>
      </c>
      <c r="N994">
        <v>550</v>
      </c>
    </row>
    <row r="995" spans="1:14" x14ac:dyDescent="0.25">
      <c r="A995">
        <v>735.84678199999996</v>
      </c>
      <c r="B995" s="1">
        <f>DATE(2012,5,5) + TIME(20,19,21)</f>
        <v>41034.846770833334</v>
      </c>
      <c r="C995">
        <v>80</v>
      </c>
      <c r="D995">
        <v>79.482368468999994</v>
      </c>
      <c r="E995">
        <v>60</v>
      </c>
      <c r="F995">
        <v>59.637622833000002</v>
      </c>
      <c r="G995">
        <v>1333.8266602000001</v>
      </c>
      <c r="H995">
        <v>1332.6605225000001</v>
      </c>
      <c r="I995">
        <v>1330.2969971</v>
      </c>
      <c r="J995">
        <v>1330.1096190999999</v>
      </c>
      <c r="K995">
        <v>550</v>
      </c>
      <c r="L995">
        <v>0</v>
      </c>
      <c r="M995">
        <v>0</v>
      </c>
      <c r="N995">
        <v>550</v>
      </c>
    </row>
    <row r="996" spans="1:14" x14ac:dyDescent="0.25">
      <c r="A996">
        <v>736.09746800000005</v>
      </c>
      <c r="B996" s="1">
        <f>DATE(2012,5,6) + TIME(2,20,21)</f>
        <v>41035.09746527778</v>
      </c>
      <c r="C996">
        <v>80</v>
      </c>
      <c r="D996">
        <v>79.573455811000002</v>
      </c>
      <c r="E996">
        <v>60</v>
      </c>
      <c r="F996">
        <v>59.622459411999998</v>
      </c>
      <c r="G996">
        <v>1333.8387451000001</v>
      </c>
      <c r="H996">
        <v>1332.6696777</v>
      </c>
      <c r="I996">
        <v>1330.2919922000001</v>
      </c>
      <c r="J996">
        <v>1330.1018065999999</v>
      </c>
      <c r="K996">
        <v>550</v>
      </c>
      <c r="L996">
        <v>0</v>
      </c>
      <c r="M996">
        <v>0</v>
      </c>
      <c r="N996">
        <v>550</v>
      </c>
    </row>
    <row r="997" spans="1:14" x14ac:dyDescent="0.25">
      <c r="A997">
        <v>736.35259399999995</v>
      </c>
      <c r="B997" s="1">
        <f>DATE(2012,5,6) + TIME(8,27,44)</f>
        <v>41035.352592592593</v>
      </c>
      <c r="C997">
        <v>80</v>
      </c>
      <c r="D997">
        <v>79.646705627000003</v>
      </c>
      <c r="E997">
        <v>60</v>
      </c>
      <c r="F997">
        <v>59.607074738000001</v>
      </c>
      <c r="G997">
        <v>1333.8491211</v>
      </c>
      <c r="H997">
        <v>1332.6777344</v>
      </c>
      <c r="I997">
        <v>1330.2869873</v>
      </c>
      <c r="J997">
        <v>1330.0941161999999</v>
      </c>
      <c r="K997">
        <v>550</v>
      </c>
      <c r="L997">
        <v>0</v>
      </c>
      <c r="M997">
        <v>0</v>
      </c>
      <c r="N997">
        <v>550</v>
      </c>
    </row>
    <row r="998" spans="1:14" x14ac:dyDescent="0.25">
      <c r="A998">
        <v>736.61303499999997</v>
      </c>
      <c r="B998" s="1">
        <f>DATE(2012,5,6) + TIME(14,42,46)</f>
        <v>41035.613032407404</v>
      </c>
      <c r="C998">
        <v>80</v>
      </c>
      <c r="D998">
        <v>79.705574036000002</v>
      </c>
      <c r="E998">
        <v>60</v>
      </c>
      <c r="F998">
        <v>59.591419219999999</v>
      </c>
      <c r="G998">
        <v>1333.8581543</v>
      </c>
      <c r="H998">
        <v>1332.6850586</v>
      </c>
      <c r="I998">
        <v>1330.2819824000001</v>
      </c>
      <c r="J998">
        <v>1330.0864257999999</v>
      </c>
      <c r="K998">
        <v>550</v>
      </c>
      <c r="L998">
        <v>0</v>
      </c>
      <c r="M998">
        <v>0</v>
      </c>
      <c r="N998">
        <v>550</v>
      </c>
    </row>
    <row r="999" spans="1:14" x14ac:dyDescent="0.25">
      <c r="A999">
        <v>736.87971500000003</v>
      </c>
      <c r="B999" s="1">
        <f>DATE(2012,5,6) + TIME(21,6,47)</f>
        <v>41035.879710648151</v>
      </c>
      <c r="C999">
        <v>80</v>
      </c>
      <c r="D999">
        <v>79.752830505000006</v>
      </c>
      <c r="E999">
        <v>60</v>
      </c>
      <c r="F999">
        <v>59.575443268000001</v>
      </c>
      <c r="G999">
        <v>1333.8658447</v>
      </c>
      <c r="H999">
        <v>1332.6915283000001</v>
      </c>
      <c r="I999">
        <v>1330.2769774999999</v>
      </c>
      <c r="J999">
        <v>1330.0787353999999</v>
      </c>
      <c r="K999">
        <v>550</v>
      </c>
      <c r="L999">
        <v>0</v>
      </c>
      <c r="M999">
        <v>0</v>
      </c>
      <c r="N999">
        <v>550</v>
      </c>
    </row>
    <row r="1000" spans="1:14" x14ac:dyDescent="0.25">
      <c r="A1000">
        <v>737.15362400000004</v>
      </c>
      <c r="B1000" s="1">
        <f>DATE(2012,5,7) + TIME(3,41,13)</f>
        <v>41036.153622685182</v>
      </c>
      <c r="C1000">
        <v>80</v>
      </c>
      <c r="D1000">
        <v>79.790710449000002</v>
      </c>
      <c r="E1000">
        <v>60</v>
      </c>
      <c r="F1000">
        <v>59.559097289999997</v>
      </c>
      <c r="G1000">
        <v>1333.8721923999999</v>
      </c>
      <c r="H1000">
        <v>1332.6972656</v>
      </c>
      <c r="I1000">
        <v>1330.2718506000001</v>
      </c>
      <c r="J1000">
        <v>1330.0710449000001</v>
      </c>
      <c r="K1000">
        <v>550</v>
      </c>
      <c r="L1000">
        <v>0</v>
      </c>
      <c r="M1000">
        <v>0</v>
      </c>
      <c r="N1000">
        <v>550</v>
      </c>
    </row>
    <row r="1001" spans="1:14" x14ac:dyDescent="0.25">
      <c r="A1001">
        <v>737.43587100000002</v>
      </c>
      <c r="B1001" s="1">
        <f>DATE(2012,5,7) + TIME(10,27,39)</f>
        <v>41036.435868055552</v>
      </c>
      <c r="C1001">
        <v>80</v>
      </c>
      <c r="D1001">
        <v>79.821022033999995</v>
      </c>
      <c r="E1001">
        <v>60</v>
      </c>
      <c r="F1001">
        <v>59.542324065999999</v>
      </c>
      <c r="G1001">
        <v>1333.8775635</v>
      </c>
      <c r="H1001">
        <v>1332.7023925999999</v>
      </c>
      <c r="I1001">
        <v>1330.2668457</v>
      </c>
      <c r="J1001">
        <v>1330.0632324000001</v>
      </c>
      <c r="K1001">
        <v>550</v>
      </c>
      <c r="L1001">
        <v>0</v>
      </c>
      <c r="M1001">
        <v>0</v>
      </c>
      <c r="N1001">
        <v>550</v>
      </c>
    </row>
    <row r="1002" spans="1:14" x14ac:dyDescent="0.25">
      <c r="A1002">
        <v>737.72837600000003</v>
      </c>
      <c r="B1002" s="1">
        <f>DATE(2012,5,7) + TIME(17,28,51)</f>
        <v>41036.728368055556</v>
      </c>
      <c r="C1002">
        <v>80</v>
      </c>
      <c r="D1002">
        <v>79.845283507999994</v>
      </c>
      <c r="E1002">
        <v>60</v>
      </c>
      <c r="F1002">
        <v>59.525024414000001</v>
      </c>
      <c r="G1002">
        <v>1333.8818358999999</v>
      </c>
      <c r="H1002">
        <v>1332.7070312000001</v>
      </c>
      <c r="I1002">
        <v>1330.2615966999999</v>
      </c>
      <c r="J1002">
        <v>1330.0554199000001</v>
      </c>
      <c r="K1002">
        <v>550</v>
      </c>
      <c r="L1002">
        <v>0</v>
      </c>
      <c r="M1002">
        <v>0</v>
      </c>
      <c r="N1002">
        <v>550</v>
      </c>
    </row>
    <row r="1003" spans="1:14" x14ac:dyDescent="0.25">
      <c r="A1003">
        <v>738.02874099999997</v>
      </c>
      <c r="B1003" s="1">
        <f>DATE(2012,5,8) + TIME(0,41,23)</f>
        <v>41037.028738425928</v>
      </c>
      <c r="C1003">
        <v>80</v>
      </c>
      <c r="D1003">
        <v>79.864440918</v>
      </c>
      <c r="E1003">
        <v>60</v>
      </c>
      <c r="F1003">
        <v>59.507339477999999</v>
      </c>
      <c r="G1003">
        <v>1333.8839111</v>
      </c>
      <c r="H1003">
        <v>1332.7100829999999</v>
      </c>
      <c r="I1003">
        <v>1330.2563477000001</v>
      </c>
      <c r="J1003">
        <v>1330.0473632999999</v>
      </c>
      <c r="K1003">
        <v>550</v>
      </c>
      <c r="L1003">
        <v>0</v>
      </c>
      <c r="M1003">
        <v>0</v>
      </c>
      <c r="N1003">
        <v>550</v>
      </c>
    </row>
    <row r="1004" spans="1:14" x14ac:dyDescent="0.25">
      <c r="A1004">
        <v>738.338167</v>
      </c>
      <c r="B1004" s="1">
        <f>DATE(2012,5,8) + TIME(8,6,57)</f>
        <v>41037.338159722225</v>
      </c>
      <c r="C1004">
        <v>80</v>
      </c>
      <c r="D1004">
        <v>79.879554748999993</v>
      </c>
      <c r="E1004">
        <v>60</v>
      </c>
      <c r="F1004">
        <v>59.489208220999998</v>
      </c>
      <c r="G1004">
        <v>1333.8848877</v>
      </c>
      <c r="H1004">
        <v>1332.7126464999999</v>
      </c>
      <c r="I1004">
        <v>1330.2509766000001</v>
      </c>
      <c r="J1004">
        <v>1330.0393065999999</v>
      </c>
      <c r="K1004">
        <v>550</v>
      </c>
      <c r="L1004">
        <v>0</v>
      </c>
      <c r="M1004">
        <v>0</v>
      </c>
      <c r="N1004">
        <v>550</v>
      </c>
    </row>
    <row r="1005" spans="1:14" x14ac:dyDescent="0.25">
      <c r="A1005">
        <v>738.65789299999994</v>
      </c>
      <c r="B1005" s="1">
        <f>DATE(2012,5,8) + TIME(15,47,21)</f>
        <v>41037.657881944448</v>
      </c>
      <c r="C1005">
        <v>80</v>
      </c>
      <c r="D1005">
        <v>79.891471863000007</v>
      </c>
      <c r="E1005">
        <v>60</v>
      </c>
      <c r="F1005">
        <v>59.470569611000002</v>
      </c>
      <c r="G1005">
        <v>1333.885376</v>
      </c>
      <c r="H1005">
        <v>1332.7149658000001</v>
      </c>
      <c r="I1005">
        <v>1330.2454834</v>
      </c>
      <c r="J1005">
        <v>1330.0311279</v>
      </c>
      <c r="K1005">
        <v>550</v>
      </c>
      <c r="L1005">
        <v>0</v>
      </c>
      <c r="M1005">
        <v>0</v>
      </c>
      <c r="N1005">
        <v>550</v>
      </c>
    </row>
    <row r="1006" spans="1:14" x14ac:dyDescent="0.25">
      <c r="A1006">
        <v>738.98932200000002</v>
      </c>
      <c r="B1006" s="1">
        <f>DATE(2012,5,8) + TIME(23,44,37)</f>
        <v>41037.989317129628</v>
      </c>
      <c r="C1006">
        <v>80</v>
      </c>
      <c r="D1006">
        <v>79.900856017999999</v>
      </c>
      <c r="E1006">
        <v>60</v>
      </c>
      <c r="F1006">
        <v>59.451354979999998</v>
      </c>
      <c r="G1006">
        <v>1333.8854980000001</v>
      </c>
      <c r="H1006">
        <v>1332.7170410000001</v>
      </c>
      <c r="I1006">
        <v>1330.2399902</v>
      </c>
      <c r="J1006">
        <v>1330.0228271000001</v>
      </c>
      <c r="K1006">
        <v>550</v>
      </c>
      <c r="L1006">
        <v>0</v>
      </c>
      <c r="M1006">
        <v>0</v>
      </c>
      <c r="N1006">
        <v>550</v>
      </c>
    </row>
    <row r="1007" spans="1:14" x14ac:dyDescent="0.25">
      <c r="A1007">
        <v>739.333797</v>
      </c>
      <c r="B1007" s="1">
        <f>DATE(2012,5,9) + TIME(8,0,40)</f>
        <v>41038.333796296298</v>
      </c>
      <c r="C1007">
        <v>80</v>
      </c>
      <c r="D1007">
        <v>79.908233643000003</v>
      </c>
      <c r="E1007">
        <v>60</v>
      </c>
      <c r="F1007">
        <v>59.431503296000002</v>
      </c>
      <c r="G1007">
        <v>1333.885376</v>
      </c>
      <c r="H1007">
        <v>1332.7191161999999</v>
      </c>
      <c r="I1007">
        <v>1330.234375</v>
      </c>
      <c r="J1007">
        <v>1330.0144043</v>
      </c>
      <c r="K1007">
        <v>550</v>
      </c>
      <c r="L1007">
        <v>0</v>
      </c>
      <c r="M1007">
        <v>0</v>
      </c>
      <c r="N1007">
        <v>550</v>
      </c>
    </row>
    <row r="1008" spans="1:14" x14ac:dyDescent="0.25">
      <c r="A1008">
        <v>739.69287599999996</v>
      </c>
      <c r="B1008" s="1">
        <f>DATE(2012,5,9) + TIME(16,37,44)</f>
        <v>41038.692870370367</v>
      </c>
      <c r="C1008">
        <v>80</v>
      </c>
      <c r="D1008">
        <v>79.914024353000002</v>
      </c>
      <c r="E1008">
        <v>60</v>
      </c>
      <c r="F1008">
        <v>59.410934447999999</v>
      </c>
      <c r="G1008">
        <v>1333.8848877</v>
      </c>
      <c r="H1008">
        <v>1332.7209473</v>
      </c>
      <c r="I1008">
        <v>1330.2286377</v>
      </c>
      <c r="J1008">
        <v>1330.0057373</v>
      </c>
      <c r="K1008">
        <v>550</v>
      </c>
      <c r="L1008">
        <v>0</v>
      </c>
      <c r="M1008">
        <v>0</v>
      </c>
      <c r="N1008">
        <v>550</v>
      </c>
    </row>
    <row r="1009" spans="1:14" x14ac:dyDescent="0.25">
      <c r="A1009">
        <v>740.06842800000004</v>
      </c>
      <c r="B1009" s="1">
        <f>DATE(2012,5,10) + TIME(1,38,32)</f>
        <v>41039.068425925929</v>
      </c>
      <c r="C1009">
        <v>80</v>
      </c>
      <c r="D1009">
        <v>79.918563843000001</v>
      </c>
      <c r="E1009">
        <v>60</v>
      </c>
      <c r="F1009">
        <v>59.389568328999999</v>
      </c>
      <c r="G1009">
        <v>1333.8841553</v>
      </c>
      <c r="H1009">
        <v>1332.7227783000001</v>
      </c>
      <c r="I1009">
        <v>1330.2227783000001</v>
      </c>
      <c r="J1009">
        <v>1329.9969481999999</v>
      </c>
      <c r="K1009">
        <v>550</v>
      </c>
      <c r="L1009">
        <v>0</v>
      </c>
      <c r="M1009">
        <v>0</v>
      </c>
      <c r="N1009">
        <v>550</v>
      </c>
    </row>
    <row r="1010" spans="1:14" x14ac:dyDescent="0.25">
      <c r="A1010">
        <v>740.46469100000002</v>
      </c>
      <c r="B1010" s="1">
        <f>DATE(2012,5,10) + TIME(11,9,9)</f>
        <v>41039.464687500003</v>
      </c>
      <c r="C1010">
        <v>80</v>
      </c>
      <c r="D1010">
        <v>79.922126770000006</v>
      </c>
      <c r="E1010">
        <v>60</v>
      </c>
      <c r="F1010">
        <v>59.3671875</v>
      </c>
      <c r="G1010">
        <v>1333.8831786999999</v>
      </c>
      <c r="H1010">
        <v>1332.7244873</v>
      </c>
      <c r="I1010">
        <v>1330.2166748</v>
      </c>
      <c r="J1010">
        <v>1329.987793</v>
      </c>
      <c r="K1010">
        <v>550</v>
      </c>
      <c r="L1010">
        <v>0</v>
      </c>
      <c r="M1010">
        <v>0</v>
      </c>
      <c r="N1010">
        <v>550</v>
      </c>
    </row>
    <row r="1011" spans="1:14" x14ac:dyDescent="0.25">
      <c r="A1011">
        <v>740.88739599999997</v>
      </c>
      <c r="B1011" s="1">
        <f>DATE(2012,5,10) + TIME(21,17,50)</f>
        <v>41039.887384259258</v>
      </c>
      <c r="C1011">
        <v>80</v>
      </c>
      <c r="D1011">
        <v>79.924926757999998</v>
      </c>
      <c r="E1011">
        <v>60</v>
      </c>
      <c r="F1011">
        <v>59.343513489000003</v>
      </c>
      <c r="G1011">
        <v>1333.8819579999999</v>
      </c>
      <c r="H1011">
        <v>1332.7260742000001</v>
      </c>
      <c r="I1011">
        <v>1330.2104492000001</v>
      </c>
      <c r="J1011">
        <v>1329.9783935999999</v>
      </c>
      <c r="K1011">
        <v>550</v>
      </c>
      <c r="L1011">
        <v>0</v>
      </c>
      <c r="M1011">
        <v>0</v>
      </c>
      <c r="N1011">
        <v>550</v>
      </c>
    </row>
    <row r="1012" spans="1:14" x14ac:dyDescent="0.25">
      <c r="A1012">
        <v>741.34129900000005</v>
      </c>
      <c r="B1012" s="1">
        <f>DATE(2012,5,11) + TIME(8,11,28)</f>
        <v>41040.341296296298</v>
      </c>
      <c r="C1012">
        <v>80</v>
      </c>
      <c r="D1012">
        <v>79.927124023000005</v>
      </c>
      <c r="E1012">
        <v>60</v>
      </c>
      <c r="F1012">
        <v>59.318325043000002</v>
      </c>
      <c r="G1012">
        <v>1333.8804932</v>
      </c>
      <c r="H1012">
        <v>1332.7277832</v>
      </c>
      <c r="I1012">
        <v>1330.2038574000001</v>
      </c>
      <c r="J1012">
        <v>1329.9686279</v>
      </c>
      <c r="K1012">
        <v>550</v>
      </c>
      <c r="L1012">
        <v>0</v>
      </c>
      <c r="M1012">
        <v>0</v>
      </c>
      <c r="N1012">
        <v>550</v>
      </c>
    </row>
    <row r="1013" spans="1:14" x14ac:dyDescent="0.25">
      <c r="A1013">
        <v>741.83274300000005</v>
      </c>
      <c r="B1013" s="1">
        <f>DATE(2012,5,11) + TIME(19,59,8)</f>
        <v>41040.832731481481</v>
      </c>
      <c r="C1013">
        <v>80</v>
      </c>
      <c r="D1013">
        <v>79.928833007999998</v>
      </c>
      <c r="E1013">
        <v>60</v>
      </c>
      <c r="F1013">
        <v>59.291332245</v>
      </c>
      <c r="G1013">
        <v>1333.8787841999999</v>
      </c>
      <c r="H1013">
        <v>1332.7293701000001</v>
      </c>
      <c r="I1013">
        <v>1330.1970214999999</v>
      </c>
      <c r="J1013">
        <v>1329.9582519999999</v>
      </c>
      <c r="K1013">
        <v>550</v>
      </c>
      <c r="L1013">
        <v>0</v>
      </c>
      <c r="M1013">
        <v>0</v>
      </c>
      <c r="N1013">
        <v>550</v>
      </c>
    </row>
    <row r="1014" spans="1:14" x14ac:dyDescent="0.25">
      <c r="A1014">
        <v>742.367929</v>
      </c>
      <c r="B1014" s="1">
        <f>DATE(2012,5,12) + TIME(8,49,49)</f>
        <v>41041.367928240739</v>
      </c>
      <c r="C1014">
        <v>80</v>
      </c>
      <c r="D1014">
        <v>79.930152892999999</v>
      </c>
      <c r="E1014">
        <v>60</v>
      </c>
      <c r="F1014">
        <v>59.262264252000001</v>
      </c>
      <c r="G1014">
        <v>1333.8768310999999</v>
      </c>
      <c r="H1014">
        <v>1332.730957</v>
      </c>
      <c r="I1014">
        <v>1330.1895752</v>
      </c>
      <c r="J1014">
        <v>1329.9472656</v>
      </c>
      <c r="K1014">
        <v>550</v>
      </c>
      <c r="L1014">
        <v>0</v>
      </c>
      <c r="M1014">
        <v>0</v>
      </c>
      <c r="N1014">
        <v>550</v>
      </c>
    </row>
    <row r="1015" spans="1:14" x14ac:dyDescent="0.25">
      <c r="A1015">
        <v>742.90690099999995</v>
      </c>
      <c r="B1015" s="1">
        <f>DATE(2012,5,12) + TIME(21,45,56)</f>
        <v>41041.906898148147</v>
      </c>
      <c r="C1015">
        <v>80</v>
      </c>
      <c r="D1015">
        <v>79.931091308999996</v>
      </c>
      <c r="E1015">
        <v>60</v>
      </c>
      <c r="F1015">
        <v>59.233119965</v>
      </c>
      <c r="G1015">
        <v>1333.8747559000001</v>
      </c>
      <c r="H1015">
        <v>1332.7326660000001</v>
      </c>
      <c r="I1015">
        <v>1330.1818848</v>
      </c>
      <c r="J1015">
        <v>1329.9356689000001</v>
      </c>
      <c r="K1015">
        <v>550</v>
      </c>
      <c r="L1015">
        <v>0</v>
      </c>
      <c r="M1015">
        <v>0</v>
      </c>
      <c r="N1015">
        <v>550</v>
      </c>
    </row>
    <row r="1016" spans="1:14" x14ac:dyDescent="0.25">
      <c r="A1016">
        <v>743.44647099999997</v>
      </c>
      <c r="B1016" s="1">
        <f>DATE(2012,5,13) + TIME(10,42,55)</f>
        <v>41042.446469907409</v>
      </c>
      <c r="C1016">
        <v>80</v>
      </c>
      <c r="D1016">
        <v>79.931747436999999</v>
      </c>
      <c r="E1016">
        <v>60</v>
      </c>
      <c r="F1016">
        <v>59.204059600999997</v>
      </c>
      <c r="G1016">
        <v>1333.8726807</v>
      </c>
      <c r="H1016">
        <v>1332.7342529</v>
      </c>
      <c r="I1016">
        <v>1330.1741943</v>
      </c>
      <c r="J1016">
        <v>1329.9241943</v>
      </c>
      <c r="K1016">
        <v>550</v>
      </c>
      <c r="L1016">
        <v>0</v>
      </c>
      <c r="M1016">
        <v>0</v>
      </c>
      <c r="N1016">
        <v>550</v>
      </c>
    </row>
    <row r="1017" spans="1:14" x14ac:dyDescent="0.25">
      <c r="A1017">
        <v>743.98930499999994</v>
      </c>
      <c r="B1017" s="1">
        <f>DATE(2012,5,13) + TIME(23,44,35)</f>
        <v>41042.989293981482</v>
      </c>
      <c r="C1017">
        <v>80</v>
      </c>
      <c r="D1017">
        <v>79.932212829999997</v>
      </c>
      <c r="E1017">
        <v>60</v>
      </c>
      <c r="F1017">
        <v>59.174942016999999</v>
      </c>
      <c r="G1017">
        <v>1333.8704834</v>
      </c>
      <c r="H1017">
        <v>1332.7358397999999</v>
      </c>
      <c r="I1017">
        <v>1330.1665039</v>
      </c>
      <c r="J1017">
        <v>1329.9128418</v>
      </c>
      <c r="K1017">
        <v>550</v>
      </c>
      <c r="L1017">
        <v>0</v>
      </c>
      <c r="M1017">
        <v>0</v>
      </c>
      <c r="N1017">
        <v>550</v>
      </c>
    </row>
    <row r="1018" spans="1:14" x14ac:dyDescent="0.25">
      <c r="A1018">
        <v>744.53790800000002</v>
      </c>
      <c r="B1018" s="1">
        <f>DATE(2012,5,14) + TIME(12,54,35)</f>
        <v>41043.537905092591</v>
      </c>
      <c r="C1018">
        <v>80</v>
      </c>
      <c r="D1018">
        <v>79.932540893999999</v>
      </c>
      <c r="E1018">
        <v>60</v>
      </c>
      <c r="F1018">
        <v>59.145645141999999</v>
      </c>
      <c r="G1018">
        <v>1333.8684082</v>
      </c>
      <c r="H1018">
        <v>1332.7373047000001</v>
      </c>
      <c r="I1018">
        <v>1330.1589355000001</v>
      </c>
      <c r="J1018">
        <v>1329.9014893000001</v>
      </c>
      <c r="K1018">
        <v>550</v>
      </c>
      <c r="L1018">
        <v>0</v>
      </c>
      <c r="M1018">
        <v>0</v>
      </c>
      <c r="N1018">
        <v>550</v>
      </c>
    </row>
    <row r="1019" spans="1:14" x14ac:dyDescent="0.25">
      <c r="A1019">
        <v>745.09473000000003</v>
      </c>
      <c r="B1019" s="1">
        <f>DATE(2012,5,15) + TIME(2,16,24)</f>
        <v>41044.094722222224</v>
      </c>
      <c r="C1019">
        <v>80</v>
      </c>
      <c r="D1019">
        <v>79.932762146000002</v>
      </c>
      <c r="E1019">
        <v>60</v>
      </c>
      <c r="F1019">
        <v>59.116050719999997</v>
      </c>
      <c r="G1019">
        <v>1333.8662108999999</v>
      </c>
      <c r="H1019">
        <v>1332.7386475000001</v>
      </c>
      <c r="I1019">
        <v>1330.1513672000001</v>
      </c>
      <c r="J1019">
        <v>1329.8901367000001</v>
      </c>
      <c r="K1019">
        <v>550</v>
      </c>
      <c r="L1019">
        <v>0</v>
      </c>
      <c r="M1019">
        <v>0</v>
      </c>
      <c r="N1019">
        <v>550</v>
      </c>
    </row>
    <row r="1020" spans="1:14" x14ac:dyDescent="0.25">
      <c r="A1020">
        <v>745.66224099999999</v>
      </c>
      <c r="B1020" s="1">
        <f>DATE(2012,5,15) + TIME(15,53,37)</f>
        <v>41044.662233796298</v>
      </c>
      <c r="C1020">
        <v>80</v>
      </c>
      <c r="D1020">
        <v>79.932907103999995</v>
      </c>
      <c r="E1020">
        <v>60</v>
      </c>
      <c r="F1020">
        <v>59.086036682</v>
      </c>
      <c r="G1020">
        <v>1333.8641356999999</v>
      </c>
      <c r="H1020">
        <v>1332.7401123</v>
      </c>
      <c r="I1020">
        <v>1330.1437988</v>
      </c>
      <c r="J1020">
        <v>1329.8789062000001</v>
      </c>
      <c r="K1020">
        <v>550</v>
      </c>
      <c r="L1020">
        <v>0</v>
      </c>
      <c r="M1020">
        <v>0</v>
      </c>
      <c r="N1020">
        <v>550</v>
      </c>
    </row>
    <row r="1021" spans="1:14" x14ac:dyDescent="0.25">
      <c r="A1021">
        <v>746.243112</v>
      </c>
      <c r="B1021" s="1">
        <f>DATE(2012,5,16) + TIME(5,50,4)</f>
        <v>41045.243101851855</v>
      </c>
      <c r="C1021">
        <v>80</v>
      </c>
      <c r="D1021">
        <v>79.932991028000004</v>
      </c>
      <c r="E1021">
        <v>60</v>
      </c>
      <c r="F1021">
        <v>59.055473327999998</v>
      </c>
      <c r="G1021">
        <v>1333.8620605000001</v>
      </c>
      <c r="H1021">
        <v>1332.7414550999999</v>
      </c>
      <c r="I1021">
        <v>1330.1362305</v>
      </c>
      <c r="J1021">
        <v>1329.8675536999999</v>
      </c>
      <c r="K1021">
        <v>550</v>
      </c>
      <c r="L1021">
        <v>0</v>
      </c>
      <c r="M1021">
        <v>0</v>
      </c>
      <c r="N1021">
        <v>550</v>
      </c>
    </row>
    <row r="1022" spans="1:14" x14ac:dyDescent="0.25">
      <c r="A1022">
        <v>746.84006899999997</v>
      </c>
      <c r="B1022" s="1">
        <f>DATE(2012,5,16) + TIME(20,9,41)</f>
        <v>41045.840057870373</v>
      </c>
      <c r="C1022">
        <v>80</v>
      </c>
      <c r="D1022">
        <v>79.933029175000001</v>
      </c>
      <c r="E1022">
        <v>60</v>
      </c>
      <c r="F1022">
        <v>59.024227142000001</v>
      </c>
      <c r="G1022">
        <v>1333.8599853999999</v>
      </c>
      <c r="H1022">
        <v>1332.7429199000001</v>
      </c>
      <c r="I1022">
        <v>1330.1285399999999</v>
      </c>
      <c r="J1022">
        <v>1329.8562012</v>
      </c>
      <c r="K1022">
        <v>550</v>
      </c>
      <c r="L1022">
        <v>0</v>
      </c>
      <c r="M1022">
        <v>0</v>
      </c>
      <c r="N1022">
        <v>550</v>
      </c>
    </row>
    <row r="1023" spans="1:14" x14ac:dyDescent="0.25">
      <c r="A1023">
        <v>747.45601699999997</v>
      </c>
      <c r="B1023" s="1">
        <f>DATE(2012,5,17) + TIME(10,56,39)</f>
        <v>41046.456006944441</v>
      </c>
      <c r="C1023">
        <v>80</v>
      </c>
      <c r="D1023">
        <v>79.933029175000001</v>
      </c>
      <c r="E1023">
        <v>60</v>
      </c>
      <c r="F1023">
        <v>58.992168427000003</v>
      </c>
      <c r="G1023">
        <v>1333.8579102000001</v>
      </c>
      <c r="H1023">
        <v>1332.7442627</v>
      </c>
      <c r="I1023">
        <v>1330.1207274999999</v>
      </c>
      <c r="J1023">
        <v>1329.8446045000001</v>
      </c>
      <c r="K1023">
        <v>550</v>
      </c>
      <c r="L1023">
        <v>0</v>
      </c>
      <c r="M1023">
        <v>0</v>
      </c>
      <c r="N1023">
        <v>550</v>
      </c>
    </row>
    <row r="1024" spans="1:14" x14ac:dyDescent="0.25">
      <c r="A1024">
        <v>748.09445400000004</v>
      </c>
      <c r="B1024" s="1">
        <f>DATE(2012,5,18) + TIME(2,16,0)</f>
        <v>41047.094444444447</v>
      </c>
      <c r="C1024">
        <v>80</v>
      </c>
      <c r="D1024">
        <v>79.933006286999998</v>
      </c>
      <c r="E1024">
        <v>60</v>
      </c>
      <c r="F1024">
        <v>58.959125518999997</v>
      </c>
      <c r="G1024">
        <v>1333.8558350000001</v>
      </c>
      <c r="H1024">
        <v>1332.7457274999999</v>
      </c>
      <c r="I1024">
        <v>1330.1129149999999</v>
      </c>
      <c r="J1024">
        <v>1329.8328856999999</v>
      </c>
      <c r="K1024">
        <v>550</v>
      </c>
      <c r="L1024">
        <v>0</v>
      </c>
      <c r="M1024">
        <v>0</v>
      </c>
      <c r="N1024">
        <v>550</v>
      </c>
    </row>
    <row r="1025" spans="1:14" x14ac:dyDescent="0.25">
      <c r="A1025">
        <v>748.75925199999995</v>
      </c>
      <c r="B1025" s="1">
        <f>DATE(2012,5,18) + TIME(18,13,19)</f>
        <v>41047.759247685186</v>
      </c>
      <c r="C1025">
        <v>80</v>
      </c>
      <c r="D1025">
        <v>79.932960510000001</v>
      </c>
      <c r="E1025">
        <v>60</v>
      </c>
      <c r="F1025">
        <v>58.924926757999998</v>
      </c>
      <c r="G1025">
        <v>1333.8538818</v>
      </c>
      <c r="H1025">
        <v>1332.7470702999999</v>
      </c>
      <c r="I1025">
        <v>1330.1048584</v>
      </c>
      <c r="J1025">
        <v>1329.8209228999999</v>
      </c>
      <c r="K1025">
        <v>550</v>
      </c>
      <c r="L1025">
        <v>0</v>
      </c>
      <c r="M1025">
        <v>0</v>
      </c>
      <c r="N1025">
        <v>550</v>
      </c>
    </row>
    <row r="1026" spans="1:14" x14ac:dyDescent="0.25">
      <c r="A1026">
        <v>749.45499400000006</v>
      </c>
      <c r="B1026" s="1">
        <f>DATE(2012,5,19) + TIME(10,55,11)</f>
        <v>41048.454988425925</v>
      </c>
      <c r="C1026">
        <v>80</v>
      </c>
      <c r="D1026">
        <v>79.932891846000004</v>
      </c>
      <c r="E1026">
        <v>60</v>
      </c>
      <c r="F1026">
        <v>58.889354705999999</v>
      </c>
      <c r="G1026">
        <v>1333.8518065999999</v>
      </c>
      <c r="H1026">
        <v>1332.7485352000001</v>
      </c>
      <c r="I1026">
        <v>1330.0966797000001</v>
      </c>
      <c r="J1026">
        <v>1329.8087158000001</v>
      </c>
      <c r="K1026">
        <v>550</v>
      </c>
      <c r="L1026">
        <v>0</v>
      </c>
      <c r="M1026">
        <v>0</v>
      </c>
      <c r="N1026">
        <v>550</v>
      </c>
    </row>
    <row r="1027" spans="1:14" x14ac:dyDescent="0.25">
      <c r="A1027">
        <v>750.19034299999998</v>
      </c>
      <c r="B1027" s="1">
        <f>DATE(2012,5,20) + TIME(4,34,5)</f>
        <v>41049.190335648149</v>
      </c>
      <c r="C1027">
        <v>80</v>
      </c>
      <c r="D1027">
        <v>79.932807921999995</v>
      </c>
      <c r="E1027">
        <v>60</v>
      </c>
      <c r="F1027">
        <v>58.852024077999999</v>
      </c>
      <c r="G1027">
        <v>1333.8497314000001</v>
      </c>
      <c r="H1027">
        <v>1332.75</v>
      </c>
      <c r="I1027">
        <v>1330.0882568</v>
      </c>
      <c r="J1027">
        <v>1329.7961425999999</v>
      </c>
      <c r="K1027">
        <v>550</v>
      </c>
      <c r="L1027">
        <v>0</v>
      </c>
      <c r="M1027">
        <v>0</v>
      </c>
      <c r="N1027">
        <v>550</v>
      </c>
    </row>
    <row r="1028" spans="1:14" x14ac:dyDescent="0.25">
      <c r="A1028">
        <v>750.95552899999996</v>
      </c>
      <c r="B1028" s="1">
        <f>DATE(2012,5,20) + TIME(22,55,57)</f>
        <v>41049.955520833333</v>
      </c>
      <c r="C1028">
        <v>80</v>
      </c>
      <c r="D1028">
        <v>79.932708739999995</v>
      </c>
      <c r="E1028">
        <v>60</v>
      </c>
      <c r="F1028">
        <v>58.813346863</v>
      </c>
      <c r="G1028">
        <v>1333.8476562000001</v>
      </c>
      <c r="H1028">
        <v>1332.7514647999999</v>
      </c>
      <c r="I1028">
        <v>1330.0794678</v>
      </c>
      <c r="J1028">
        <v>1329.7832031</v>
      </c>
      <c r="K1028">
        <v>550</v>
      </c>
      <c r="L1028">
        <v>0</v>
      </c>
      <c r="M1028">
        <v>0</v>
      </c>
      <c r="N1028">
        <v>550</v>
      </c>
    </row>
    <row r="1029" spans="1:14" x14ac:dyDescent="0.25">
      <c r="A1029">
        <v>751.76744499999995</v>
      </c>
      <c r="B1029" s="1">
        <f>DATE(2012,5,21) + TIME(18,25,7)</f>
        <v>41050.767442129632</v>
      </c>
      <c r="C1029">
        <v>80</v>
      </c>
      <c r="D1029">
        <v>79.932601929</v>
      </c>
      <c r="E1029">
        <v>60</v>
      </c>
      <c r="F1029">
        <v>58.772583007999998</v>
      </c>
      <c r="G1029">
        <v>1333.8455810999999</v>
      </c>
      <c r="H1029">
        <v>1332.7529297000001</v>
      </c>
      <c r="I1029">
        <v>1330.0705565999999</v>
      </c>
      <c r="J1029">
        <v>1329.7698975000001</v>
      </c>
      <c r="K1029">
        <v>550</v>
      </c>
      <c r="L1029">
        <v>0</v>
      </c>
      <c r="M1029">
        <v>0</v>
      </c>
      <c r="N1029">
        <v>550</v>
      </c>
    </row>
    <row r="1030" spans="1:14" x14ac:dyDescent="0.25">
      <c r="A1030">
        <v>752.63684799999999</v>
      </c>
      <c r="B1030" s="1">
        <f>DATE(2012,5,22) + TIME(15,17,3)</f>
        <v>41051.636840277781</v>
      </c>
      <c r="C1030">
        <v>80</v>
      </c>
      <c r="D1030">
        <v>79.932479857999994</v>
      </c>
      <c r="E1030">
        <v>60</v>
      </c>
      <c r="F1030">
        <v>58.729259491000001</v>
      </c>
      <c r="G1030">
        <v>1333.8435059000001</v>
      </c>
      <c r="H1030">
        <v>1332.7543945</v>
      </c>
      <c r="I1030">
        <v>1330.0612793</v>
      </c>
      <c r="J1030">
        <v>1329.7561035000001</v>
      </c>
      <c r="K1030">
        <v>550</v>
      </c>
      <c r="L1030">
        <v>0</v>
      </c>
      <c r="M1030">
        <v>0</v>
      </c>
      <c r="N1030">
        <v>550</v>
      </c>
    </row>
    <row r="1031" spans="1:14" x14ac:dyDescent="0.25">
      <c r="A1031">
        <v>753.57547599999998</v>
      </c>
      <c r="B1031" s="1">
        <f>DATE(2012,5,23) + TIME(13,48,41)</f>
        <v>41052.575474537036</v>
      </c>
      <c r="C1031">
        <v>80</v>
      </c>
      <c r="D1031">
        <v>79.932350158999995</v>
      </c>
      <c r="E1031">
        <v>60</v>
      </c>
      <c r="F1031">
        <v>58.682865143000001</v>
      </c>
      <c r="G1031">
        <v>1333.8414307</v>
      </c>
      <c r="H1031">
        <v>1332.7559814000001</v>
      </c>
      <c r="I1031">
        <v>1330.0515137</v>
      </c>
      <c r="J1031">
        <v>1329.7415771000001</v>
      </c>
      <c r="K1031">
        <v>550</v>
      </c>
      <c r="L1031">
        <v>0</v>
      </c>
      <c r="M1031">
        <v>0</v>
      </c>
      <c r="N1031">
        <v>550</v>
      </c>
    </row>
    <row r="1032" spans="1:14" x14ac:dyDescent="0.25">
      <c r="A1032">
        <v>754.57413199999996</v>
      </c>
      <c r="B1032" s="1">
        <f>DATE(2012,5,24) + TIME(13,46,44)</f>
        <v>41053.574120370373</v>
      </c>
      <c r="C1032">
        <v>80</v>
      </c>
      <c r="D1032">
        <v>79.932205199999999</v>
      </c>
      <c r="E1032">
        <v>60</v>
      </c>
      <c r="F1032">
        <v>58.633716583000002</v>
      </c>
      <c r="G1032">
        <v>1333.8392334</v>
      </c>
      <c r="H1032">
        <v>1332.7578125</v>
      </c>
      <c r="I1032">
        <v>1330.0412598</v>
      </c>
      <c r="J1032">
        <v>1329.7264404</v>
      </c>
      <c r="K1032">
        <v>550</v>
      </c>
      <c r="L1032">
        <v>0</v>
      </c>
      <c r="M1032">
        <v>0</v>
      </c>
      <c r="N1032">
        <v>550</v>
      </c>
    </row>
    <row r="1033" spans="1:14" x14ac:dyDescent="0.25">
      <c r="A1033">
        <v>755.58693800000003</v>
      </c>
      <c r="B1033" s="1">
        <f>DATE(2012,5,25) + TIME(14,5,11)</f>
        <v>41054.58693287037</v>
      </c>
      <c r="C1033">
        <v>80</v>
      </c>
      <c r="D1033">
        <v>79.932060242000006</v>
      </c>
      <c r="E1033">
        <v>60</v>
      </c>
      <c r="F1033">
        <v>58.583587645999998</v>
      </c>
      <c r="G1033">
        <v>1333.8371582</v>
      </c>
      <c r="H1033">
        <v>1332.7595214999999</v>
      </c>
      <c r="I1033">
        <v>1330.0306396000001</v>
      </c>
      <c r="J1033">
        <v>1329.7105713000001</v>
      </c>
      <c r="K1033">
        <v>550</v>
      </c>
      <c r="L1033">
        <v>0</v>
      </c>
      <c r="M1033">
        <v>0</v>
      </c>
      <c r="N1033">
        <v>550</v>
      </c>
    </row>
    <row r="1034" spans="1:14" x14ac:dyDescent="0.25">
      <c r="A1034">
        <v>756.60088699999994</v>
      </c>
      <c r="B1034" s="1">
        <f>DATE(2012,5,26) + TIME(14,25,16)</f>
        <v>41055.60087962963</v>
      </c>
      <c r="C1034">
        <v>80</v>
      </c>
      <c r="D1034">
        <v>79.931907654</v>
      </c>
      <c r="E1034">
        <v>60</v>
      </c>
      <c r="F1034">
        <v>58.533012390000003</v>
      </c>
      <c r="G1034">
        <v>1333.8348389</v>
      </c>
      <c r="H1034">
        <v>1332.7611084</v>
      </c>
      <c r="I1034">
        <v>1330.0200195</v>
      </c>
      <c r="J1034">
        <v>1329.6948242000001</v>
      </c>
      <c r="K1034">
        <v>550</v>
      </c>
      <c r="L1034">
        <v>0</v>
      </c>
      <c r="M1034">
        <v>0</v>
      </c>
      <c r="N1034">
        <v>550</v>
      </c>
    </row>
    <row r="1035" spans="1:14" x14ac:dyDescent="0.25">
      <c r="A1035">
        <v>757.62269700000002</v>
      </c>
      <c r="B1035" s="1">
        <f>DATE(2012,5,27) + TIME(14,56,41)</f>
        <v>41056.622696759259</v>
      </c>
      <c r="C1035">
        <v>80</v>
      </c>
      <c r="D1035">
        <v>79.931747436999999</v>
      </c>
      <c r="E1035">
        <v>60</v>
      </c>
      <c r="F1035">
        <v>58.481750488000003</v>
      </c>
      <c r="G1035">
        <v>1333.8320312000001</v>
      </c>
      <c r="H1035">
        <v>1332.7623291</v>
      </c>
      <c r="I1035">
        <v>1330.0095214999999</v>
      </c>
      <c r="J1035">
        <v>1329.6791992000001</v>
      </c>
      <c r="K1035">
        <v>550</v>
      </c>
      <c r="L1035">
        <v>0</v>
      </c>
      <c r="M1035">
        <v>0</v>
      </c>
      <c r="N1035">
        <v>550</v>
      </c>
    </row>
    <row r="1036" spans="1:14" x14ac:dyDescent="0.25">
      <c r="A1036">
        <v>758.65909999999997</v>
      </c>
      <c r="B1036" s="1">
        <f>DATE(2012,5,28) + TIME(15,49,6)</f>
        <v>41057.659097222226</v>
      </c>
      <c r="C1036">
        <v>80</v>
      </c>
      <c r="D1036">
        <v>79.931587218999994</v>
      </c>
      <c r="E1036">
        <v>60</v>
      </c>
      <c r="F1036">
        <v>58.429538727000001</v>
      </c>
      <c r="G1036">
        <v>1333.8294678</v>
      </c>
      <c r="H1036">
        <v>1332.7634277</v>
      </c>
      <c r="I1036">
        <v>1329.9990233999999</v>
      </c>
      <c r="J1036">
        <v>1329.6635742000001</v>
      </c>
      <c r="K1036">
        <v>550</v>
      </c>
      <c r="L1036">
        <v>0</v>
      </c>
      <c r="M1036">
        <v>0</v>
      </c>
      <c r="N1036">
        <v>550</v>
      </c>
    </row>
    <row r="1037" spans="1:14" x14ac:dyDescent="0.25">
      <c r="A1037">
        <v>759.71662300000003</v>
      </c>
      <c r="B1037" s="1">
        <f>DATE(2012,5,29) + TIME(17,11,56)</f>
        <v>41058.716620370367</v>
      </c>
      <c r="C1037">
        <v>80</v>
      </c>
      <c r="D1037">
        <v>79.931434631000002</v>
      </c>
      <c r="E1037">
        <v>60</v>
      </c>
      <c r="F1037">
        <v>58.376106262</v>
      </c>
      <c r="G1037">
        <v>1333.8270264</v>
      </c>
      <c r="H1037">
        <v>1332.7645264</v>
      </c>
      <c r="I1037">
        <v>1329.9886475000001</v>
      </c>
      <c r="J1037">
        <v>1329.6480713000001</v>
      </c>
      <c r="K1037">
        <v>550</v>
      </c>
      <c r="L1037">
        <v>0</v>
      </c>
      <c r="M1037">
        <v>0</v>
      </c>
      <c r="N1037">
        <v>550</v>
      </c>
    </row>
    <row r="1038" spans="1:14" x14ac:dyDescent="0.25">
      <c r="A1038">
        <v>760.80216900000005</v>
      </c>
      <c r="B1038" s="1">
        <f>DATE(2012,5,30) + TIME(19,15,7)</f>
        <v>41059.802164351851</v>
      </c>
      <c r="C1038">
        <v>80</v>
      </c>
      <c r="D1038">
        <v>79.931282042999996</v>
      </c>
      <c r="E1038">
        <v>60</v>
      </c>
      <c r="F1038">
        <v>58.321147918999998</v>
      </c>
      <c r="G1038">
        <v>1333.824707</v>
      </c>
      <c r="H1038">
        <v>1332.7657471</v>
      </c>
      <c r="I1038">
        <v>1329.9781493999999</v>
      </c>
      <c r="J1038">
        <v>1329.6325684000001</v>
      </c>
      <c r="K1038">
        <v>550</v>
      </c>
      <c r="L1038">
        <v>0</v>
      </c>
      <c r="M1038">
        <v>0</v>
      </c>
      <c r="N1038">
        <v>550</v>
      </c>
    </row>
    <row r="1039" spans="1:14" x14ac:dyDescent="0.25">
      <c r="A1039">
        <v>761.92240300000003</v>
      </c>
      <c r="B1039" s="1">
        <f>DATE(2012,5,31) + TIME(22,8,15)</f>
        <v>41060.922395833331</v>
      </c>
      <c r="C1039">
        <v>80</v>
      </c>
      <c r="D1039">
        <v>79.931129455999994</v>
      </c>
      <c r="E1039">
        <v>60</v>
      </c>
      <c r="F1039">
        <v>58.264350890999999</v>
      </c>
      <c r="G1039">
        <v>1333.8225098</v>
      </c>
      <c r="H1039">
        <v>1332.7669678</v>
      </c>
      <c r="I1039">
        <v>1329.9676514</v>
      </c>
      <c r="J1039">
        <v>1329.6169434000001</v>
      </c>
      <c r="K1039">
        <v>550</v>
      </c>
      <c r="L1039">
        <v>0</v>
      </c>
      <c r="M1039">
        <v>0</v>
      </c>
      <c r="N1039">
        <v>550</v>
      </c>
    </row>
    <row r="1040" spans="1:14" x14ac:dyDescent="0.25">
      <c r="A1040">
        <v>762</v>
      </c>
      <c r="B1040" s="1">
        <f>DATE(2012,6,1) + TIME(0,0,0)</f>
        <v>41061</v>
      </c>
      <c r="C1040">
        <v>80</v>
      </c>
      <c r="D1040">
        <v>79.931106567</v>
      </c>
      <c r="E1040">
        <v>60</v>
      </c>
      <c r="F1040">
        <v>58.259368895999998</v>
      </c>
      <c r="G1040">
        <v>1333.8204346</v>
      </c>
      <c r="H1040">
        <v>1332.7681885</v>
      </c>
      <c r="I1040">
        <v>1329.9578856999999</v>
      </c>
      <c r="J1040">
        <v>1329.6025391000001</v>
      </c>
      <c r="K1040">
        <v>550</v>
      </c>
      <c r="L1040">
        <v>0</v>
      </c>
      <c r="M1040">
        <v>0</v>
      </c>
      <c r="N1040">
        <v>550</v>
      </c>
    </row>
    <row r="1041" spans="1:14" x14ac:dyDescent="0.25">
      <c r="A1041">
        <v>763.16228100000001</v>
      </c>
      <c r="B1041" s="1">
        <f>DATE(2012,6,2) + TIME(3,53,41)</f>
        <v>41062.162280092591</v>
      </c>
      <c r="C1041">
        <v>80</v>
      </c>
      <c r="D1041">
        <v>79.930976868000002</v>
      </c>
      <c r="E1041">
        <v>60</v>
      </c>
      <c r="F1041">
        <v>58.200584411999998</v>
      </c>
      <c r="G1041">
        <v>1333.8201904</v>
      </c>
      <c r="H1041">
        <v>1332.7681885</v>
      </c>
      <c r="I1041">
        <v>1329.9562988</v>
      </c>
      <c r="J1041">
        <v>1329.5998535000001</v>
      </c>
      <c r="K1041">
        <v>550</v>
      </c>
      <c r="L1041">
        <v>0</v>
      </c>
      <c r="M1041">
        <v>0</v>
      </c>
      <c r="N1041">
        <v>550</v>
      </c>
    </row>
    <row r="1042" spans="1:14" x14ac:dyDescent="0.25">
      <c r="A1042">
        <v>764.40015700000004</v>
      </c>
      <c r="B1042" s="1">
        <f>DATE(2012,6,3) + TIME(9,36,13)</f>
        <v>41063.400150462963</v>
      </c>
      <c r="C1042">
        <v>80</v>
      </c>
      <c r="D1042">
        <v>79.930839539000004</v>
      </c>
      <c r="E1042">
        <v>60</v>
      </c>
      <c r="F1042">
        <v>58.138206482000001</v>
      </c>
      <c r="G1042">
        <v>1333.8182373</v>
      </c>
      <c r="H1042">
        <v>1332.7695312000001</v>
      </c>
      <c r="I1042">
        <v>1329.9455565999999</v>
      </c>
      <c r="J1042">
        <v>1329.5838623</v>
      </c>
      <c r="K1042">
        <v>550</v>
      </c>
      <c r="L1042">
        <v>0</v>
      </c>
      <c r="M1042">
        <v>0</v>
      </c>
      <c r="N1042">
        <v>550</v>
      </c>
    </row>
    <row r="1043" spans="1:14" x14ac:dyDescent="0.25">
      <c r="A1043">
        <v>765.73090100000002</v>
      </c>
      <c r="B1043" s="1">
        <f>DATE(2012,6,4) + TIME(17,32,29)</f>
        <v>41064.730891203704</v>
      </c>
      <c r="C1043">
        <v>80</v>
      </c>
      <c r="D1043">
        <v>79.930709839000002</v>
      </c>
      <c r="E1043">
        <v>60</v>
      </c>
      <c r="F1043">
        <v>58.071437836000001</v>
      </c>
      <c r="G1043">
        <v>1333.8162841999999</v>
      </c>
      <c r="H1043">
        <v>1332.770874</v>
      </c>
      <c r="I1043">
        <v>1329.9345702999999</v>
      </c>
      <c r="J1043">
        <v>1329.5673827999999</v>
      </c>
      <c r="K1043">
        <v>550</v>
      </c>
      <c r="L1043">
        <v>0</v>
      </c>
      <c r="M1043">
        <v>0</v>
      </c>
      <c r="N1043">
        <v>550</v>
      </c>
    </row>
    <row r="1044" spans="1:14" x14ac:dyDescent="0.25">
      <c r="A1044">
        <v>767.14469299999996</v>
      </c>
      <c r="B1044" s="1">
        <f>DATE(2012,6,6) + TIME(3,28,21)</f>
        <v>41066.144687499997</v>
      </c>
      <c r="C1044">
        <v>80</v>
      </c>
      <c r="D1044">
        <v>79.930572510000005</v>
      </c>
      <c r="E1044">
        <v>60</v>
      </c>
      <c r="F1044">
        <v>58.000438690000003</v>
      </c>
      <c r="G1044">
        <v>1333.8143310999999</v>
      </c>
      <c r="H1044">
        <v>1332.7722168</v>
      </c>
      <c r="I1044">
        <v>1329.9230957</v>
      </c>
      <c r="J1044">
        <v>1329.5501709</v>
      </c>
      <c r="K1044">
        <v>550</v>
      </c>
      <c r="L1044">
        <v>0</v>
      </c>
      <c r="M1044">
        <v>0</v>
      </c>
      <c r="N1044">
        <v>550</v>
      </c>
    </row>
    <row r="1045" spans="1:14" x14ac:dyDescent="0.25">
      <c r="A1045">
        <v>768.57560599999999</v>
      </c>
      <c r="B1045" s="1">
        <f>DATE(2012,6,7) + TIME(13,48,52)</f>
        <v>41067.575601851851</v>
      </c>
      <c r="C1045">
        <v>80</v>
      </c>
      <c r="D1045">
        <v>79.930442810000002</v>
      </c>
      <c r="E1045">
        <v>60</v>
      </c>
      <c r="F1045">
        <v>57.927463531000001</v>
      </c>
      <c r="G1045">
        <v>1333.8123779</v>
      </c>
      <c r="H1045">
        <v>1332.7736815999999</v>
      </c>
      <c r="I1045">
        <v>1329.9112548999999</v>
      </c>
      <c r="J1045">
        <v>1329.5324707</v>
      </c>
      <c r="K1045">
        <v>550</v>
      </c>
      <c r="L1045">
        <v>0</v>
      </c>
      <c r="M1045">
        <v>0</v>
      </c>
      <c r="N1045">
        <v>550</v>
      </c>
    </row>
    <row r="1046" spans="1:14" x14ac:dyDescent="0.25">
      <c r="A1046">
        <v>770.04956500000003</v>
      </c>
      <c r="B1046" s="1">
        <f>DATE(2012,6,9) + TIME(1,11,22)</f>
        <v>41069.049560185187</v>
      </c>
      <c r="C1046">
        <v>80</v>
      </c>
      <c r="D1046">
        <v>79.930320739999999</v>
      </c>
      <c r="E1046">
        <v>60</v>
      </c>
      <c r="F1046">
        <v>57.851730347</v>
      </c>
      <c r="G1046">
        <v>1333.8105469</v>
      </c>
      <c r="H1046">
        <v>1332.7750243999999</v>
      </c>
      <c r="I1046">
        <v>1329.8994141000001</v>
      </c>
      <c r="J1046">
        <v>1329.5147704999999</v>
      </c>
      <c r="K1046">
        <v>550</v>
      </c>
      <c r="L1046">
        <v>0</v>
      </c>
      <c r="M1046">
        <v>0</v>
      </c>
      <c r="N1046">
        <v>550</v>
      </c>
    </row>
    <row r="1047" spans="1:14" x14ac:dyDescent="0.25">
      <c r="A1047">
        <v>771.59682399999997</v>
      </c>
      <c r="B1047" s="1">
        <f>DATE(2012,6,10) + TIME(14,19,25)</f>
        <v>41070.596817129626</v>
      </c>
      <c r="C1047">
        <v>80</v>
      </c>
      <c r="D1047">
        <v>79.930206299000005</v>
      </c>
      <c r="E1047">
        <v>60</v>
      </c>
      <c r="F1047">
        <v>57.772178650000001</v>
      </c>
      <c r="G1047">
        <v>1333.8089600000001</v>
      </c>
      <c r="H1047">
        <v>1332.7764893000001</v>
      </c>
      <c r="I1047">
        <v>1329.8875731999999</v>
      </c>
      <c r="J1047">
        <v>1329.4969481999999</v>
      </c>
      <c r="K1047">
        <v>550</v>
      </c>
      <c r="L1047">
        <v>0</v>
      </c>
      <c r="M1047">
        <v>0</v>
      </c>
      <c r="N1047">
        <v>550</v>
      </c>
    </row>
    <row r="1048" spans="1:14" x14ac:dyDescent="0.25">
      <c r="A1048">
        <v>772.41858200000001</v>
      </c>
      <c r="B1048" s="1">
        <f>DATE(2012,6,11) + TIME(10,2,45)</f>
        <v>41071.418576388889</v>
      </c>
      <c r="C1048">
        <v>80</v>
      </c>
      <c r="D1048">
        <v>79.930107117000006</v>
      </c>
      <c r="E1048">
        <v>60</v>
      </c>
      <c r="F1048">
        <v>57.722255707000002</v>
      </c>
      <c r="G1048">
        <v>1333.8073730000001</v>
      </c>
      <c r="H1048">
        <v>1332.7779541</v>
      </c>
      <c r="I1048">
        <v>1329.8758545000001</v>
      </c>
      <c r="J1048">
        <v>1329.4793701000001</v>
      </c>
      <c r="K1048">
        <v>550</v>
      </c>
      <c r="L1048">
        <v>0</v>
      </c>
      <c r="M1048">
        <v>0</v>
      </c>
      <c r="N1048">
        <v>550</v>
      </c>
    </row>
    <row r="1049" spans="1:14" x14ac:dyDescent="0.25">
      <c r="A1049">
        <v>773.24033899999995</v>
      </c>
      <c r="B1049" s="1">
        <f>DATE(2012,6,12) + TIME(5,46,5)</f>
        <v>41072.240335648145</v>
      </c>
      <c r="C1049">
        <v>80</v>
      </c>
      <c r="D1049">
        <v>79.930030822999996</v>
      </c>
      <c r="E1049">
        <v>60</v>
      </c>
      <c r="F1049">
        <v>57.673309326000002</v>
      </c>
      <c r="G1049">
        <v>1333.8065185999999</v>
      </c>
      <c r="H1049">
        <v>1332.7786865</v>
      </c>
      <c r="I1049">
        <v>1329.8686522999999</v>
      </c>
      <c r="J1049">
        <v>1329.4682617000001</v>
      </c>
      <c r="K1049">
        <v>550</v>
      </c>
      <c r="L1049">
        <v>0</v>
      </c>
      <c r="M1049">
        <v>0</v>
      </c>
      <c r="N1049">
        <v>550</v>
      </c>
    </row>
    <row r="1050" spans="1:14" x14ac:dyDescent="0.25">
      <c r="A1050">
        <v>774.062096</v>
      </c>
      <c r="B1050" s="1">
        <f>DATE(2012,6,13) + TIME(1,29,25)</f>
        <v>41073.062094907407</v>
      </c>
      <c r="C1050">
        <v>80</v>
      </c>
      <c r="D1050">
        <v>79.929962157999995</v>
      </c>
      <c r="E1050">
        <v>60</v>
      </c>
      <c r="F1050">
        <v>57.625194550000003</v>
      </c>
      <c r="G1050">
        <v>1333.8057861</v>
      </c>
      <c r="H1050">
        <v>1332.7794189000001</v>
      </c>
      <c r="I1050">
        <v>1329.8618164</v>
      </c>
      <c r="J1050">
        <v>1329.4576416</v>
      </c>
      <c r="K1050">
        <v>550</v>
      </c>
      <c r="L1050">
        <v>0</v>
      </c>
      <c r="M1050">
        <v>0</v>
      </c>
      <c r="N1050">
        <v>550</v>
      </c>
    </row>
    <row r="1051" spans="1:14" x14ac:dyDescent="0.25">
      <c r="A1051">
        <v>774.88385300000004</v>
      </c>
      <c r="B1051" s="1">
        <f>DATE(2012,6,13) + TIME(21,12,44)</f>
        <v>41073.883842592593</v>
      </c>
      <c r="C1051">
        <v>80</v>
      </c>
      <c r="D1051">
        <v>79.929908752000003</v>
      </c>
      <c r="E1051">
        <v>60</v>
      </c>
      <c r="F1051">
        <v>57.577804565000001</v>
      </c>
      <c r="G1051">
        <v>1333.8051757999999</v>
      </c>
      <c r="H1051">
        <v>1332.7801514</v>
      </c>
      <c r="I1051">
        <v>1329.8551024999999</v>
      </c>
      <c r="J1051">
        <v>1329.4473877</v>
      </c>
      <c r="K1051">
        <v>550</v>
      </c>
      <c r="L1051">
        <v>0</v>
      </c>
      <c r="M1051">
        <v>0</v>
      </c>
      <c r="N1051">
        <v>550</v>
      </c>
    </row>
    <row r="1052" spans="1:14" x14ac:dyDescent="0.25">
      <c r="A1052">
        <v>776.52736800000002</v>
      </c>
      <c r="B1052" s="1">
        <f>DATE(2012,6,15) + TIME(12,39,24)</f>
        <v>41075.527361111112</v>
      </c>
      <c r="C1052">
        <v>80</v>
      </c>
      <c r="D1052">
        <v>79.929878235000004</v>
      </c>
      <c r="E1052">
        <v>60</v>
      </c>
      <c r="F1052">
        <v>57.499286652000002</v>
      </c>
      <c r="G1052">
        <v>1333.8044434000001</v>
      </c>
      <c r="H1052">
        <v>1332.7808838000001</v>
      </c>
      <c r="I1052">
        <v>1329.8483887</v>
      </c>
      <c r="J1052">
        <v>1329.4367675999999</v>
      </c>
      <c r="K1052">
        <v>550</v>
      </c>
      <c r="L1052">
        <v>0</v>
      </c>
      <c r="M1052">
        <v>0</v>
      </c>
      <c r="N1052">
        <v>550</v>
      </c>
    </row>
    <row r="1053" spans="1:14" x14ac:dyDescent="0.25">
      <c r="A1053">
        <v>778.18246499999998</v>
      </c>
      <c r="B1053" s="1">
        <f>DATE(2012,6,17) + TIME(4,22,44)</f>
        <v>41077.182453703703</v>
      </c>
      <c r="C1053">
        <v>80</v>
      </c>
      <c r="D1053">
        <v>79.929817200000002</v>
      </c>
      <c r="E1053">
        <v>60</v>
      </c>
      <c r="F1053">
        <v>57.417720795000001</v>
      </c>
      <c r="G1053">
        <v>1333.8031006000001</v>
      </c>
      <c r="H1053">
        <v>1332.7822266000001</v>
      </c>
      <c r="I1053">
        <v>1329.8375243999999</v>
      </c>
      <c r="J1053">
        <v>1329.4204102000001</v>
      </c>
      <c r="K1053">
        <v>550</v>
      </c>
      <c r="L1053">
        <v>0</v>
      </c>
      <c r="M1053">
        <v>0</v>
      </c>
      <c r="N1053">
        <v>550</v>
      </c>
    </row>
    <row r="1054" spans="1:14" x14ac:dyDescent="0.25">
      <c r="A1054">
        <v>779.92825900000003</v>
      </c>
      <c r="B1054" s="1">
        <f>DATE(2012,6,18) + TIME(22,16,41)</f>
        <v>41078.928252314814</v>
      </c>
      <c r="C1054">
        <v>80</v>
      </c>
      <c r="D1054">
        <v>79.929756165000001</v>
      </c>
      <c r="E1054">
        <v>60</v>
      </c>
      <c r="F1054">
        <v>57.331813812</v>
      </c>
      <c r="G1054">
        <v>1333.8017577999999</v>
      </c>
      <c r="H1054">
        <v>1332.7835693</v>
      </c>
      <c r="I1054">
        <v>1329.8266602000001</v>
      </c>
      <c r="J1054">
        <v>1329.4036865</v>
      </c>
      <c r="K1054">
        <v>550</v>
      </c>
      <c r="L1054">
        <v>0</v>
      </c>
      <c r="M1054">
        <v>0</v>
      </c>
      <c r="N1054">
        <v>550</v>
      </c>
    </row>
    <row r="1055" spans="1:14" x14ac:dyDescent="0.25">
      <c r="A1055">
        <v>781.80283499999996</v>
      </c>
      <c r="B1055" s="1">
        <f>DATE(2012,6,20) + TIME(19,16,4)</f>
        <v>41080.802824074075</v>
      </c>
      <c r="C1055">
        <v>80</v>
      </c>
      <c r="D1055">
        <v>79.929695128999995</v>
      </c>
      <c r="E1055">
        <v>60</v>
      </c>
      <c r="F1055">
        <v>57.241207123000002</v>
      </c>
      <c r="G1055">
        <v>1333.8005370999999</v>
      </c>
      <c r="H1055">
        <v>1332.7849120999999</v>
      </c>
      <c r="I1055">
        <v>1329.8153076000001</v>
      </c>
      <c r="J1055">
        <v>1329.3863524999999</v>
      </c>
      <c r="K1055">
        <v>550</v>
      </c>
      <c r="L1055">
        <v>0</v>
      </c>
      <c r="M1055">
        <v>0</v>
      </c>
      <c r="N1055">
        <v>550</v>
      </c>
    </row>
    <row r="1056" spans="1:14" x14ac:dyDescent="0.25">
      <c r="A1056">
        <v>783.72385399999996</v>
      </c>
      <c r="B1056" s="1">
        <f>DATE(2012,6,22) + TIME(17,22,21)</f>
        <v>41082.723854166667</v>
      </c>
      <c r="C1056">
        <v>80</v>
      </c>
      <c r="D1056">
        <v>79.929634093999994</v>
      </c>
      <c r="E1056">
        <v>60</v>
      </c>
      <c r="F1056">
        <v>57.149414061999998</v>
      </c>
      <c r="G1056">
        <v>1333.7993164</v>
      </c>
      <c r="H1056">
        <v>1332.7863769999999</v>
      </c>
      <c r="I1056">
        <v>1329.8038329999999</v>
      </c>
      <c r="J1056">
        <v>1329.3684082</v>
      </c>
      <c r="K1056">
        <v>550</v>
      </c>
      <c r="L1056">
        <v>0</v>
      </c>
      <c r="M1056">
        <v>0</v>
      </c>
      <c r="N1056">
        <v>550</v>
      </c>
    </row>
    <row r="1057" spans="1:14" x14ac:dyDescent="0.25">
      <c r="A1057">
        <v>785.656926</v>
      </c>
      <c r="B1057" s="1">
        <f>DATE(2012,6,24) + TIME(15,45,58)</f>
        <v>41084.656921296293</v>
      </c>
      <c r="C1057">
        <v>80</v>
      </c>
      <c r="D1057">
        <v>79.929580688000001</v>
      </c>
      <c r="E1057">
        <v>60</v>
      </c>
      <c r="F1057">
        <v>57.059360503999997</v>
      </c>
      <c r="G1057">
        <v>1333.7982178</v>
      </c>
      <c r="H1057">
        <v>1332.7877197</v>
      </c>
      <c r="I1057">
        <v>1329.7922363</v>
      </c>
      <c r="J1057">
        <v>1329.3503418</v>
      </c>
      <c r="K1057">
        <v>550</v>
      </c>
      <c r="L1057">
        <v>0</v>
      </c>
      <c r="M1057">
        <v>0</v>
      </c>
      <c r="N1057">
        <v>550</v>
      </c>
    </row>
    <row r="1058" spans="1:14" x14ac:dyDescent="0.25">
      <c r="A1058">
        <v>787.64693799999998</v>
      </c>
      <c r="B1058" s="1">
        <f>DATE(2012,6,26) + TIME(15,31,35)</f>
        <v>41086.646932870368</v>
      </c>
      <c r="C1058">
        <v>80</v>
      </c>
      <c r="D1058">
        <v>79.929534911999994</v>
      </c>
      <c r="E1058">
        <v>60</v>
      </c>
      <c r="F1058">
        <v>56.972072601000001</v>
      </c>
      <c r="G1058">
        <v>1333.7971190999999</v>
      </c>
      <c r="H1058">
        <v>1332.7890625</v>
      </c>
      <c r="I1058">
        <v>1329.7808838000001</v>
      </c>
      <c r="J1058">
        <v>1329.3325195</v>
      </c>
      <c r="K1058">
        <v>550</v>
      </c>
      <c r="L1058">
        <v>0</v>
      </c>
      <c r="M1058">
        <v>0</v>
      </c>
      <c r="N1058">
        <v>550</v>
      </c>
    </row>
    <row r="1059" spans="1:14" x14ac:dyDescent="0.25">
      <c r="A1059">
        <v>789.73829599999999</v>
      </c>
      <c r="B1059" s="1">
        <f>DATE(2012,6,28) + TIME(17,43,8)</f>
        <v>41088.738287037035</v>
      </c>
      <c r="C1059">
        <v>80</v>
      </c>
      <c r="D1059">
        <v>79.929504394999995</v>
      </c>
      <c r="E1059">
        <v>60</v>
      </c>
      <c r="F1059">
        <v>56.888957976999997</v>
      </c>
      <c r="G1059">
        <v>1333.7961425999999</v>
      </c>
      <c r="H1059">
        <v>1332.7904053</v>
      </c>
      <c r="I1059">
        <v>1329.7698975000001</v>
      </c>
      <c r="J1059">
        <v>1329.3148193</v>
      </c>
      <c r="K1059">
        <v>550</v>
      </c>
      <c r="L1059">
        <v>0</v>
      </c>
      <c r="M1059">
        <v>0</v>
      </c>
      <c r="N1059">
        <v>550</v>
      </c>
    </row>
    <row r="1060" spans="1:14" x14ac:dyDescent="0.25">
      <c r="A1060">
        <v>790.869148</v>
      </c>
      <c r="B1060" s="1">
        <f>DATE(2012,6,29) + TIME(20,51,34)</f>
        <v>41089.869143518517</v>
      </c>
      <c r="C1060">
        <v>80</v>
      </c>
      <c r="D1060">
        <v>79.929443359000004</v>
      </c>
      <c r="E1060">
        <v>60</v>
      </c>
      <c r="F1060">
        <v>56.840244292999998</v>
      </c>
      <c r="G1060">
        <v>1333.7950439000001</v>
      </c>
      <c r="H1060">
        <v>1332.791626</v>
      </c>
      <c r="I1060">
        <v>1329.7591553</v>
      </c>
      <c r="J1060">
        <v>1329.2976074000001</v>
      </c>
      <c r="K1060">
        <v>550</v>
      </c>
      <c r="L1060">
        <v>0</v>
      </c>
      <c r="M1060">
        <v>0</v>
      </c>
      <c r="N1060">
        <v>550</v>
      </c>
    </row>
    <row r="1061" spans="1:14" x14ac:dyDescent="0.25">
      <c r="A1061">
        <v>792</v>
      </c>
      <c r="B1061" s="1">
        <f>DATE(2012,7,1) + TIME(0,0,0)</f>
        <v>41091</v>
      </c>
      <c r="C1061">
        <v>80</v>
      </c>
      <c r="D1061">
        <v>79.929412842000005</v>
      </c>
      <c r="E1061">
        <v>60</v>
      </c>
      <c r="F1061">
        <v>56.798583983999997</v>
      </c>
      <c r="G1061">
        <v>1333.7945557</v>
      </c>
      <c r="H1061">
        <v>1332.7923584</v>
      </c>
      <c r="I1061">
        <v>1329.7523193</v>
      </c>
      <c r="J1061">
        <v>1329.286499</v>
      </c>
      <c r="K1061">
        <v>550</v>
      </c>
      <c r="L1061">
        <v>0</v>
      </c>
      <c r="M1061">
        <v>0</v>
      </c>
      <c r="N1061">
        <v>550</v>
      </c>
    </row>
    <row r="1062" spans="1:14" x14ac:dyDescent="0.25">
      <c r="A1062">
        <v>794.21180800000002</v>
      </c>
      <c r="B1062" s="1">
        <f>DATE(2012,7,3) + TIME(5,5,0)</f>
        <v>41093.211805555555</v>
      </c>
      <c r="C1062">
        <v>80</v>
      </c>
      <c r="D1062">
        <v>79.929435729999994</v>
      </c>
      <c r="E1062">
        <v>60</v>
      </c>
      <c r="F1062">
        <v>56.744506835999999</v>
      </c>
      <c r="G1062">
        <v>1333.7940673999999</v>
      </c>
      <c r="H1062">
        <v>1332.7929687999999</v>
      </c>
      <c r="I1062">
        <v>1329.7457274999999</v>
      </c>
      <c r="J1062">
        <v>1329.2755127</v>
      </c>
      <c r="K1062">
        <v>550</v>
      </c>
      <c r="L1062">
        <v>0</v>
      </c>
      <c r="M1062">
        <v>0</v>
      </c>
      <c r="N1062">
        <v>550</v>
      </c>
    </row>
    <row r="1063" spans="1:14" x14ac:dyDescent="0.25">
      <c r="A1063">
        <v>796.42521699999998</v>
      </c>
      <c r="B1063" s="1">
        <f>DATE(2012,7,5) + TIME(10,12,18)</f>
        <v>41095.425208333334</v>
      </c>
      <c r="C1063">
        <v>80</v>
      </c>
      <c r="D1063">
        <v>79.929435729999994</v>
      </c>
      <c r="E1063">
        <v>60</v>
      </c>
      <c r="F1063">
        <v>56.705818176000001</v>
      </c>
      <c r="G1063">
        <v>1333.7930908000001</v>
      </c>
      <c r="H1063">
        <v>1332.7941894999999</v>
      </c>
      <c r="I1063">
        <v>1329.7362060999999</v>
      </c>
      <c r="J1063">
        <v>1329.2598877</v>
      </c>
      <c r="K1063">
        <v>550</v>
      </c>
      <c r="L1063">
        <v>0</v>
      </c>
      <c r="M1063">
        <v>0</v>
      </c>
      <c r="N1063">
        <v>550</v>
      </c>
    </row>
    <row r="1064" spans="1:14" x14ac:dyDescent="0.25">
      <c r="A1064">
        <v>798.74957099999995</v>
      </c>
      <c r="B1064" s="1">
        <f>DATE(2012,7,7) + TIME(17,59,22)</f>
        <v>41097.749560185184</v>
      </c>
      <c r="C1064">
        <v>80</v>
      </c>
      <c r="D1064">
        <v>79.929435729999994</v>
      </c>
      <c r="E1064">
        <v>60</v>
      </c>
      <c r="F1064">
        <v>56.687530518000003</v>
      </c>
      <c r="G1064">
        <v>1333.7922363</v>
      </c>
      <c r="H1064">
        <v>1332.7954102000001</v>
      </c>
      <c r="I1064">
        <v>1329.7269286999999</v>
      </c>
      <c r="J1064">
        <v>1329.2443848</v>
      </c>
      <c r="K1064">
        <v>550</v>
      </c>
      <c r="L1064">
        <v>0</v>
      </c>
      <c r="M1064">
        <v>0</v>
      </c>
      <c r="N1064">
        <v>550</v>
      </c>
    </row>
    <row r="1065" spans="1:14" x14ac:dyDescent="0.25">
      <c r="A1065">
        <v>801.23834599999998</v>
      </c>
      <c r="B1065" s="1">
        <f>DATE(2012,7,10) + TIME(5,43,13)</f>
        <v>41100.238344907404</v>
      </c>
      <c r="C1065">
        <v>80</v>
      </c>
      <c r="D1065">
        <v>79.929450989000003</v>
      </c>
      <c r="E1065">
        <v>60</v>
      </c>
      <c r="F1065">
        <v>56.697052002</v>
      </c>
      <c r="G1065">
        <v>1333.7913818</v>
      </c>
      <c r="H1065">
        <v>1332.7966309000001</v>
      </c>
      <c r="I1065">
        <v>1329.7177733999999</v>
      </c>
      <c r="J1065">
        <v>1329.2288818</v>
      </c>
      <c r="K1065">
        <v>550</v>
      </c>
      <c r="L1065">
        <v>0</v>
      </c>
      <c r="M1065">
        <v>0</v>
      </c>
      <c r="N1065">
        <v>550</v>
      </c>
    </row>
    <row r="1066" spans="1:14" x14ac:dyDescent="0.25">
      <c r="A1066">
        <v>803.72954800000002</v>
      </c>
      <c r="B1066" s="1">
        <f>DATE(2012,7,12) + TIME(17,30,32)</f>
        <v>41102.729537037034</v>
      </c>
      <c r="C1066">
        <v>80</v>
      </c>
      <c r="D1066">
        <v>79.929458617999998</v>
      </c>
      <c r="E1066">
        <v>60</v>
      </c>
      <c r="F1066">
        <v>56.742561340000002</v>
      </c>
      <c r="G1066">
        <v>1333.7905272999999</v>
      </c>
      <c r="H1066">
        <v>1332.7978516000001</v>
      </c>
      <c r="I1066">
        <v>1329.7087402</v>
      </c>
      <c r="J1066">
        <v>1329.2136230000001</v>
      </c>
      <c r="K1066">
        <v>550</v>
      </c>
      <c r="L1066">
        <v>0</v>
      </c>
      <c r="M1066">
        <v>0</v>
      </c>
      <c r="N1066">
        <v>550</v>
      </c>
    </row>
    <row r="1067" spans="1:14" x14ac:dyDescent="0.25">
      <c r="A1067">
        <v>806.25931500000002</v>
      </c>
      <c r="B1067" s="1">
        <f>DATE(2012,7,15) + TIME(6,13,24)</f>
        <v>41105.259305555555</v>
      </c>
      <c r="C1067">
        <v>80</v>
      </c>
      <c r="D1067">
        <v>79.929473877000007</v>
      </c>
      <c r="E1067">
        <v>60</v>
      </c>
      <c r="F1067">
        <v>56.829521178999997</v>
      </c>
      <c r="G1067">
        <v>1333.7897949000001</v>
      </c>
      <c r="H1067">
        <v>1332.7989502</v>
      </c>
      <c r="I1067">
        <v>1329.7004394999999</v>
      </c>
      <c r="J1067">
        <v>1329.1992187999999</v>
      </c>
      <c r="K1067">
        <v>550</v>
      </c>
      <c r="L1067">
        <v>0</v>
      </c>
      <c r="M1067">
        <v>0</v>
      </c>
      <c r="N1067">
        <v>550</v>
      </c>
    </row>
    <row r="1068" spans="1:14" x14ac:dyDescent="0.25">
      <c r="A1068">
        <v>808.894994</v>
      </c>
      <c r="B1068" s="1">
        <f>DATE(2012,7,17) + TIME(21,28,47)</f>
        <v>41107.894988425927</v>
      </c>
      <c r="C1068">
        <v>80</v>
      </c>
      <c r="D1068">
        <v>79.929504394999995</v>
      </c>
      <c r="E1068">
        <v>60</v>
      </c>
      <c r="F1068">
        <v>56.964298247999999</v>
      </c>
      <c r="G1068">
        <v>1333.7889404</v>
      </c>
      <c r="H1068">
        <v>1332.8000488</v>
      </c>
      <c r="I1068">
        <v>1329.692749</v>
      </c>
      <c r="J1068">
        <v>1329.1857910000001</v>
      </c>
      <c r="K1068">
        <v>550</v>
      </c>
      <c r="L1068">
        <v>0</v>
      </c>
      <c r="M1068">
        <v>0</v>
      </c>
      <c r="N1068">
        <v>550</v>
      </c>
    </row>
    <row r="1069" spans="1:14" x14ac:dyDescent="0.25">
      <c r="A1069">
        <v>810.30117299999995</v>
      </c>
      <c r="B1069" s="1">
        <f>DATE(2012,7,19) + TIME(7,13,41)</f>
        <v>41109.301168981481</v>
      </c>
      <c r="C1069">
        <v>80</v>
      </c>
      <c r="D1069">
        <v>79.929481506000002</v>
      </c>
      <c r="E1069">
        <v>60</v>
      </c>
      <c r="F1069">
        <v>57.092098235999998</v>
      </c>
      <c r="G1069">
        <v>1333.7882079999999</v>
      </c>
      <c r="H1069">
        <v>1332.8011475000001</v>
      </c>
      <c r="I1069">
        <v>1329.6860352000001</v>
      </c>
      <c r="J1069">
        <v>1329.1735839999999</v>
      </c>
      <c r="K1069">
        <v>550</v>
      </c>
      <c r="L1069">
        <v>0</v>
      </c>
      <c r="M1069">
        <v>0</v>
      </c>
      <c r="N1069">
        <v>550</v>
      </c>
    </row>
    <row r="1070" spans="1:14" x14ac:dyDescent="0.25">
      <c r="A1070">
        <v>811.70735200000001</v>
      </c>
      <c r="B1070" s="1">
        <f>DATE(2012,7,20) + TIME(16,58,35)</f>
        <v>41110.707349537035</v>
      </c>
      <c r="C1070">
        <v>80</v>
      </c>
      <c r="D1070">
        <v>79.929489136000001</v>
      </c>
      <c r="E1070">
        <v>60</v>
      </c>
      <c r="F1070">
        <v>57.227756499999998</v>
      </c>
      <c r="G1070">
        <v>1333.7879639</v>
      </c>
      <c r="H1070">
        <v>1332.8016356999999</v>
      </c>
      <c r="I1070">
        <v>1329.6816406</v>
      </c>
      <c r="J1070">
        <v>1329.1661377</v>
      </c>
      <c r="K1070">
        <v>550</v>
      </c>
      <c r="L1070">
        <v>0</v>
      </c>
      <c r="M1070">
        <v>0</v>
      </c>
      <c r="N1070">
        <v>550</v>
      </c>
    </row>
    <row r="1071" spans="1:14" x14ac:dyDescent="0.25">
      <c r="A1071">
        <v>813.11353199999996</v>
      </c>
      <c r="B1071" s="1">
        <f>DATE(2012,7,22) + TIME(2,43,29)</f>
        <v>41112.113530092596</v>
      </c>
      <c r="C1071">
        <v>80</v>
      </c>
      <c r="D1071">
        <v>79.929504394999995</v>
      </c>
      <c r="E1071">
        <v>60</v>
      </c>
      <c r="F1071">
        <v>57.372367859000001</v>
      </c>
      <c r="G1071">
        <v>1333.7875977000001</v>
      </c>
      <c r="H1071">
        <v>1332.8022461</v>
      </c>
      <c r="I1071">
        <v>1329.6778564000001</v>
      </c>
      <c r="J1071">
        <v>1329.1595459</v>
      </c>
      <c r="K1071">
        <v>550</v>
      </c>
      <c r="L1071">
        <v>0</v>
      </c>
      <c r="M1071">
        <v>0</v>
      </c>
      <c r="N1071">
        <v>550</v>
      </c>
    </row>
    <row r="1072" spans="1:14" x14ac:dyDescent="0.25">
      <c r="A1072">
        <v>815.92588999999998</v>
      </c>
      <c r="B1072" s="1">
        <f>DATE(2012,7,24) + TIME(22,13,16)</f>
        <v>41114.925879629627</v>
      </c>
      <c r="C1072">
        <v>80</v>
      </c>
      <c r="D1072">
        <v>79.929595946999996</v>
      </c>
      <c r="E1072">
        <v>60</v>
      </c>
      <c r="F1072">
        <v>57.601322174000003</v>
      </c>
      <c r="G1072">
        <v>1333.7872314000001</v>
      </c>
      <c r="H1072">
        <v>1332.8027344</v>
      </c>
      <c r="I1072">
        <v>1329.6741943</v>
      </c>
      <c r="J1072">
        <v>1329.1533202999999</v>
      </c>
      <c r="K1072">
        <v>550</v>
      </c>
      <c r="L1072">
        <v>0</v>
      </c>
      <c r="M1072">
        <v>0</v>
      </c>
      <c r="N1072">
        <v>550</v>
      </c>
    </row>
    <row r="1073" spans="1:14" x14ac:dyDescent="0.25">
      <c r="A1073">
        <v>818.74160700000004</v>
      </c>
      <c r="B1073" s="1">
        <f>DATE(2012,7,27) + TIME(17,47,54)</f>
        <v>41117.741597222222</v>
      </c>
      <c r="C1073">
        <v>80</v>
      </c>
      <c r="D1073">
        <v>79.929656981999997</v>
      </c>
      <c r="E1073">
        <v>60</v>
      </c>
      <c r="F1073">
        <v>57.897663115999997</v>
      </c>
      <c r="G1073">
        <v>1333.786499</v>
      </c>
      <c r="H1073">
        <v>1332.8037108999999</v>
      </c>
      <c r="I1073">
        <v>1329.6695557</v>
      </c>
      <c r="J1073">
        <v>1329.1450195</v>
      </c>
      <c r="K1073">
        <v>550</v>
      </c>
      <c r="L1073">
        <v>0</v>
      </c>
      <c r="M1073">
        <v>0</v>
      </c>
      <c r="N1073">
        <v>550</v>
      </c>
    </row>
    <row r="1074" spans="1:14" x14ac:dyDescent="0.25">
      <c r="A1074">
        <v>821.74953400000004</v>
      </c>
      <c r="B1074" s="1">
        <f>DATE(2012,7,30) + TIME(17,59,19)</f>
        <v>41120.749525462961</v>
      </c>
      <c r="C1074">
        <v>80</v>
      </c>
      <c r="D1074">
        <v>79.929725646999998</v>
      </c>
      <c r="E1074">
        <v>60</v>
      </c>
      <c r="F1074">
        <v>58.252967834000003</v>
      </c>
      <c r="G1074">
        <v>1333.7858887</v>
      </c>
      <c r="H1074">
        <v>1332.8048096</v>
      </c>
      <c r="I1074">
        <v>1329.6652832</v>
      </c>
      <c r="J1074">
        <v>1329.1373291</v>
      </c>
      <c r="K1074">
        <v>550</v>
      </c>
      <c r="L1074">
        <v>0</v>
      </c>
      <c r="M1074">
        <v>0</v>
      </c>
      <c r="N1074">
        <v>550</v>
      </c>
    </row>
    <row r="1075" spans="1:14" x14ac:dyDescent="0.25">
      <c r="A1075">
        <v>823</v>
      </c>
      <c r="B1075" s="1">
        <f>DATE(2012,8,1) + TIME(0,0,0)</f>
        <v>41122</v>
      </c>
      <c r="C1075">
        <v>80</v>
      </c>
      <c r="D1075">
        <v>79.929718018000003</v>
      </c>
      <c r="E1075">
        <v>60</v>
      </c>
      <c r="F1075">
        <v>58.495121001999998</v>
      </c>
      <c r="G1075">
        <v>1333.7852783000001</v>
      </c>
      <c r="H1075">
        <v>1332.8057861</v>
      </c>
      <c r="I1075">
        <v>1329.6621094</v>
      </c>
      <c r="J1075">
        <v>1329.1304932</v>
      </c>
      <c r="K1075">
        <v>550</v>
      </c>
      <c r="L1075">
        <v>0</v>
      </c>
      <c r="M1075">
        <v>0</v>
      </c>
      <c r="N1075">
        <v>550</v>
      </c>
    </row>
    <row r="1076" spans="1:14" x14ac:dyDescent="0.25">
      <c r="A1076">
        <v>826.27221599999996</v>
      </c>
      <c r="B1076" s="1">
        <f>DATE(2012,8,4) + TIME(6,31,59)</f>
        <v>41125.272210648145</v>
      </c>
      <c r="C1076">
        <v>80</v>
      </c>
      <c r="D1076">
        <v>79.929824828999998</v>
      </c>
      <c r="E1076">
        <v>60</v>
      </c>
      <c r="F1076">
        <v>58.877857208000002</v>
      </c>
      <c r="G1076">
        <v>1333.7850341999999</v>
      </c>
      <c r="H1076">
        <v>1332.8061522999999</v>
      </c>
      <c r="I1076">
        <v>1329.6593018000001</v>
      </c>
      <c r="J1076">
        <v>1329.1268310999999</v>
      </c>
      <c r="K1076">
        <v>550</v>
      </c>
      <c r="L1076">
        <v>0</v>
      </c>
      <c r="M1076">
        <v>0</v>
      </c>
      <c r="N1076">
        <v>550</v>
      </c>
    </row>
    <row r="1077" spans="1:14" x14ac:dyDescent="0.25">
      <c r="A1077">
        <v>829.58426699999995</v>
      </c>
      <c r="B1077" s="1">
        <f>DATE(2012,8,7) + TIME(14,1,20)</f>
        <v>41128.58425925926</v>
      </c>
      <c r="C1077">
        <v>80</v>
      </c>
      <c r="D1077">
        <v>79.929916382000002</v>
      </c>
      <c r="E1077">
        <v>60</v>
      </c>
      <c r="F1077">
        <v>59.321643829000003</v>
      </c>
      <c r="G1077">
        <v>1333.7845459</v>
      </c>
      <c r="H1077">
        <v>1332.807251</v>
      </c>
      <c r="I1077">
        <v>1329.6561279</v>
      </c>
      <c r="J1077">
        <v>1329.1210937999999</v>
      </c>
      <c r="K1077">
        <v>550</v>
      </c>
      <c r="L1077">
        <v>0</v>
      </c>
      <c r="M1077">
        <v>0</v>
      </c>
      <c r="N1077">
        <v>550</v>
      </c>
    </row>
    <row r="1078" spans="1:14" x14ac:dyDescent="0.25">
      <c r="A1078">
        <v>833.03826800000002</v>
      </c>
      <c r="B1078" s="1">
        <f>DATE(2012,8,11) + TIME(0,55,6)</f>
        <v>41132.038263888891</v>
      </c>
      <c r="C1078">
        <v>80</v>
      </c>
      <c r="D1078">
        <v>79.930007935000006</v>
      </c>
      <c r="E1078">
        <v>60</v>
      </c>
      <c r="F1078">
        <v>59.800323486000003</v>
      </c>
      <c r="G1078">
        <v>1333.7839355000001</v>
      </c>
      <c r="H1078">
        <v>1332.8082274999999</v>
      </c>
      <c r="I1078">
        <v>1329.6534423999999</v>
      </c>
      <c r="J1078">
        <v>1329.1160889</v>
      </c>
      <c r="K1078">
        <v>550</v>
      </c>
      <c r="L1078">
        <v>0</v>
      </c>
      <c r="M1078">
        <v>0</v>
      </c>
      <c r="N1078">
        <v>550</v>
      </c>
    </row>
    <row r="1079" spans="1:14" x14ac:dyDescent="0.25">
      <c r="A1079">
        <v>836.69708400000002</v>
      </c>
      <c r="B1079" s="1">
        <f>DATE(2012,8,14) + TIME(16,43,48)</f>
        <v>41135.697083333333</v>
      </c>
      <c r="C1079">
        <v>80</v>
      </c>
      <c r="D1079">
        <v>79.930114746000001</v>
      </c>
      <c r="E1079">
        <v>60</v>
      </c>
      <c r="F1079">
        <v>60.301185607999997</v>
      </c>
      <c r="G1079">
        <v>1333.7834473</v>
      </c>
      <c r="H1079">
        <v>1332.8093262</v>
      </c>
      <c r="I1079">
        <v>1329.651001</v>
      </c>
      <c r="J1079">
        <v>1329.1116943</v>
      </c>
      <c r="K1079">
        <v>550</v>
      </c>
      <c r="L1079">
        <v>0</v>
      </c>
      <c r="M1079">
        <v>0</v>
      </c>
      <c r="N1079">
        <v>550</v>
      </c>
    </row>
    <row r="1080" spans="1:14" x14ac:dyDescent="0.25">
      <c r="A1080">
        <v>840.36225000000002</v>
      </c>
      <c r="B1080" s="1">
        <f>DATE(2012,8,18) + TIME(8,41,38)</f>
        <v>41139.362245370372</v>
      </c>
      <c r="C1080">
        <v>80</v>
      </c>
      <c r="D1080">
        <v>79.930213928000001</v>
      </c>
      <c r="E1080">
        <v>60</v>
      </c>
      <c r="F1080">
        <v>60.803245543999999</v>
      </c>
      <c r="G1080">
        <v>1333.7829589999999</v>
      </c>
      <c r="H1080">
        <v>1332.8104248</v>
      </c>
      <c r="I1080">
        <v>1329.6489257999999</v>
      </c>
      <c r="J1080">
        <v>1329.1079102000001</v>
      </c>
      <c r="K1080">
        <v>550</v>
      </c>
      <c r="L1080">
        <v>0</v>
      </c>
      <c r="M1080">
        <v>0</v>
      </c>
      <c r="N1080">
        <v>550</v>
      </c>
    </row>
    <row r="1081" spans="1:14" x14ac:dyDescent="0.25">
      <c r="A1081">
        <v>844.15009999999995</v>
      </c>
      <c r="B1081" s="1">
        <f>DATE(2012,8,22) + TIME(3,36,8)</f>
        <v>41143.150092592594</v>
      </c>
      <c r="C1081">
        <v>80</v>
      </c>
      <c r="D1081">
        <v>79.930328368999994</v>
      </c>
      <c r="E1081">
        <v>60</v>
      </c>
      <c r="F1081">
        <v>61.293479918999999</v>
      </c>
      <c r="G1081">
        <v>1333.7825928</v>
      </c>
      <c r="H1081">
        <v>1332.8114014</v>
      </c>
      <c r="I1081">
        <v>1329.6470947</v>
      </c>
      <c r="J1081">
        <v>1329.1047363</v>
      </c>
      <c r="K1081">
        <v>550</v>
      </c>
      <c r="L1081">
        <v>0</v>
      </c>
      <c r="M1081">
        <v>0</v>
      </c>
      <c r="N1081">
        <v>550</v>
      </c>
    </row>
    <row r="1082" spans="1:14" x14ac:dyDescent="0.25">
      <c r="A1082">
        <v>848.18136500000003</v>
      </c>
      <c r="B1082" s="1">
        <f>DATE(2012,8,26) + TIME(4,21,9)</f>
        <v>41147.181354166663</v>
      </c>
      <c r="C1082">
        <v>80</v>
      </c>
      <c r="D1082">
        <v>79.930458068999997</v>
      </c>
      <c r="E1082">
        <v>60</v>
      </c>
      <c r="F1082">
        <v>61.772026062000002</v>
      </c>
      <c r="G1082">
        <v>1333.7822266000001</v>
      </c>
      <c r="H1082">
        <v>1332.8125</v>
      </c>
      <c r="I1082">
        <v>1329.6455077999999</v>
      </c>
      <c r="J1082">
        <v>1329.1020507999999</v>
      </c>
      <c r="K1082">
        <v>550</v>
      </c>
      <c r="L1082">
        <v>0</v>
      </c>
      <c r="M1082">
        <v>0</v>
      </c>
      <c r="N1082">
        <v>550</v>
      </c>
    </row>
    <row r="1083" spans="1:14" x14ac:dyDescent="0.25">
      <c r="A1083">
        <v>852.306692</v>
      </c>
      <c r="B1083" s="1">
        <f>DATE(2012,8,30) + TIME(7,21,38)</f>
        <v>41151.306689814817</v>
      </c>
      <c r="C1083">
        <v>80</v>
      </c>
      <c r="D1083">
        <v>79.930595397999994</v>
      </c>
      <c r="E1083">
        <v>60</v>
      </c>
      <c r="F1083">
        <v>62.232219696000001</v>
      </c>
      <c r="G1083">
        <v>1333.7818603999999</v>
      </c>
      <c r="H1083">
        <v>1332.8135986</v>
      </c>
      <c r="I1083">
        <v>1329.6442870999999</v>
      </c>
      <c r="J1083">
        <v>1329.0996094</v>
      </c>
      <c r="K1083">
        <v>550</v>
      </c>
      <c r="L1083">
        <v>0</v>
      </c>
      <c r="M1083">
        <v>0</v>
      </c>
      <c r="N1083">
        <v>550</v>
      </c>
    </row>
    <row r="1084" spans="1:14" x14ac:dyDescent="0.25">
      <c r="A1084">
        <v>854</v>
      </c>
      <c r="B1084" s="1">
        <f>DATE(2012,9,1) + TIME(0,0,0)</f>
        <v>41153</v>
      </c>
      <c r="C1084">
        <v>80</v>
      </c>
      <c r="D1084">
        <v>79.930610657000003</v>
      </c>
      <c r="E1084">
        <v>60</v>
      </c>
      <c r="F1084">
        <v>62.516189574999999</v>
      </c>
      <c r="G1084">
        <v>1333.7816161999999</v>
      </c>
      <c r="H1084">
        <v>1332.8145752</v>
      </c>
      <c r="I1084">
        <v>1329.6436768000001</v>
      </c>
      <c r="J1084">
        <v>1329.0975341999999</v>
      </c>
      <c r="K1084">
        <v>550</v>
      </c>
      <c r="L1084">
        <v>0</v>
      </c>
      <c r="M1084">
        <v>0</v>
      </c>
      <c r="N1084">
        <v>550</v>
      </c>
    </row>
    <row r="1085" spans="1:14" x14ac:dyDescent="0.25">
      <c r="A1085">
        <v>858.21153800000002</v>
      </c>
      <c r="B1085" s="1">
        <f>DATE(2012,9,5) + TIME(5,4,36)</f>
        <v>41157.211527777778</v>
      </c>
      <c r="C1085">
        <v>80</v>
      </c>
      <c r="D1085">
        <v>79.930786132999998</v>
      </c>
      <c r="E1085">
        <v>60</v>
      </c>
      <c r="F1085">
        <v>62.866516113000003</v>
      </c>
      <c r="G1085">
        <v>1333.7814940999999</v>
      </c>
      <c r="H1085">
        <v>1332.8150635</v>
      </c>
      <c r="I1085">
        <v>1329.6424560999999</v>
      </c>
      <c r="J1085">
        <v>1329.0965576000001</v>
      </c>
      <c r="K1085">
        <v>550</v>
      </c>
      <c r="L1085">
        <v>0</v>
      </c>
      <c r="M1085">
        <v>0</v>
      </c>
      <c r="N1085">
        <v>550</v>
      </c>
    </row>
    <row r="1086" spans="1:14" x14ac:dyDescent="0.25">
      <c r="A1086">
        <v>862.80871400000001</v>
      </c>
      <c r="B1086" s="1">
        <f>DATE(2012,9,9) + TIME(19,24,32)</f>
        <v>41161.808703703704</v>
      </c>
      <c r="C1086">
        <v>80</v>
      </c>
      <c r="D1086">
        <v>79.930953978999995</v>
      </c>
      <c r="E1086">
        <v>60</v>
      </c>
      <c r="F1086">
        <v>63.238330841</v>
      </c>
      <c r="G1086">
        <v>1333.78125</v>
      </c>
      <c r="H1086">
        <v>1332.8160399999999</v>
      </c>
      <c r="I1086">
        <v>1329.6416016000001</v>
      </c>
      <c r="J1086">
        <v>1329.0944824000001</v>
      </c>
      <c r="K1086">
        <v>550</v>
      </c>
      <c r="L1086">
        <v>0</v>
      </c>
      <c r="M1086">
        <v>0</v>
      </c>
      <c r="N1086">
        <v>550</v>
      </c>
    </row>
    <row r="1087" spans="1:14" x14ac:dyDescent="0.25">
      <c r="A1087">
        <v>867.48637399999996</v>
      </c>
      <c r="B1087" s="1">
        <f>DATE(2012,9,14) + TIME(11,40,22)</f>
        <v>41166.48636574074</v>
      </c>
      <c r="C1087">
        <v>80</v>
      </c>
      <c r="D1087">
        <v>79.931114196999999</v>
      </c>
      <c r="E1087">
        <v>60</v>
      </c>
      <c r="F1087">
        <v>63.604412078999999</v>
      </c>
      <c r="G1087">
        <v>1333.7810059000001</v>
      </c>
      <c r="H1087">
        <v>1332.8171387</v>
      </c>
      <c r="I1087">
        <v>1329.6408690999999</v>
      </c>
      <c r="J1087">
        <v>1329.0925293</v>
      </c>
      <c r="K1087">
        <v>550</v>
      </c>
      <c r="L1087">
        <v>0</v>
      </c>
      <c r="M1087">
        <v>0</v>
      </c>
      <c r="N1087">
        <v>550</v>
      </c>
    </row>
    <row r="1088" spans="1:14" x14ac:dyDescent="0.25">
      <c r="A1088">
        <v>872.307728</v>
      </c>
      <c r="B1088" s="1">
        <f>DATE(2012,9,19) + TIME(7,23,7)</f>
        <v>41171.307719907411</v>
      </c>
      <c r="C1088">
        <v>80</v>
      </c>
      <c r="D1088">
        <v>79.931289672999995</v>
      </c>
      <c r="E1088">
        <v>60</v>
      </c>
      <c r="F1088">
        <v>63.947910309000001</v>
      </c>
      <c r="G1088">
        <v>1333.7808838000001</v>
      </c>
      <c r="H1088">
        <v>1332.8183594</v>
      </c>
      <c r="I1088">
        <v>1329.6401367000001</v>
      </c>
      <c r="J1088">
        <v>1329.0908202999999</v>
      </c>
      <c r="K1088">
        <v>550</v>
      </c>
      <c r="L1088">
        <v>0</v>
      </c>
      <c r="M1088">
        <v>0</v>
      </c>
      <c r="N1088">
        <v>550</v>
      </c>
    </row>
    <row r="1089" spans="1:14" x14ac:dyDescent="0.25">
      <c r="A1089">
        <v>877.42802700000004</v>
      </c>
      <c r="B1089" s="1">
        <f>DATE(2012,9,24) + TIME(10,16,21)</f>
        <v>41176.428020833337</v>
      </c>
      <c r="C1089">
        <v>80</v>
      </c>
      <c r="D1089">
        <v>79.931472778</v>
      </c>
      <c r="E1089">
        <v>60</v>
      </c>
      <c r="F1089">
        <v>64.268867493000002</v>
      </c>
      <c r="G1089">
        <v>1333.7807617000001</v>
      </c>
      <c r="H1089">
        <v>1332.8194579999999</v>
      </c>
      <c r="I1089">
        <v>1329.6394043</v>
      </c>
      <c r="J1089">
        <v>1329.0889893000001</v>
      </c>
      <c r="K1089">
        <v>550</v>
      </c>
      <c r="L1089">
        <v>0</v>
      </c>
      <c r="M1089">
        <v>0</v>
      </c>
      <c r="N1089">
        <v>550</v>
      </c>
    </row>
    <row r="1090" spans="1:14" x14ac:dyDescent="0.25">
      <c r="A1090">
        <v>882.69354599999997</v>
      </c>
      <c r="B1090" s="1">
        <f>DATE(2012,9,29) + TIME(16,38,42)</f>
        <v>41181.693541666667</v>
      </c>
      <c r="C1090">
        <v>80</v>
      </c>
      <c r="D1090">
        <v>79.931663513000004</v>
      </c>
      <c r="E1090">
        <v>60</v>
      </c>
      <c r="F1090">
        <v>64.568428040000001</v>
      </c>
      <c r="G1090">
        <v>1333.7806396000001</v>
      </c>
      <c r="H1090">
        <v>1332.8205565999999</v>
      </c>
      <c r="I1090">
        <v>1329.6386719</v>
      </c>
      <c r="J1090">
        <v>1329.0871582</v>
      </c>
      <c r="K1090">
        <v>550</v>
      </c>
      <c r="L1090">
        <v>0</v>
      </c>
      <c r="M1090">
        <v>0</v>
      </c>
      <c r="N1090">
        <v>550</v>
      </c>
    </row>
    <row r="1091" spans="1:14" x14ac:dyDescent="0.25">
      <c r="A1091">
        <v>884</v>
      </c>
      <c r="B1091" s="1">
        <f>DATE(2012,10,1) + TIME(0,0,0)</f>
        <v>41183</v>
      </c>
      <c r="C1091">
        <v>80</v>
      </c>
      <c r="D1091">
        <v>79.931678771999998</v>
      </c>
      <c r="E1091">
        <v>60</v>
      </c>
      <c r="F1091">
        <v>64.713539123999993</v>
      </c>
      <c r="G1091">
        <v>1333.7806396000001</v>
      </c>
      <c r="H1091">
        <v>1332.8217772999999</v>
      </c>
      <c r="I1091">
        <v>1329.6386719</v>
      </c>
      <c r="J1091">
        <v>1329.0856934000001</v>
      </c>
      <c r="K1091">
        <v>550</v>
      </c>
      <c r="L1091">
        <v>0</v>
      </c>
      <c r="M1091">
        <v>0</v>
      </c>
      <c r="N1091">
        <v>550</v>
      </c>
    </row>
    <row r="1092" spans="1:14" x14ac:dyDescent="0.25">
      <c r="A1092">
        <v>889.42962999999997</v>
      </c>
      <c r="B1092" s="1">
        <f>DATE(2012,10,6) + TIME(10,18,40)</f>
        <v>41188.429629629631</v>
      </c>
      <c r="C1092">
        <v>80</v>
      </c>
      <c r="D1092">
        <v>79.931915282999995</v>
      </c>
      <c r="E1092">
        <v>60</v>
      </c>
      <c r="F1092">
        <v>64.930114746000001</v>
      </c>
      <c r="G1092">
        <v>1333.7806396000001</v>
      </c>
      <c r="H1092">
        <v>1332.8220214999999</v>
      </c>
      <c r="I1092">
        <v>1329.6378173999999</v>
      </c>
      <c r="J1092">
        <v>1329.0850829999999</v>
      </c>
      <c r="K1092">
        <v>550</v>
      </c>
      <c r="L1092">
        <v>0</v>
      </c>
      <c r="M1092">
        <v>0</v>
      </c>
      <c r="N1092">
        <v>550</v>
      </c>
    </row>
    <row r="1093" spans="1:14" x14ac:dyDescent="0.25">
      <c r="A1093">
        <v>895.14915800000006</v>
      </c>
      <c r="B1093" s="1">
        <f>DATE(2012,10,12) + TIME(3,34,47)</f>
        <v>41194.149155092593</v>
      </c>
      <c r="C1093">
        <v>80</v>
      </c>
      <c r="D1093">
        <v>79.932128906000003</v>
      </c>
      <c r="E1093">
        <v>60</v>
      </c>
      <c r="F1093">
        <v>65.165832519999995</v>
      </c>
      <c r="G1093">
        <v>1333.7806396000001</v>
      </c>
      <c r="H1093">
        <v>1332.8231201000001</v>
      </c>
      <c r="I1093">
        <v>1329.6373291</v>
      </c>
      <c r="J1093">
        <v>1329.0831298999999</v>
      </c>
      <c r="K1093">
        <v>550</v>
      </c>
      <c r="L1093">
        <v>0</v>
      </c>
      <c r="M1093">
        <v>0</v>
      </c>
      <c r="N1093">
        <v>550</v>
      </c>
    </row>
    <row r="1094" spans="1:14" x14ac:dyDescent="0.25">
      <c r="A1094">
        <v>901.02250300000003</v>
      </c>
      <c r="B1094" s="1">
        <f>DATE(2012,10,18) + TIME(0,32,24)</f>
        <v>41200.022499999999</v>
      </c>
      <c r="C1094">
        <v>80</v>
      </c>
      <c r="D1094">
        <v>79.932350158999995</v>
      </c>
      <c r="E1094">
        <v>60</v>
      </c>
      <c r="F1094">
        <v>65.396469116000006</v>
      </c>
      <c r="G1094">
        <v>1333.7806396000001</v>
      </c>
      <c r="H1094">
        <v>1332.8243408000001</v>
      </c>
      <c r="I1094">
        <v>1329.6368408000001</v>
      </c>
      <c r="J1094">
        <v>1329.0814209</v>
      </c>
      <c r="K1094">
        <v>550</v>
      </c>
      <c r="L1094">
        <v>0</v>
      </c>
      <c r="M1094">
        <v>0</v>
      </c>
      <c r="N1094">
        <v>550</v>
      </c>
    </row>
    <row r="1095" spans="1:14" x14ac:dyDescent="0.25">
      <c r="A1095">
        <v>907.20873900000004</v>
      </c>
      <c r="B1095" s="1">
        <f>DATE(2012,10,24) + TIME(5,0,35)</f>
        <v>41206.208738425928</v>
      </c>
      <c r="C1095">
        <v>80</v>
      </c>
      <c r="D1095">
        <v>79.932579040999997</v>
      </c>
      <c r="E1095">
        <v>60</v>
      </c>
      <c r="F1095">
        <v>65.615379333000007</v>
      </c>
      <c r="G1095">
        <v>1333.7807617000001</v>
      </c>
      <c r="H1095">
        <v>1332.8255615</v>
      </c>
      <c r="I1095">
        <v>1329.6364745999999</v>
      </c>
      <c r="J1095">
        <v>1329.0798339999999</v>
      </c>
      <c r="K1095">
        <v>550</v>
      </c>
      <c r="L1095">
        <v>0</v>
      </c>
      <c r="M1095">
        <v>0</v>
      </c>
      <c r="N1095">
        <v>550</v>
      </c>
    </row>
    <row r="1096" spans="1:14" x14ac:dyDescent="0.25">
      <c r="A1096">
        <v>913.46020299999998</v>
      </c>
      <c r="B1096" s="1">
        <f>DATE(2012,10,30) + TIME(11,2,41)</f>
        <v>41212.460196759261</v>
      </c>
      <c r="C1096">
        <v>80</v>
      </c>
      <c r="D1096">
        <v>79.932815551999994</v>
      </c>
      <c r="E1096">
        <v>60</v>
      </c>
      <c r="F1096">
        <v>65.821754455999994</v>
      </c>
      <c r="G1096">
        <v>1333.7808838000001</v>
      </c>
      <c r="H1096">
        <v>1332.8267822</v>
      </c>
      <c r="I1096">
        <v>1329.6362305</v>
      </c>
      <c r="J1096">
        <v>1329.0782471</v>
      </c>
      <c r="K1096">
        <v>550</v>
      </c>
      <c r="L1096">
        <v>0</v>
      </c>
      <c r="M1096">
        <v>0</v>
      </c>
      <c r="N1096">
        <v>550</v>
      </c>
    </row>
    <row r="1097" spans="1:14" x14ac:dyDescent="0.25">
      <c r="A1097">
        <v>915</v>
      </c>
      <c r="B1097" s="1">
        <f>DATE(2012,11,1) + TIME(0,0,0)</f>
        <v>41214</v>
      </c>
      <c r="C1097">
        <v>80</v>
      </c>
      <c r="D1097">
        <v>79.932838439999998</v>
      </c>
      <c r="E1097">
        <v>60</v>
      </c>
      <c r="F1097">
        <v>65.928756714000002</v>
      </c>
      <c r="G1097">
        <v>1333.7811279</v>
      </c>
      <c r="H1097">
        <v>1332.8280029</v>
      </c>
      <c r="I1097">
        <v>1329.6362305</v>
      </c>
      <c r="J1097">
        <v>1329.0770264</v>
      </c>
      <c r="K1097">
        <v>550</v>
      </c>
      <c r="L1097">
        <v>0</v>
      </c>
      <c r="M1097">
        <v>0</v>
      </c>
      <c r="N1097">
        <v>550</v>
      </c>
    </row>
    <row r="1098" spans="1:14" x14ac:dyDescent="0.25">
      <c r="A1098">
        <v>915.000001</v>
      </c>
      <c r="B1098" s="1">
        <f>DATE(2012,11,1) + TIME(0,0,0)</f>
        <v>41214</v>
      </c>
      <c r="C1098">
        <v>80</v>
      </c>
      <c r="D1098">
        <v>79.932807921999995</v>
      </c>
      <c r="E1098">
        <v>60</v>
      </c>
      <c r="F1098">
        <v>65.928787231000001</v>
      </c>
      <c r="G1098">
        <v>1332.6077881000001</v>
      </c>
      <c r="H1098">
        <v>1332.8708495999999</v>
      </c>
      <c r="I1098">
        <v>1330.4903564000001</v>
      </c>
      <c r="J1098">
        <v>1329.8759766000001</v>
      </c>
      <c r="K1098">
        <v>0</v>
      </c>
      <c r="L1098">
        <v>550</v>
      </c>
      <c r="M1098">
        <v>550</v>
      </c>
      <c r="N1098">
        <v>0</v>
      </c>
    </row>
    <row r="1099" spans="1:14" x14ac:dyDescent="0.25">
      <c r="A1099">
        <v>915.00000399999999</v>
      </c>
      <c r="B1099" s="1">
        <f>DATE(2012,11,1) + TIME(0,0,0)</f>
        <v>41214</v>
      </c>
      <c r="C1099">
        <v>80</v>
      </c>
      <c r="D1099">
        <v>79.932762146000002</v>
      </c>
      <c r="E1099">
        <v>60</v>
      </c>
      <c r="F1099">
        <v>65.928817749000004</v>
      </c>
      <c r="G1099">
        <v>1332.3175048999999</v>
      </c>
      <c r="H1099">
        <v>1332.6365966999999</v>
      </c>
      <c r="I1099">
        <v>1330.7799072</v>
      </c>
      <c r="J1099">
        <v>1330.2010498</v>
      </c>
      <c r="K1099">
        <v>0</v>
      </c>
      <c r="L1099">
        <v>550</v>
      </c>
      <c r="M1099">
        <v>550</v>
      </c>
      <c r="N1099">
        <v>0</v>
      </c>
    </row>
    <row r="1100" spans="1:14" x14ac:dyDescent="0.25">
      <c r="A1100">
        <v>915.00001299999997</v>
      </c>
      <c r="B1100" s="1">
        <f>DATE(2012,11,1) + TIME(0,0,1)</f>
        <v>41214.000011574077</v>
      </c>
      <c r="C1100">
        <v>80</v>
      </c>
      <c r="D1100">
        <v>79.932723999000004</v>
      </c>
      <c r="E1100">
        <v>60</v>
      </c>
      <c r="F1100">
        <v>65.928840636999993</v>
      </c>
      <c r="G1100">
        <v>1332.0281981999999</v>
      </c>
      <c r="H1100">
        <v>1332.3419189000001</v>
      </c>
      <c r="I1100">
        <v>1331.1370850000001</v>
      </c>
      <c r="J1100">
        <v>1330.5515137</v>
      </c>
      <c r="K1100">
        <v>0</v>
      </c>
      <c r="L1100">
        <v>550</v>
      </c>
      <c r="M1100">
        <v>550</v>
      </c>
      <c r="N1100">
        <v>0</v>
      </c>
    </row>
    <row r="1101" spans="1:14" x14ac:dyDescent="0.25">
      <c r="A1101">
        <v>915.00004000000001</v>
      </c>
      <c r="B1101" s="1">
        <f>DATE(2012,11,1) + TIME(0,0,3)</f>
        <v>41214.000034722223</v>
      </c>
      <c r="C1101">
        <v>80</v>
      </c>
      <c r="D1101">
        <v>79.932685852000006</v>
      </c>
      <c r="E1101">
        <v>60</v>
      </c>
      <c r="F1101">
        <v>65.928810119999994</v>
      </c>
      <c r="G1101">
        <v>1331.7597656</v>
      </c>
      <c r="H1101">
        <v>1332.0300293</v>
      </c>
      <c r="I1101">
        <v>1331.5028076000001</v>
      </c>
      <c r="J1101">
        <v>1330.8989257999999</v>
      </c>
      <c r="K1101">
        <v>0</v>
      </c>
      <c r="L1101">
        <v>550</v>
      </c>
      <c r="M1101">
        <v>550</v>
      </c>
      <c r="N1101">
        <v>0</v>
      </c>
    </row>
    <row r="1102" spans="1:14" x14ac:dyDescent="0.25">
      <c r="A1102">
        <v>915.00012100000004</v>
      </c>
      <c r="B1102" s="1">
        <f>DATE(2012,11,1) + TIME(0,0,10)</f>
        <v>41214.000115740739</v>
      </c>
      <c r="C1102">
        <v>80</v>
      </c>
      <c r="D1102">
        <v>79.932647704999994</v>
      </c>
      <c r="E1102">
        <v>60</v>
      </c>
      <c r="F1102">
        <v>65.928604125999996</v>
      </c>
      <c r="G1102">
        <v>1331.5128173999999</v>
      </c>
      <c r="H1102">
        <v>1331.7205810999999</v>
      </c>
      <c r="I1102">
        <v>1331.8486327999999</v>
      </c>
      <c r="J1102">
        <v>1331.2231445</v>
      </c>
      <c r="K1102">
        <v>0</v>
      </c>
      <c r="L1102">
        <v>550</v>
      </c>
      <c r="M1102">
        <v>550</v>
      </c>
      <c r="N1102">
        <v>0</v>
      </c>
    </row>
    <row r="1103" spans="1:14" x14ac:dyDescent="0.25">
      <c r="A1103">
        <v>915.00036399999999</v>
      </c>
      <c r="B1103" s="1">
        <f>DATE(2012,11,1) + TIME(0,0,31)</f>
        <v>41214.000358796293</v>
      </c>
      <c r="C1103">
        <v>80</v>
      </c>
      <c r="D1103">
        <v>79.932601929</v>
      </c>
      <c r="E1103">
        <v>60</v>
      </c>
      <c r="F1103">
        <v>65.927864075000002</v>
      </c>
      <c r="G1103">
        <v>1331.3131103999999</v>
      </c>
      <c r="H1103">
        <v>1331.4544678</v>
      </c>
      <c r="I1103">
        <v>1332.1354980000001</v>
      </c>
      <c r="J1103">
        <v>1331.4854736</v>
      </c>
      <c r="K1103">
        <v>0</v>
      </c>
      <c r="L1103">
        <v>550</v>
      </c>
      <c r="M1103">
        <v>550</v>
      </c>
      <c r="N1103">
        <v>0</v>
      </c>
    </row>
    <row r="1104" spans="1:14" x14ac:dyDescent="0.25">
      <c r="A1104">
        <v>915.00109299999997</v>
      </c>
      <c r="B1104" s="1">
        <f>DATE(2012,11,1) + TIME(0,1,34)</f>
        <v>41214.001087962963</v>
      </c>
      <c r="C1104">
        <v>80</v>
      </c>
      <c r="D1104">
        <v>79.932533264</v>
      </c>
      <c r="E1104">
        <v>60</v>
      </c>
      <c r="F1104">
        <v>65.925498962000006</v>
      </c>
      <c r="G1104">
        <v>1331.1788329999999</v>
      </c>
      <c r="H1104">
        <v>1331.2861327999999</v>
      </c>
      <c r="I1104">
        <v>1332.3232422000001</v>
      </c>
      <c r="J1104">
        <v>1331.6552733999999</v>
      </c>
      <c r="K1104">
        <v>0</v>
      </c>
      <c r="L1104">
        <v>550</v>
      </c>
      <c r="M1104">
        <v>550</v>
      </c>
      <c r="N1104">
        <v>0</v>
      </c>
    </row>
    <row r="1105" spans="1:14" x14ac:dyDescent="0.25">
      <c r="A1105">
        <v>915.00328000000002</v>
      </c>
      <c r="B1105" s="1">
        <f>DATE(2012,11,1) + TIME(0,4,43)</f>
        <v>41214.003275462965</v>
      </c>
      <c r="C1105">
        <v>80</v>
      </c>
      <c r="D1105">
        <v>79.932380675999994</v>
      </c>
      <c r="E1105">
        <v>60</v>
      </c>
      <c r="F1105">
        <v>65.918266295999999</v>
      </c>
      <c r="G1105">
        <v>1331.1064452999999</v>
      </c>
      <c r="H1105">
        <v>1331.2016602000001</v>
      </c>
      <c r="I1105">
        <v>1332.4172363</v>
      </c>
      <c r="J1105">
        <v>1331.7414550999999</v>
      </c>
      <c r="K1105">
        <v>0</v>
      </c>
      <c r="L1105">
        <v>550</v>
      </c>
      <c r="M1105">
        <v>550</v>
      </c>
      <c r="N1105">
        <v>0</v>
      </c>
    </row>
    <row r="1106" spans="1:14" x14ac:dyDescent="0.25">
      <c r="A1106">
        <v>915.00984100000005</v>
      </c>
      <c r="B1106" s="1">
        <f>DATE(2012,11,1) + TIME(0,14,10)</f>
        <v>41214.009837962964</v>
      </c>
      <c r="C1106">
        <v>80</v>
      </c>
      <c r="D1106">
        <v>79.931945800999998</v>
      </c>
      <c r="E1106">
        <v>60</v>
      </c>
      <c r="F1106">
        <v>65.896553040000001</v>
      </c>
      <c r="G1106">
        <v>1331.0761719</v>
      </c>
      <c r="H1106">
        <v>1331.1682129000001</v>
      </c>
      <c r="I1106">
        <v>1332.4482422000001</v>
      </c>
      <c r="J1106">
        <v>1331.7700195</v>
      </c>
      <c r="K1106">
        <v>0</v>
      </c>
      <c r="L1106">
        <v>550</v>
      </c>
      <c r="M1106">
        <v>550</v>
      </c>
      <c r="N1106">
        <v>0</v>
      </c>
    </row>
    <row r="1107" spans="1:14" x14ac:dyDescent="0.25">
      <c r="A1107">
        <v>915.02952400000004</v>
      </c>
      <c r="B1107" s="1">
        <f>DATE(2012,11,1) + TIME(0,42,30)</f>
        <v>41214.029513888891</v>
      </c>
      <c r="C1107">
        <v>80</v>
      </c>
      <c r="D1107">
        <v>79.930648804</v>
      </c>
      <c r="E1107">
        <v>60</v>
      </c>
      <c r="F1107">
        <v>65.832138061999999</v>
      </c>
      <c r="G1107">
        <v>1331.0678711</v>
      </c>
      <c r="H1107">
        <v>1331.1585693</v>
      </c>
      <c r="I1107">
        <v>1332.4516602000001</v>
      </c>
      <c r="J1107">
        <v>1331.7731934000001</v>
      </c>
      <c r="K1107">
        <v>0</v>
      </c>
      <c r="L1107">
        <v>550</v>
      </c>
      <c r="M1107">
        <v>550</v>
      </c>
      <c r="N1107">
        <v>0</v>
      </c>
    </row>
    <row r="1108" spans="1:14" x14ac:dyDescent="0.25">
      <c r="A1108">
        <v>915.088573</v>
      </c>
      <c r="B1108" s="1">
        <f>DATE(2012,11,1) + TIME(2,7,32)</f>
        <v>41214.088564814818</v>
      </c>
      <c r="C1108">
        <v>80</v>
      </c>
      <c r="D1108">
        <v>79.926773071</v>
      </c>
      <c r="E1108">
        <v>60</v>
      </c>
      <c r="F1108">
        <v>65.645584106000001</v>
      </c>
      <c r="G1108">
        <v>1331.0657959</v>
      </c>
      <c r="H1108">
        <v>1331.1538086</v>
      </c>
      <c r="I1108">
        <v>1332.4501952999999</v>
      </c>
      <c r="J1108">
        <v>1331.7719727000001</v>
      </c>
      <c r="K1108">
        <v>0</v>
      </c>
      <c r="L1108">
        <v>550</v>
      </c>
      <c r="M1108">
        <v>550</v>
      </c>
      <c r="N1108">
        <v>0</v>
      </c>
    </row>
    <row r="1109" spans="1:14" x14ac:dyDescent="0.25">
      <c r="A1109">
        <v>915.20189500000004</v>
      </c>
      <c r="B1109" s="1">
        <f>DATE(2012,11,1) + TIME(4,50,43)</f>
        <v>41214.201886574076</v>
      </c>
      <c r="C1109">
        <v>80</v>
      </c>
      <c r="D1109">
        <v>79.919342040999993</v>
      </c>
      <c r="E1109">
        <v>60</v>
      </c>
      <c r="F1109">
        <v>65.309600829999994</v>
      </c>
      <c r="G1109">
        <v>1331.0632324000001</v>
      </c>
      <c r="H1109">
        <v>1331.1439209</v>
      </c>
      <c r="I1109">
        <v>1332.4523925999999</v>
      </c>
      <c r="J1109">
        <v>1331.7727050999999</v>
      </c>
      <c r="K1109">
        <v>0</v>
      </c>
      <c r="L1109">
        <v>550</v>
      </c>
      <c r="M1109">
        <v>550</v>
      </c>
      <c r="N1109">
        <v>0</v>
      </c>
    </row>
    <row r="1110" spans="1:14" x14ac:dyDescent="0.25">
      <c r="A1110">
        <v>915.32187699999997</v>
      </c>
      <c r="B1110" s="1">
        <f>DATE(2012,11,1) + TIME(7,43,30)</f>
        <v>41214.321875000001</v>
      </c>
      <c r="C1110">
        <v>80</v>
      </c>
      <c r="D1110">
        <v>79.911476135000001</v>
      </c>
      <c r="E1110">
        <v>60</v>
      </c>
      <c r="F1110">
        <v>64.974861145000006</v>
      </c>
      <c r="G1110">
        <v>1331.0588379000001</v>
      </c>
      <c r="H1110">
        <v>1331.1271973</v>
      </c>
      <c r="I1110">
        <v>1332.4661865</v>
      </c>
      <c r="J1110">
        <v>1331.7806396000001</v>
      </c>
      <c r="K1110">
        <v>0</v>
      </c>
      <c r="L1110">
        <v>550</v>
      </c>
      <c r="M1110">
        <v>550</v>
      </c>
      <c r="N1110">
        <v>0</v>
      </c>
    </row>
    <row r="1111" spans="1:14" x14ac:dyDescent="0.25">
      <c r="A1111">
        <v>915.44916599999999</v>
      </c>
      <c r="B1111" s="1">
        <f>DATE(2012,11,1) + TIME(10,46,47)</f>
        <v>41214.449155092596</v>
      </c>
      <c r="C1111">
        <v>80</v>
      </c>
      <c r="D1111">
        <v>79.903137207</v>
      </c>
      <c r="E1111">
        <v>60</v>
      </c>
      <c r="F1111">
        <v>64.641860961999996</v>
      </c>
      <c r="G1111">
        <v>1331.0544434000001</v>
      </c>
      <c r="H1111">
        <v>1331.1102295000001</v>
      </c>
      <c r="I1111">
        <v>1332.4816894999999</v>
      </c>
      <c r="J1111">
        <v>1331.7895507999999</v>
      </c>
      <c r="K1111">
        <v>0</v>
      </c>
      <c r="L1111">
        <v>550</v>
      </c>
      <c r="M1111">
        <v>550</v>
      </c>
      <c r="N1111">
        <v>0</v>
      </c>
    </row>
    <row r="1112" spans="1:14" x14ac:dyDescent="0.25">
      <c r="A1112">
        <v>915.58450600000003</v>
      </c>
      <c r="B1112" s="1">
        <f>DATE(2012,11,1) + TIME(14,1,41)</f>
        <v>41214.584502314814</v>
      </c>
      <c r="C1112">
        <v>80</v>
      </c>
      <c r="D1112">
        <v>79.894271850999999</v>
      </c>
      <c r="E1112">
        <v>60</v>
      </c>
      <c r="F1112">
        <v>64.310989379999995</v>
      </c>
      <c r="G1112">
        <v>1331.0499268000001</v>
      </c>
      <c r="H1112">
        <v>1331.0928954999999</v>
      </c>
      <c r="I1112">
        <v>1332.4990233999999</v>
      </c>
      <c r="J1112">
        <v>1331.7995605000001</v>
      </c>
      <c r="K1112">
        <v>0</v>
      </c>
      <c r="L1112">
        <v>550</v>
      </c>
      <c r="M1112">
        <v>550</v>
      </c>
      <c r="N1112">
        <v>0</v>
      </c>
    </row>
    <row r="1113" spans="1:14" x14ac:dyDescent="0.25">
      <c r="A1113">
        <v>915.72591399999999</v>
      </c>
      <c r="B1113" s="1">
        <f>DATE(2012,11,1) + TIME(17,25,18)</f>
        <v>41214.725902777776</v>
      </c>
      <c r="C1113">
        <v>80</v>
      </c>
      <c r="D1113">
        <v>79.885002135999997</v>
      </c>
      <c r="E1113">
        <v>60</v>
      </c>
      <c r="F1113">
        <v>63.988746642999999</v>
      </c>
      <c r="G1113">
        <v>1331.0454102000001</v>
      </c>
      <c r="H1113">
        <v>1331.0751952999999</v>
      </c>
      <c r="I1113">
        <v>1332.5183105000001</v>
      </c>
      <c r="J1113">
        <v>1331.8109131000001</v>
      </c>
      <c r="K1113">
        <v>0</v>
      </c>
      <c r="L1113">
        <v>550</v>
      </c>
      <c r="M1113">
        <v>550</v>
      </c>
      <c r="N1113">
        <v>0</v>
      </c>
    </row>
    <row r="1114" spans="1:14" x14ac:dyDescent="0.25">
      <c r="A1114">
        <v>915.87130999999999</v>
      </c>
      <c r="B1114" s="1">
        <f>DATE(2012,11,1) + TIME(20,54,41)</f>
        <v>41214.871307870373</v>
      </c>
      <c r="C1114">
        <v>80</v>
      </c>
      <c r="D1114">
        <v>79.875465392999999</v>
      </c>
      <c r="E1114">
        <v>60</v>
      </c>
      <c r="F1114">
        <v>63.680431366000001</v>
      </c>
      <c r="G1114">
        <v>1331.0407714999999</v>
      </c>
      <c r="H1114">
        <v>1331.0573730000001</v>
      </c>
      <c r="I1114">
        <v>1332.5394286999999</v>
      </c>
      <c r="J1114">
        <v>1331.8232422000001</v>
      </c>
      <c r="K1114">
        <v>0</v>
      </c>
      <c r="L1114">
        <v>550</v>
      </c>
      <c r="M1114">
        <v>550</v>
      </c>
      <c r="N1114">
        <v>0</v>
      </c>
    </row>
    <row r="1115" spans="1:14" x14ac:dyDescent="0.25">
      <c r="A1115">
        <v>916.02095399999996</v>
      </c>
      <c r="B1115" s="1">
        <f>DATE(2012,11,2) + TIME(0,30,10)</f>
        <v>41215.020949074074</v>
      </c>
      <c r="C1115">
        <v>80</v>
      </c>
      <c r="D1115">
        <v>79.865638732999997</v>
      </c>
      <c r="E1115">
        <v>60</v>
      </c>
      <c r="F1115">
        <v>63.385814666999998</v>
      </c>
      <c r="G1115">
        <v>1331.0363769999999</v>
      </c>
      <c r="H1115">
        <v>1331.0397949000001</v>
      </c>
      <c r="I1115">
        <v>1332.5616454999999</v>
      </c>
      <c r="J1115">
        <v>1331.8364257999999</v>
      </c>
      <c r="K1115">
        <v>0</v>
      </c>
      <c r="L1115">
        <v>550</v>
      </c>
      <c r="M1115">
        <v>550</v>
      </c>
      <c r="N1115">
        <v>0</v>
      </c>
    </row>
    <row r="1116" spans="1:14" x14ac:dyDescent="0.25">
      <c r="A1116">
        <v>916.17510800000002</v>
      </c>
      <c r="B1116" s="1">
        <f>DATE(2012,11,2) + TIME(4,12,9)</f>
        <v>41215.175104166665</v>
      </c>
      <c r="C1116">
        <v>80</v>
      </c>
      <c r="D1116">
        <v>79.855491638000004</v>
      </c>
      <c r="E1116">
        <v>60</v>
      </c>
      <c r="F1116">
        <v>63.104724883999999</v>
      </c>
      <c r="G1116">
        <v>1331.0281981999999</v>
      </c>
      <c r="H1116">
        <v>1331.0239257999999</v>
      </c>
      <c r="I1116">
        <v>1332.5849608999999</v>
      </c>
      <c r="J1116">
        <v>1331.8503418</v>
      </c>
      <c r="K1116">
        <v>0</v>
      </c>
      <c r="L1116">
        <v>550</v>
      </c>
      <c r="M1116">
        <v>550</v>
      </c>
      <c r="N1116">
        <v>0</v>
      </c>
    </row>
    <row r="1117" spans="1:14" x14ac:dyDescent="0.25">
      <c r="A1117">
        <v>916.33405400000004</v>
      </c>
      <c r="B1117" s="1">
        <f>DATE(2012,11,2) + TIME(8,1,2)</f>
        <v>41215.334050925929</v>
      </c>
      <c r="C1117">
        <v>80</v>
      </c>
      <c r="D1117">
        <v>79.844978333</v>
      </c>
      <c r="E1117">
        <v>60</v>
      </c>
      <c r="F1117">
        <v>62.837051391999999</v>
      </c>
      <c r="G1117">
        <v>1331.0186768000001</v>
      </c>
      <c r="H1117">
        <v>1331.0087891000001</v>
      </c>
      <c r="I1117">
        <v>1332.609375</v>
      </c>
      <c r="J1117">
        <v>1331.8648682</v>
      </c>
      <c r="K1117">
        <v>0</v>
      </c>
      <c r="L1117">
        <v>550</v>
      </c>
      <c r="M1117">
        <v>550</v>
      </c>
      <c r="N1117">
        <v>0</v>
      </c>
    </row>
    <row r="1118" spans="1:14" x14ac:dyDescent="0.25">
      <c r="A1118">
        <v>916.49815000000001</v>
      </c>
      <c r="B1118" s="1">
        <f>DATE(2012,11,2) + TIME(11,57,20)</f>
        <v>41215.498148148145</v>
      </c>
      <c r="C1118">
        <v>80</v>
      </c>
      <c r="D1118">
        <v>79.834075928000004</v>
      </c>
      <c r="E1118">
        <v>60</v>
      </c>
      <c r="F1118">
        <v>62.582618713000002</v>
      </c>
      <c r="G1118">
        <v>1331.0092772999999</v>
      </c>
      <c r="H1118">
        <v>1330.9937743999999</v>
      </c>
      <c r="I1118">
        <v>1332.6346435999999</v>
      </c>
      <c r="J1118">
        <v>1331.8800048999999</v>
      </c>
      <c r="K1118">
        <v>0</v>
      </c>
      <c r="L1118">
        <v>550</v>
      </c>
      <c r="M1118">
        <v>550</v>
      </c>
      <c r="N1118">
        <v>0</v>
      </c>
    </row>
    <row r="1119" spans="1:14" x14ac:dyDescent="0.25">
      <c r="A1119">
        <v>916.66776300000004</v>
      </c>
      <c r="B1119" s="1">
        <f>DATE(2012,11,2) + TIME(16,1,34)</f>
        <v>41215.667754629627</v>
      </c>
      <c r="C1119">
        <v>80</v>
      </c>
      <c r="D1119">
        <v>79.822753906000003</v>
      </c>
      <c r="E1119">
        <v>60</v>
      </c>
      <c r="F1119">
        <v>62.341335297000001</v>
      </c>
      <c r="G1119">
        <v>1331</v>
      </c>
      <c r="H1119">
        <v>1330.9788818</v>
      </c>
      <c r="I1119">
        <v>1332.6608887</v>
      </c>
      <c r="J1119">
        <v>1331.8956298999999</v>
      </c>
      <c r="K1119">
        <v>0</v>
      </c>
      <c r="L1119">
        <v>550</v>
      </c>
      <c r="M1119">
        <v>550</v>
      </c>
      <c r="N1119">
        <v>0</v>
      </c>
    </row>
    <row r="1120" spans="1:14" x14ac:dyDescent="0.25">
      <c r="A1120">
        <v>916.84329600000001</v>
      </c>
      <c r="B1120" s="1">
        <f>DATE(2012,11,2) + TIME(20,14,20)</f>
        <v>41215.843287037038</v>
      </c>
      <c r="C1120">
        <v>80</v>
      </c>
      <c r="D1120">
        <v>79.810935974000003</v>
      </c>
      <c r="E1120">
        <v>60</v>
      </c>
      <c r="F1120">
        <v>62.113109588999997</v>
      </c>
      <c r="G1120">
        <v>1330.9906006000001</v>
      </c>
      <c r="H1120">
        <v>1330.9639893000001</v>
      </c>
      <c r="I1120">
        <v>1332.6877440999999</v>
      </c>
      <c r="J1120">
        <v>1331.9118652</v>
      </c>
      <c r="K1120">
        <v>0</v>
      </c>
      <c r="L1120">
        <v>550</v>
      </c>
      <c r="M1120">
        <v>550</v>
      </c>
      <c r="N1120">
        <v>0</v>
      </c>
    </row>
    <row r="1121" spans="1:14" x14ac:dyDescent="0.25">
      <c r="A1121">
        <v>917.02519800000005</v>
      </c>
      <c r="B1121" s="1">
        <f>DATE(2012,11,3) + TIME(0,36,17)</f>
        <v>41216.025196759256</v>
      </c>
      <c r="C1121">
        <v>80</v>
      </c>
      <c r="D1121">
        <v>79.798576354999994</v>
      </c>
      <c r="E1121">
        <v>60</v>
      </c>
      <c r="F1121">
        <v>61.897853851000001</v>
      </c>
      <c r="G1121">
        <v>1330.9813231999999</v>
      </c>
      <c r="H1121">
        <v>1330.9490966999999</v>
      </c>
      <c r="I1121">
        <v>1332.7154541</v>
      </c>
      <c r="J1121">
        <v>1331.9285889</v>
      </c>
      <c r="K1121">
        <v>0</v>
      </c>
      <c r="L1121">
        <v>550</v>
      </c>
      <c r="M1121">
        <v>550</v>
      </c>
      <c r="N1121">
        <v>0</v>
      </c>
    </row>
    <row r="1122" spans="1:14" x14ac:dyDescent="0.25">
      <c r="A1122">
        <v>917.21397999999999</v>
      </c>
      <c r="B1122" s="1">
        <f>DATE(2012,11,3) + TIME(5,8,7)</f>
        <v>41216.213969907411</v>
      </c>
      <c r="C1122">
        <v>80</v>
      </c>
      <c r="D1122">
        <v>79.785621642999999</v>
      </c>
      <c r="E1122">
        <v>60</v>
      </c>
      <c r="F1122">
        <v>61.695476532000001</v>
      </c>
      <c r="G1122">
        <v>1330.9720459</v>
      </c>
      <c r="H1122">
        <v>1330.9343262</v>
      </c>
      <c r="I1122">
        <v>1332.7436522999999</v>
      </c>
      <c r="J1122">
        <v>1331.9455565999999</v>
      </c>
      <c r="K1122">
        <v>0</v>
      </c>
      <c r="L1122">
        <v>550</v>
      </c>
      <c r="M1122">
        <v>550</v>
      </c>
      <c r="N1122">
        <v>0</v>
      </c>
    </row>
    <row r="1123" spans="1:14" x14ac:dyDescent="0.25">
      <c r="A1123">
        <v>917.410212</v>
      </c>
      <c r="B1123" s="1">
        <f>DATE(2012,11,3) + TIME(9,50,42)</f>
        <v>41216.410208333335</v>
      </c>
      <c r="C1123">
        <v>80</v>
      </c>
      <c r="D1123">
        <v>79.772018433</v>
      </c>
      <c r="E1123">
        <v>60</v>
      </c>
      <c r="F1123">
        <v>61.505867004000002</v>
      </c>
      <c r="G1123">
        <v>1330.9626464999999</v>
      </c>
      <c r="H1123">
        <v>1330.9194336</v>
      </c>
      <c r="I1123">
        <v>1332.7724608999999</v>
      </c>
      <c r="J1123">
        <v>1331.9630127</v>
      </c>
      <c r="K1123">
        <v>0</v>
      </c>
      <c r="L1123">
        <v>550</v>
      </c>
      <c r="M1123">
        <v>550</v>
      </c>
      <c r="N1123">
        <v>0</v>
      </c>
    </row>
    <row r="1124" spans="1:14" x14ac:dyDescent="0.25">
      <c r="A1124">
        <v>917.61454000000003</v>
      </c>
      <c r="B1124" s="1">
        <f>DATE(2012,11,3) + TIME(14,44,56)</f>
        <v>41216.614537037036</v>
      </c>
      <c r="C1124">
        <v>80</v>
      </c>
      <c r="D1124">
        <v>79.757720946999996</v>
      </c>
      <c r="E1124">
        <v>60</v>
      </c>
      <c r="F1124">
        <v>61.328914642000001</v>
      </c>
      <c r="G1124">
        <v>1330.9532471</v>
      </c>
      <c r="H1124">
        <v>1330.9044189000001</v>
      </c>
      <c r="I1124">
        <v>1332.8015137</v>
      </c>
      <c r="J1124">
        <v>1331.9807129000001</v>
      </c>
      <c r="K1124">
        <v>0</v>
      </c>
      <c r="L1124">
        <v>550</v>
      </c>
      <c r="M1124">
        <v>550</v>
      </c>
      <c r="N1124">
        <v>0</v>
      </c>
    </row>
    <row r="1125" spans="1:14" x14ac:dyDescent="0.25">
      <c r="A1125">
        <v>917.82769699999994</v>
      </c>
      <c r="B1125" s="1">
        <f>DATE(2012,11,3) + TIME(19,51,52)</f>
        <v>41216.827685185184</v>
      </c>
      <c r="C1125">
        <v>80</v>
      </c>
      <c r="D1125">
        <v>79.742652892999999</v>
      </c>
      <c r="E1125">
        <v>60</v>
      </c>
      <c r="F1125">
        <v>61.164474487</v>
      </c>
      <c r="G1125">
        <v>1330.9438477000001</v>
      </c>
      <c r="H1125">
        <v>1330.8894043</v>
      </c>
      <c r="I1125">
        <v>1332.8310547000001</v>
      </c>
      <c r="J1125">
        <v>1331.9987793</v>
      </c>
      <c r="K1125">
        <v>0</v>
      </c>
      <c r="L1125">
        <v>550</v>
      </c>
      <c r="M1125">
        <v>550</v>
      </c>
      <c r="N1125">
        <v>0</v>
      </c>
    </row>
    <row r="1126" spans="1:14" x14ac:dyDescent="0.25">
      <c r="A1126">
        <v>918.05051500000002</v>
      </c>
      <c r="B1126" s="1">
        <f>DATE(2012,11,4) + TIME(1,12,44)</f>
        <v>41217.050509259258</v>
      </c>
      <c r="C1126">
        <v>80</v>
      </c>
      <c r="D1126">
        <v>79.726745605000005</v>
      </c>
      <c r="E1126">
        <v>60</v>
      </c>
      <c r="F1126">
        <v>61.012378693000002</v>
      </c>
      <c r="G1126">
        <v>1330.9342041</v>
      </c>
      <c r="H1126">
        <v>1330.8741454999999</v>
      </c>
      <c r="I1126">
        <v>1332.8607178</v>
      </c>
      <c r="J1126">
        <v>1332.0168457</v>
      </c>
      <c r="K1126">
        <v>0</v>
      </c>
      <c r="L1126">
        <v>550</v>
      </c>
      <c r="M1126">
        <v>550</v>
      </c>
      <c r="N1126">
        <v>0</v>
      </c>
    </row>
    <row r="1127" spans="1:14" x14ac:dyDescent="0.25">
      <c r="A1127">
        <v>918.28390000000002</v>
      </c>
      <c r="B1127" s="1">
        <f>DATE(2012,11,4) + TIME(6,48,48)</f>
        <v>41217.283888888887</v>
      </c>
      <c r="C1127">
        <v>80</v>
      </c>
      <c r="D1127">
        <v>79.709907532000003</v>
      </c>
      <c r="E1127">
        <v>60</v>
      </c>
      <c r="F1127">
        <v>60.872467041</v>
      </c>
      <c r="G1127">
        <v>1330.9245605000001</v>
      </c>
      <c r="H1127">
        <v>1330.8587646000001</v>
      </c>
      <c r="I1127">
        <v>1332.8905029</v>
      </c>
      <c r="J1127">
        <v>1332.0350341999999</v>
      </c>
      <c r="K1127">
        <v>0</v>
      </c>
      <c r="L1127">
        <v>550</v>
      </c>
      <c r="M1127">
        <v>550</v>
      </c>
      <c r="N1127">
        <v>0</v>
      </c>
    </row>
    <row r="1128" spans="1:14" x14ac:dyDescent="0.25">
      <c r="A1128">
        <v>918.52899400000001</v>
      </c>
      <c r="B1128" s="1">
        <f>DATE(2012,11,4) + TIME(12,41,45)</f>
        <v>41217.528993055559</v>
      </c>
      <c r="C1128">
        <v>80</v>
      </c>
      <c r="D1128">
        <v>79.692047118999994</v>
      </c>
      <c r="E1128">
        <v>60</v>
      </c>
      <c r="F1128">
        <v>60.744472504000001</v>
      </c>
      <c r="G1128">
        <v>1330.9146728999999</v>
      </c>
      <c r="H1128">
        <v>1330.8431396000001</v>
      </c>
      <c r="I1128">
        <v>1332.9202881000001</v>
      </c>
      <c r="J1128">
        <v>1332.0533447</v>
      </c>
      <c r="K1128">
        <v>0</v>
      </c>
      <c r="L1128">
        <v>550</v>
      </c>
      <c r="M1128">
        <v>550</v>
      </c>
      <c r="N1128">
        <v>0</v>
      </c>
    </row>
    <row r="1129" spans="1:14" x14ac:dyDescent="0.25">
      <c r="A1129">
        <v>918.78709000000003</v>
      </c>
      <c r="B1129" s="1">
        <f>DATE(2012,11,4) + TIME(18,53,24)</f>
        <v>41217.787083333336</v>
      </c>
      <c r="C1129">
        <v>80</v>
      </c>
      <c r="D1129">
        <v>79.673042296999995</v>
      </c>
      <c r="E1129">
        <v>60</v>
      </c>
      <c r="F1129">
        <v>60.628116607999999</v>
      </c>
      <c r="G1129">
        <v>1330.9045410000001</v>
      </c>
      <c r="H1129">
        <v>1330.8272704999999</v>
      </c>
      <c r="I1129">
        <v>1332.9499512</v>
      </c>
      <c r="J1129">
        <v>1332.0715332</v>
      </c>
      <c r="K1129">
        <v>0</v>
      </c>
      <c r="L1129">
        <v>550</v>
      </c>
      <c r="M1129">
        <v>550</v>
      </c>
      <c r="N1129">
        <v>0</v>
      </c>
    </row>
    <row r="1130" spans="1:14" x14ac:dyDescent="0.25">
      <c r="A1130">
        <v>919.05968800000005</v>
      </c>
      <c r="B1130" s="1">
        <f>DATE(2012,11,5) + TIME(1,25,57)</f>
        <v>41218.059687499997</v>
      </c>
      <c r="C1130">
        <v>80</v>
      </c>
      <c r="D1130">
        <v>79.652755737000007</v>
      </c>
      <c r="E1130">
        <v>60</v>
      </c>
      <c r="F1130">
        <v>60.523086548000002</v>
      </c>
      <c r="G1130">
        <v>1330.8941649999999</v>
      </c>
      <c r="H1130">
        <v>1330.8111572</v>
      </c>
      <c r="I1130">
        <v>1332.9792480000001</v>
      </c>
      <c r="J1130">
        <v>1332.0897216999999</v>
      </c>
      <c r="K1130">
        <v>0</v>
      </c>
      <c r="L1130">
        <v>550</v>
      </c>
      <c r="M1130">
        <v>550</v>
      </c>
      <c r="N1130">
        <v>0</v>
      </c>
    </row>
    <row r="1131" spans="1:14" x14ac:dyDescent="0.25">
      <c r="A1131">
        <v>919.34856200000002</v>
      </c>
      <c r="B1131" s="1">
        <f>DATE(2012,11,5) + TIME(8,21,55)</f>
        <v>41218.348553240743</v>
      </c>
      <c r="C1131">
        <v>80</v>
      </c>
      <c r="D1131">
        <v>79.630958557</v>
      </c>
      <c r="E1131">
        <v>60</v>
      </c>
      <c r="F1131">
        <v>60.429019928000002</v>
      </c>
      <c r="G1131">
        <v>1330.8835449000001</v>
      </c>
      <c r="H1131">
        <v>1330.7945557</v>
      </c>
      <c r="I1131">
        <v>1333.0083007999999</v>
      </c>
      <c r="J1131">
        <v>1332.1076660000001</v>
      </c>
      <c r="K1131">
        <v>0</v>
      </c>
      <c r="L1131">
        <v>550</v>
      </c>
      <c r="M1131">
        <v>550</v>
      </c>
      <c r="N1131">
        <v>0</v>
      </c>
    </row>
    <row r="1132" spans="1:14" x14ac:dyDescent="0.25">
      <c r="A1132">
        <v>919.65584699999999</v>
      </c>
      <c r="B1132" s="1">
        <f>DATE(2012,11,5) + TIME(15,44,25)</f>
        <v>41218.655844907407</v>
      </c>
      <c r="C1132">
        <v>80</v>
      </c>
      <c r="D1132">
        <v>79.607437133999994</v>
      </c>
      <c r="E1132">
        <v>60</v>
      </c>
      <c r="F1132">
        <v>60.345542907999999</v>
      </c>
      <c r="G1132">
        <v>1330.8725586</v>
      </c>
      <c r="H1132">
        <v>1330.7775879000001</v>
      </c>
      <c r="I1132">
        <v>1333.034668</v>
      </c>
      <c r="J1132">
        <v>1332.1240233999999</v>
      </c>
      <c r="K1132">
        <v>0</v>
      </c>
      <c r="L1132">
        <v>550</v>
      </c>
      <c r="M1132">
        <v>550</v>
      </c>
      <c r="N1132">
        <v>0</v>
      </c>
    </row>
    <row r="1133" spans="1:14" x14ac:dyDescent="0.25">
      <c r="A1133">
        <v>919.98470799999996</v>
      </c>
      <c r="B1133" s="1">
        <f>DATE(2012,11,5) + TIME(23,37,58)</f>
        <v>41218.984699074077</v>
      </c>
      <c r="C1133">
        <v>80</v>
      </c>
      <c r="D1133">
        <v>79.581893921000002</v>
      </c>
      <c r="E1133">
        <v>60</v>
      </c>
      <c r="F1133">
        <v>60.272068023999999</v>
      </c>
      <c r="G1133">
        <v>1330.8610839999999</v>
      </c>
      <c r="H1133">
        <v>1330.7600098</v>
      </c>
      <c r="I1133">
        <v>1333.0599365</v>
      </c>
      <c r="J1133">
        <v>1332.1396483999999</v>
      </c>
      <c r="K1133">
        <v>0</v>
      </c>
      <c r="L1133">
        <v>550</v>
      </c>
      <c r="M1133">
        <v>550</v>
      </c>
      <c r="N1133">
        <v>0</v>
      </c>
    </row>
    <row r="1134" spans="1:14" x14ac:dyDescent="0.25">
      <c r="A1134">
        <v>920.33849499999997</v>
      </c>
      <c r="B1134" s="1">
        <f>DATE(2012,11,6) + TIME(8,7,25)</f>
        <v>41219.338483796295</v>
      </c>
      <c r="C1134">
        <v>80</v>
      </c>
      <c r="D1134">
        <v>79.554016113000003</v>
      </c>
      <c r="E1134">
        <v>60</v>
      </c>
      <c r="F1134">
        <v>60.208091736</v>
      </c>
      <c r="G1134">
        <v>1330.8491211</v>
      </c>
      <c r="H1134">
        <v>1330.7418213000001</v>
      </c>
      <c r="I1134">
        <v>1333.0837402</v>
      </c>
      <c r="J1134">
        <v>1332.1544189000001</v>
      </c>
      <c r="K1134">
        <v>0</v>
      </c>
      <c r="L1134">
        <v>550</v>
      </c>
      <c r="M1134">
        <v>550</v>
      </c>
      <c r="N1134">
        <v>0</v>
      </c>
    </row>
    <row r="1135" spans="1:14" x14ac:dyDescent="0.25">
      <c r="A1135">
        <v>920.72152300000005</v>
      </c>
      <c r="B1135" s="1">
        <f>DATE(2012,11,6) + TIME(17,18,59)</f>
        <v>41219.721516203703</v>
      </c>
      <c r="C1135">
        <v>80</v>
      </c>
      <c r="D1135">
        <v>79.523391724000007</v>
      </c>
      <c r="E1135">
        <v>60</v>
      </c>
      <c r="F1135">
        <v>60.153072356999999</v>
      </c>
      <c r="G1135">
        <v>1330.8365478999999</v>
      </c>
      <c r="H1135">
        <v>1330.7227783000001</v>
      </c>
      <c r="I1135">
        <v>1333.104126</v>
      </c>
      <c r="J1135">
        <v>1332.1672363</v>
      </c>
      <c r="K1135">
        <v>0</v>
      </c>
      <c r="L1135">
        <v>550</v>
      </c>
      <c r="M1135">
        <v>550</v>
      </c>
      <c r="N1135">
        <v>0</v>
      </c>
    </row>
    <row r="1136" spans="1:14" x14ac:dyDescent="0.25">
      <c r="A1136">
        <v>921.13989000000004</v>
      </c>
      <c r="B1136" s="1">
        <f>DATE(2012,11,7) + TIME(3,21,26)</f>
        <v>41220.139884259261</v>
      </c>
      <c r="C1136">
        <v>80</v>
      </c>
      <c r="D1136">
        <v>79.489456176999994</v>
      </c>
      <c r="E1136">
        <v>60</v>
      </c>
      <c r="F1136">
        <v>60.106330872000001</v>
      </c>
      <c r="G1136">
        <v>1330.8232422000001</v>
      </c>
      <c r="H1136">
        <v>1330.7028809000001</v>
      </c>
      <c r="I1136">
        <v>1333.1240233999999</v>
      </c>
      <c r="J1136">
        <v>1332.1795654</v>
      </c>
      <c r="K1136">
        <v>0</v>
      </c>
      <c r="L1136">
        <v>550</v>
      </c>
      <c r="M1136">
        <v>550</v>
      </c>
      <c r="N1136">
        <v>0</v>
      </c>
    </row>
    <row r="1137" spans="1:14" x14ac:dyDescent="0.25">
      <c r="A1137">
        <v>921.57668999999999</v>
      </c>
      <c r="B1137" s="1">
        <f>DATE(2012,11,7) + TIME(13,50,25)</f>
        <v>41220.576678240737</v>
      </c>
      <c r="C1137">
        <v>80</v>
      </c>
      <c r="D1137">
        <v>79.453437804999993</v>
      </c>
      <c r="E1137">
        <v>60</v>
      </c>
      <c r="F1137">
        <v>60.068813323999997</v>
      </c>
      <c r="G1137">
        <v>1330.8093262</v>
      </c>
      <c r="H1137">
        <v>1330.6820068</v>
      </c>
      <c r="I1137">
        <v>1333.1431885</v>
      </c>
      <c r="J1137">
        <v>1332.1916504000001</v>
      </c>
      <c r="K1137">
        <v>0</v>
      </c>
      <c r="L1137">
        <v>550</v>
      </c>
      <c r="M1137">
        <v>550</v>
      </c>
      <c r="N1137">
        <v>0</v>
      </c>
    </row>
    <row r="1138" spans="1:14" x14ac:dyDescent="0.25">
      <c r="A1138">
        <v>922.01881200000003</v>
      </c>
      <c r="B1138" s="1">
        <f>DATE(2012,11,8) + TIME(0,27,5)</f>
        <v>41221.018807870372</v>
      </c>
      <c r="C1138">
        <v>80</v>
      </c>
      <c r="D1138">
        <v>79.416313170999999</v>
      </c>
      <c r="E1138">
        <v>60</v>
      </c>
      <c r="F1138">
        <v>60.039768219000003</v>
      </c>
      <c r="G1138">
        <v>1330.7949219</v>
      </c>
      <c r="H1138">
        <v>1330.6608887</v>
      </c>
      <c r="I1138">
        <v>1333.1573486</v>
      </c>
      <c r="J1138">
        <v>1332.2006836</v>
      </c>
      <c r="K1138">
        <v>0</v>
      </c>
      <c r="L1138">
        <v>550</v>
      </c>
      <c r="M1138">
        <v>550</v>
      </c>
      <c r="N1138">
        <v>0</v>
      </c>
    </row>
    <row r="1139" spans="1:14" x14ac:dyDescent="0.25">
      <c r="A1139">
        <v>922.47101599999996</v>
      </c>
      <c r="B1139" s="1">
        <f>DATE(2012,11,8) + TIME(11,18,15)</f>
        <v>41221.471006944441</v>
      </c>
      <c r="C1139">
        <v>80</v>
      </c>
      <c r="D1139">
        <v>79.377670288000004</v>
      </c>
      <c r="E1139">
        <v>60</v>
      </c>
      <c r="F1139">
        <v>60.017196654999999</v>
      </c>
      <c r="G1139">
        <v>1330.7807617000001</v>
      </c>
      <c r="H1139">
        <v>1330.6400146000001</v>
      </c>
      <c r="I1139">
        <v>1333.1694336</v>
      </c>
      <c r="J1139">
        <v>1332.208374</v>
      </c>
      <c r="K1139">
        <v>0</v>
      </c>
      <c r="L1139">
        <v>550</v>
      </c>
      <c r="M1139">
        <v>550</v>
      </c>
      <c r="N1139">
        <v>0</v>
      </c>
    </row>
    <row r="1140" spans="1:14" x14ac:dyDescent="0.25">
      <c r="A1140">
        <v>922.93770800000004</v>
      </c>
      <c r="B1140" s="1">
        <f>DATE(2012,11,8) + TIME(22,30,17)</f>
        <v>41221.937696759262</v>
      </c>
      <c r="C1140">
        <v>80</v>
      </c>
      <c r="D1140">
        <v>79.337112426999994</v>
      </c>
      <c r="E1140">
        <v>60</v>
      </c>
      <c r="F1140">
        <v>59.999645233000003</v>
      </c>
      <c r="G1140">
        <v>1330.7664795000001</v>
      </c>
      <c r="H1140">
        <v>1330.6191406</v>
      </c>
      <c r="I1140">
        <v>1333.1800536999999</v>
      </c>
      <c r="J1140">
        <v>1332.2152100000001</v>
      </c>
      <c r="K1140">
        <v>0</v>
      </c>
      <c r="L1140">
        <v>550</v>
      </c>
      <c r="M1140">
        <v>550</v>
      </c>
      <c r="N1140">
        <v>0</v>
      </c>
    </row>
    <row r="1141" spans="1:14" x14ac:dyDescent="0.25">
      <c r="A1141">
        <v>923.42234399999995</v>
      </c>
      <c r="B1141" s="1">
        <f>DATE(2012,11,9) + TIME(10,8,10)</f>
        <v>41222.422337962962</v>
      </c>
      <c r="C1141">
        <v>80</v>
      </c>
      <c r="D1141">
        <v>79.294288635000001</v>
      </c>
      <c r="E1141">
        <v>60</v>
      </c>
      <c r="F1141">
        <v>59.986038207999997</v>
      </c>
      <c r="G1141">
        <v>1330.7521973</v>
      </c>
      <c r="H1141">
        <v>1330.5982666</v>
      </c>
      <c r="I1141">
        <v>1333.1894531</v>
      </c>
      <c r="J1141">
        <v>1332.2213135</v>
      </c>
      <c r="K1141">
        <v>0</v>
      </c>
      <c r="L1141">
        <v>550</v>
      </c>
      <c r="M1141">
        <v>550</v>
      </c>
      <c r="N1141">
        <v>0</v>
      </c>
    </row>
    <row r="1142" spans="1:14" x14ac:dyDescent="0.25">
      <c r="A1142">
        <v>923.92886899999996</v>
      </c>
      <c r="B1142" s="1">
        <f>DATE(2012,11,9) + TIME(22,17,34)</f>
        <v>41222.928865740738</v>
      </c>
      <c r="C1142">
        <v>80</v>
      </c>
      <c r="D1142">
        <v>79.248786925999994</v>
      </c>
      <c r="E1142">
        <v>60</v>
      </c>
      <c r="F1142">
        <v>59.975547790999997</v>
      </c>
      <c r="G1142">
        <v>1330.7376709</v>
      </c>
      <c r="H1142">
        <v>1330.5771483999999</v>
      </c>
      <c r="I1142">
        <v>1333.1977539</v>
      </c>
      <c r="J1142">
        <v>1332.2268065999999</v>
      </c>
      <c r="K1142">
        <v>0</v>
      </c>
      <c r="L1142">
        <v>550</v>
      </c>
      <c r="M1142">
        <v>550</v>
      </c>
      <c r="N1142">
        <v>0</v>
      </c>
    </row>
    <row r="1143" spans="1:14" x14ac:dyDescent="0.25">
      <c r="A1143">
        <v>924.46190000000001</v>
      </c>
      <c r="B1143" s="1">
        <f>DATE(2012,11,10) + TIME(11,5,8)</f>
        <v>41223.461898148147</v>
      </c>
      <c r="C1143">
        <v>80</v>
      </c>
      <c r="D1143">
        <v>79.200111389</v>
      </c>
      <c r="E1143">
        <v>60</v>
      </c>
      <c r="F1143">
        <v>59.967510222999998</v>
      </c>
      <c r="G1143">
        <v>1330.7229004000001</v>
      </c>
      <c r="H1143">
        <v>1330.5556641000001</v>
      </c>
      <c r="I1143">
        <v>1333.2050781</v>
      </c>
      <c r="J1143">
        <v>1332.2316894999999</v>
      </c>
      <c r="K1143">
        <v>0</v>
      </c>
      <c r="L1143">
        <v>550</v>
      </c>
      <c r="M1143">
        <v>550</v>
      </c>
      <c r="N1143">
        <v>0</v>
      </c>
    </row>
    <row r="1144" spans="1:14" x14ac:dyDescent="0.25">
      <c r="A1144">
        <v>925.02695400000005</v>
      </c>
      <c r="B1144" s="1">
        <f>DATE(2012,11,11) + TIME(0,38,48)</f>
        <v>41224.026944444442</v>
      </c>
      <c r="C1144">
        <v>80</v>
      </c>
      <c r="D1144">
        <v>79.147682189999998</v>
      </c>
      <c r="E1144">
        <v>60</v>
      </c>
      <c r="F1144">
        <v>59.961395263999997</v>
      </c>
      <c r="G1144">
        <v>1330.7076416</v>
      </c>
      <c r="H1144">
        <v>1330.5336914</v>
      </c>
      <c r="I1144">
        <v>1333.2110596</v>
      </c>
      <c r="J1144">
        <v>1332.2358397999999</v>
      </c>
      <c r="K1144">
        <v>0</v>
      </c>
      <c r="L1144">
        <v>550</v>
      </c>
      <c r="M1144">
        <v>550</v>
      </c>
      <c r="N1144">
        <v>0</v>
      </c>
    </row>
    <row r="1145" spans="1:14" x14ac:dyDescent="0.25">
      <c r="A1145">
        <v>925.61731099999997</v>
      </c>
      <c r="B1145" s="1">
        <f>DATE(2012,11,11) + TIME(14,48,55)</f>
        <v>41224.617303240739</v>
      </c>
      <c r="C1145">
        <v>80</v>
      </c>
      <c r="D1145">
        <v>79.091926575000002</v>
      </c>
      <c r="E1145">
        <v>60</v>
      </c>
      <c r="F1145">
        <v>59.956851958999998</v>
      </c>
      <c r="G1145">
        <v>1330.6920166</v>
      </c>
      <c r="H1145">
        <v>1330.5111084</v>
      </c>
      <c r="I1145">
        <v>1333.2143555</v>
      </c>
      <c r="J1145">
        <v>1332.2384033000001</v>
      </c>
      <c r="K1145">
        <v>0</v>
      </c>
      <c r="L1145">
        <v>550</v>
      </c>
      <c r="M1145">
        <v>550</v>
      </c>
      <c r="N1145">
        <v>0</v>
      </c>
    </row>
    <row r="1146" spans="1:14" x14ac:dyDescent="0.25">
      <c r="A1146">
        <v>926.22729600000002</v>
      </c>
      <c r="B1146" s="1">
        <f>DATE(2012,11,12) + TIME(5,27,18)</f>
        <v>41225.22729166667</v>
      </c>
      <c r="C1146">
        <v>80</v>
      </c>
      <c r="D1146">
        <v>79.033203125</v>
      </c>
      <c r="E1146">
        <v>60</v>
      </c>
      <c r="F1146">
        <v>59.953525542999998</v>
      </c>
      <c r="G1146">
        <v>1330.6759033000001</v>
      </c>
      <c r="H1146">
        <v>1330.4881591999999</v>
      </c>
      <c r="I1146">
        <v>1333.2171631000001</v>
      </c>
      <c r="J1146">
        <v>1332.2406006000001</v>
      </c>
      <c r="K1146">
        <v>0</v>
      </c>
      <c r="L1146">
        <v>550</v>
      </c>
      <c r="M1146">
        <v>550</v>
      </c>
      <c r="N1146">
        <v>0</v>
      </c>
    </row>
    <row r="1147" spans="1:14" x14ac:dyDescent="0.25">
      <c r="A1147">
        <v>926.85619999999994</v>
      </c>
      <c r="B1147" s="1">
        <f>DATE(2012,11,12) + TIME(20,32,55)</f>
        <v>41225.856192129628</v>
      </c>
      <c r="C1147">
        <v>80</v>
      </c>
      <c r="D1147">
        <v>78.971458435000002</v>
      </c>
      <c r="E1147">
        <v>60</v>
      </c>
      <c r="F1147">
        <v>59.951110839999998</v>
      </c>
      <c r="G1147">
        <v>1330.6597899999999</v>
      </c>
      <c r="H1147">
        <v>1330.4650879000001</v>
      </c>
      <c r="I1147">
        <v>1333.2194824000001</v>
      </c>
      <c r="J1147">
        <v>1332.2425536999999</v>
      </c>
      <c r="K1147">
        <v>0</v>
      </c>
      <c r="L1147">
        <v>550</v>
      </c>
      <c r="M1147">
        <v>550</v>
      </c>
      <c r="N1147">
        <v>0</v>
      </c>
    </row>
    <row r="1148" spans="1:14" x14ac:dyDescent="0.25">
      <c r="A1148">
        <v>927.506935</v>
      </c>
      <c r="B1148" s="1">
        <f>DATE(2012,11,13) + TIME(12,9,59)</f>
        <v>41226.506932870368</v>
      </c>
      <c r="C1148">
        <v>80</v>
      </c>
      <c r="D1148">
        <v>78.906311035000002</v>
      </c>
      <c r="E1148">
        <v>60</v>
      </c>
      <c r="F1148">
        <v>59.949352263999998</v>
      </c>
      <c r="G1148">
        <v>1330.6435547000001</v>
      </c>
      <c r="H1148">
        <v>1330.4418945</v>
      </c>
      <c r="I1148">
        <v>1333.2211914</v>
      </c>
      <c r="J1148">
        <v>1332.2441406</v>
      </c>
      <c r="K1148">
        <v>0</v>
      </c>
      <c r="L1148">
        <v>550</v>
      </c>
      <c r="M1148">
        <v>550</v>
      </c>
      <c r="N1148">
        <v>0</v>
      </c>
    </row>
    <row r="1149" spans="1:14" x14ac:dyDescent="0.25">
      <c r="A1149">
        <v>928.18577200000004</v>
      </c>
      <c r="B1149" s="1">
        <f>DATE(2012,11,14) + TIME(4,27,30)</f>
        <v>41227.185763888891</v>
      </c>
      <c r="C1149">
        <v>80</v>
      </c>
      <c r="D1149">
        <v>78.837059021000002</v>
      </c>
      <c r="E1149">
        <v>60</v>
      </c>
      <c r="F1149">
        <v>59.948070526000002</v>
      </c>
      <c r="G1149">
        <v>1330.6270752</v>
      </c>
      <c r="H1149">
        <v>1330.4185791</v>
      </c>
      <c r="I1149">
        <v>1333.2225341999999</v>
      </c>
      <c r="J1149">
        <v>1332.2456055</v>
      </c>
      <c r="K1149">
        <v>0</v>
      </c>
      <c r="L1149">
        <v>550</v>
      </c>
      <c r="M1149">
        <v>550</v>
      </c>
      <c r="N1149">
        <v>0</v>
      </c>
    </row>
    <row r="1150" spans="1:14" x14ac:dyDescent="0.25">
      <c r="A1150">
        <v>928.89447800000005</v>
      </c>
      <c r="B1150" s="1">
        <f>DATE(2012,11,14) + TIME(21,28,2)</f>
        <v>41227.894467592596</v>
      </c>
      <c r="C1150">
        <v>80</v>
      </c>
      <c r="D1150">
        <v>78.763343810999999</v>
      </c>
      <c r="E1150">
        <v>60</v>
      </c>
      <c r="F1150">
        <v>59.947132111000002</v>
      </c>
      <c r="G1150">
        <v>1330.6103516000001</v>
      </c>
      <c r="H1150">
        <v>1330.3948975000001</v>
      </c>
      <c r="I1150">
        <v>1333.2235106999999</v>
      </c>
      <c r="J1150">
        <v>1332.2468262</v>
      </c>
      <c r="K1150">
        <v>0</v>
      </c>
      <c r="L1150">
        <v>550</v>
      </c>
      <c r="M1150">
        <v>550</v>
      </c>
      <c r="N1150">
        <v>0</v>
      </c>
    </row>
    <row r="1151" spans="1:14" x14ac:dyDescent="0.25">
      <c r="A1151">
        <v>929.63176799999997</v>
      </c>
      <c r="B1151" s="1">
        <f>DATE(2012,11,15) + TIME(15,9,44)</f>
        <v>41228.63175925926</v>
      </c>
      <c r="C1151">
        <v>80</v>
      </c>
      <c r="D1151">
        <v>78.685104370000005</v>
      </c>
      <c r="E1151">
        <v>60</v>
      </c>
      <c r="F1151">
        <v>59.946445464999996</v>
      </c>
      <c r="G1151">
        <v>1330.5933838000001</v>
      </c>
      <c r="H1151">
        <v>1330.3708495999999</v>
      </c>
      <c r="I1151">
        <v>1333.2241211</v>
      </c>
      <c r="J1151">
        <v>1332.2478027</v>
      </c>
      <c r="K1151">
        <v>0</v>
      </c>
      <c r="L1151">
        <v>550</v>
      </c>
      <c r="M1151">
        <v>550</v>
      </c>
      <c r="N1151">
        <v>0</v>
      </c>
    </row>
    <row r="1152" spans="1:14" x14ac:dyDescent="0.25">
      <c r="A1152">
        <v>930.40633400000002</v>
      </c>
      <c r="B1152" s="1">
        <f>DATE(2012,11,16) + TIME(9,45,7)</f>
        <v>41229.406331018516</v>
      </c>
      <c r="C1152">
        <v>80</v>
      </c>
      <c r="D1152">
        <v>78.601341247999997</v>
      </c>
      <c r="E1152">
        <v>60</v>
      </c>
      <c r="F1152">
        <v>59.94593811</v>
      </c>
      <c r="G1152">
        <v>1330.5761719</v>
      </c>
      <c r="H1152">
        <v>1330.3465576000001</v>
      </c>
      <c r="I1152">
        <v>1333.2244873</v>
      </c>
      <c r="J1152">
        <v>1332.2486572</v>
      </c>
      <c r="K1152">
        <v>0</v>
      </c>
      <c r="L1152">
        <v>550</v>
      </c>
      <c r="M1152">
        <v>550</v>
      </c>
      <c r="N1152">
        <v>0</v>
      </c>
    </row>
    <row r="1153" spans="1:14" x14ac:dyDescent="0.25">
      <c r="A1153">
        <v>931.22534900000005</v>
      </c>
      <c r="B1153" s="1">
        <f>DATE(2012,11,17) + TIME(5,24,30)</f>
        <v>41230.225347222222</v>
      </c>
      <c r="C1153">
        <v>80</v>
      </c>
      <c r="D1153">
        <v>78.511123656999999</v>
      </c>
      <c r="E1153">
        <v>60</v>
      </c>
      <c r="F1153">
        <v>59.945552825999997</v>
      </c>
      <c r="G1153">
        <v>1330.5584716999999</v>
      </c>
      <c r="H1153">
        <v>1330.3217772999999</v>
      </c>
      <c r="I1153">
        <v>1333.2246094</v>
      </c>
      <c r="J1153">
        <v>1332.2493896000001</v>
      </c>
      <c r="K1153">
        <v>0</v>
      </c>
      <c r="L1153">
        <v>550</v>
      </c>
      <c r="M1153">
        <v>550</v>
      </c>
      <c r="N1153">
        <v>0</v>
      </c>
    </row>
    <row r="1154" spans="1:14" x14ac:dyDescent="0.25">
      <c r="A1154">
        <v>932.09671600000001</v>
      </c>
      <c r="B1154" s="1">
        <f>DATE(2012,11,18) + TIME(2,19,16)</f>
        <v>41231.096712962964</v>
      </c>
      <c r="C1154">
        <v>80</v>
      </c>
      <c r="D1154">
        <v>78.413414001000007</v>
      </c>
      <c r="E1154">
        <v>60</v>
      </c>
      <c r="F1154">
        <v>59.945262909</v>
      </c>
      <c r="G1154">
        <v>1330.5404053</v>
      </c>
      <c r="H1154">
        <v>1330.2963867000001</v>
      </c>
      <c r="I1154">
        <v>1333.2243652</v>
      </c>
      <c r="J1154">
        <v>1332.25</v>
      </c>
      <c r="K1154">
        <v>0</v>
      </c>
      <c r="L1154">
        <v>550</v>
      </c>
      <c r="M1154">
        <v>550</v>
      </c>
      <c r="N1154">
        <v>0</v>
      </c>
    </row>
    <row r="1155" spans="1:14" x14ac:dyDescent="0.25">
      <c r="A1155">
        <v>933.02858000000003</v>
      </c>
      <c r="B1155" s="1">
        <f>DATE(2012,11,19) + TIME(0,41,9)</f>
        <v>41232.02857638889</v>
      </c>
      <c r="C1155">
        <v>80</v>
      </c>
      <c r="D1155">
        <v>78.307098389000004</v>
      </c>
      <c r="E1155">
        <v>60</v>
      </c>
      <c r="F1155">
        <v>59.945034026999998</v>
      </c>
      <c r="G1155">
        <v>1330.5217285000001</v>
      </c>
      <c r="H1155">
        <v>1330.2702637</v>
      </c>
      <c r="I1155">
        <v>1333.223999</v>
      </c>
      <c r="J1155">
        <v>1332.2504882999999</v>
      </c>
      <c r="K1155">
        <v>0</v>
      </c>
      <c r="L1155">
        <v>550</v>
      </c>
      <c r="M1155">
        <v>550</v>
      </c>
      <c r="N1155">
        <v>0</v>
      </c>
    </row>
    <row r="1156" spans="1:14" x14ac:dyDescent="0.25">
      <c r="A1156">
        <v>934.01276700000005</v>
      </c>
      <c r="B1156" s="1">
        <f>DATE(2012,11,20) + TIME(0,18,23)</f>
        <v>41233.012766203705</v>
      </c>
      <c r="C1156">
        <v>80</v>
      </c>
      <c r="D1156">
        <v>78.192520142000006</v>
      </c>
      <c r="E1156">
        <v>60</v>
      </c>
      <c r="F1156">
        <v>59.944858551000003</v>
      </c>
      <c r="G1156">
        <v>1330.5023193</v>
      </c>
      <c r="H1156">
        <v>1330.2432861</v>
      </c>
      <c r="I1156">
        <v>1333.2235106999999</v>
      </c>
      <c r="J1156">
        <v>1332.2509766000001</v>
      </c>
      <c r="K1156">
        <v>0</v>
      </c>
      <c r="L1156">
        <v>550</v>
      </c>
      <c r="M1156">
        <v>550</v>
      </c>
      <c r="N1156">
        <v>0</v>
      </c>
    </row>
    <row r="1157" spans="1:14" x14ac:dyDescent="0.25">
      <c r="A1157">
        <v>935.03415199999995</v>
      </c>
      <c r="B1157" s="1">
        <f>DATE(2012,11,21) + TIME(0,49,10)</f>
        <v>41234.034143518518</v>
      </c>
      <c r="C1157">
        <v>80</v>
      </c>
      <c r="D1157">
        <v>78.070747374999996</v>
      </c>
      <c r="E1157">
        <v>60</v>
      </c>
      <c r="F1157">
        <v>59.944713593000003</v>
      </c>
      <c r="G1157">
        <v>1330.4824219</v>
      </c>
      <c r="H1157">
        <v>1330.2158202999999</v>
      </c>
      <c r="I1157">
        <v>1333.2227783000001</v>
      </c>
      <c r="J1157">
        <v>1332.2514647999999</v>
      </c>
      <c r="K1157">
        <v>0</v>
      </c>
      <c r="L1157">
        <v>550</v>
      </c>
      <c r="M1157">
        <v>550</v>
      </c>
      <c r="N1157">
        <v>0</v>
      </c>
    </row>
    <row r="1158" spans="1:14" x14ac:dyDescent="0.25">
      <c r="A1158">
        <v>936.07951500000001</v>
      </c>
      <c r="B1158" s="1">
        <f>DATE(2012,11,22) + TIME(1,54,30)</f>
        <v>41235.079513888886</v>
      </c>
      <c r="C1158">
        <v>80</v>
      </c>
      <c r="D1158">
        <v>77.942878723000007</v>
      </c>
      <c r="E1158">
        <v>60</v>
      </c>
      <c r="F1158">
        <v>59.944599152000002</v>
      </c>
      <c r="G1158">
        <v>1330.4624022999999</v>
      </c>
      <c r="H1158">
        <v>1330.1879882999999</v>
      </c>
      <c r="I1158">
        <v>1333.2219238</v>
      </c>
      <c r="J1158">
        <v>1332.2518310999999</v>
      </c>
      <c r="K1158">
        <v>0</v>
      </c>
      <c r="L1158">
        <v>550</v>
      </c>
      <c r="M1158">
        <v>550</v>
      </c>
      <c r="N1158">
        <v>0</v>
      </c>
    </row>
    <row r="1159" spans="1:14" x14ac:dyDescent="0.25">
      <c r="A1159">
        <v>937.15514800000005</v>
      </c>
      <c r="B1159" s="1">
        <f>DATE(2012,11,23) + TIME(3,43,24)</f>
        <v>41236.155138888891</v>
      </c>
      <c r="C1159">
        <v>80</v>
      </c>
      <c r="D1159">
        <v>77.808288574000002</v>
      </c>
      <c r="E1159">
        <v>60</v>
      </c>
      <c r="F1159">
        <v>59.944503783999998</v>
      </c>
      <c r="G1159">
        <v>1330.4423827999999</v>
      </c>
      <c r="H1159">
        <v>1330.1602783000001</v>
      </c>
      <c r="I1159">
        <v>1333.2210693</v>
      </c>
      <c r="J1159">
        <v>1332.2521973</v>
      </c>
      <c r="K1159">
        <v>0</v>
      </c>
      <c r="L1159">
        <v>550</v>
      </c>
      <c r="M1159">
        <v>550</v>
      </c>
      <c r="N1159">
        <v>0</v>
      </c>
    </row>
    <row r="1160" spans="1:14" x14ac:dyDescent="0.25">
      <c r="A1160">
        <v>938.26905099999999</v>
      </c>
      <c r="B1160" s="1">
        <f>DATE(2012,11,24) + TIME(6,27,25)</f>
        <v>41237.26903935185</v>
      </c>
      <c r="C1160">
        <v>80</v>
      </c>
      <c r="D1160">
        <v>77.666145325000002</v>
      </c>
      <c r="E1160">
        <v>60</v>
      </c>
      <c r="F1160">
        <v>59.944419861</v>
      </c>
      <c r="G1160">
        <v>1330.4223632999999</v>
      </c>
      <c r="H1160">
        <v>1330.1326904</v>
      </c>
      <c r="I1160">
        <v>1333.2202147999999</v>
      </c>
      <c r="J1160">
        <v>1332.2525635</v>
      </c>
      <c r="K1160">
        <v>0</v>
      </c>
      <c r="L1160">
        <v>550</v>
      </c>
      <c r="M1160">
        <v>550</v>
      </c>
      <c r="N1160">
        <v>0</v>
      </c>
    </row>
    <row r="1161" spans="1:14" x14ac:dyDescent="0.25">
      <c r="A1161">
        <v>939.402692</v>
      </c>
      <c r="B1161" s="1">
        <f>DATE(2012,11,25) + TIME(9,39,52)</f>
        <v>41238.402685185189</v>
      </c>
      <c r="C1161">
        <v>80</v>
      </c>
      <c r="D1161">
        <v>77.518188476999995</v>
      </c>
      <c r="E1161">
        <v>60</v>
      </c>
      <c r="F1161">
        <v>59.944347381999997</v>
      </c>
      <c r="G1161">
        <v>1330.4023437999999</v>
      </c>
      <c r="H1161">
        <v>1330.1048584</v>
      </c>
      <c r="I1161">
        <v>1333.2192382999999</v>
      </c>
      <c r="J1161">
        <v>1332.2529297000001</v>
      </c>
      <c r="K1161">
        <v>0</v>
      </c>
      <c r="L1161">
        <v>550</v>
      </c>
      <c r="M1161">
        <v>550</v>
      </c>
      <c r="N1161">
        <v>0</v>
      </c>
    </row>
    <row r="1162" spans="1:14" x14ac:dyDescent="0.25">
      <c r="A1162">
        <v>940.56002000000001</v>
      </c>
      <c r="B1162" s="1">
        <f>DATE(2012,11,26) + TIME(13,26,25)</f>
        <v>41239.560011574074</v>
      </c>
      <c r="C1162">
        <v>80</v>
      </c>
      <c r="D1162">
        <v>77.364181518999999</v>
      </c>
      <c r="E1162">
        <v>60</v>
      </c>
      <c r="F1162">
        <v>59.944282532000003</v>
      </c>
      <c r="G1162">
        <v>1330.3823242000001</v>
      </c>
      <c r="H1162">
        <v>1330.0773925999999</v>
      </c>
      <c r="I1162">
        <v>1333.2182617000001</v>
      </c>
      <c r="J1162">
        <v>1332.2531738</v>
      </c>
      <c r="K1162">
        <v>0</v>
      </c>
      <c r="L1162">
        <v>550</v>
      </c>
      <c r="M1162">
        <v>550</v>
      </c>
      <c r="N1162">
        <v>0</v>
      </c>
    </row>
    <row r="1163" spans="1:14" x14ac:dyDescent="0.25">
      <c r="A1163">
        <v>941.74830299999996</v>
      </c>
      <c r="B1163" s="1">
        <f>DATE(2012,11,27) + TIME(17,57,33)</f>
        <v>41240.748298611114</v>
      </c>
      <c r="C1163">
        <v>80</v>
      </c>
      <c r="D1163">
        <v>77.203552246000001</v>
      </c>
      <c r="E1163">
        <v>60</v>
      </c>
      <c r="F1163">
        <v>59.944225310999997</v>
      </c>
      <c r="G1163">
        <v>1330.3625488</v>
      </c>
      <c r="H1163">
        <v>1330.0501709</v>
      </c>
      <c r="I1163">
        <v>1333.2172852000001</v>
      </c>
      <c r="J1163">
        <v>1332.2535399999999</v>
      </c>
      <c r="K1163">
        <v>0</v>
      </c>
      <c r="L1163">
        <v>550</v>
      </c>
      <c r="M1163">
        <v>550</v>
      </c>
      <c r="N1163">
        <v>0</v>
      </c>
    </row>
    <row r="1164" spans="1:14" x14ac:dyDescent="0.25">
      <c r="A1164">
        <v>942.98069299999997</v>
      </c>
      <c r="B1164" s="1">
        <f>DATE(2012,11,28) + TIME(23,32,11)</f>
        <v>41241.980682870373</v>
      </c>
      <c r="C1164">
        <v>80</v>
      </c>
      <c r="D1164">
        <v>77.035057068</v>
      </c>
      <c r="E1164">
        <v>60</v>
      </c>
      <c r="F1164">
        <v>59.944171906000001</v>
      </c>
      <c r="G1164">
        <v>1330.3428954999999</v>
      </c>
      <c r="H1164">
        <v>1330.0231934000001</v>
      </c>
      <c r="I1164">
        <v>1333.2163086</v>
      </c>
      <c r="J1164">
        <v>1332.2539062000001</v>
      </c>
      <c r="K1164">
        <v>0</v>
      </c>
      <c r="L1164">
        <v>550</v>
      </c>
      <c r="M1164">
        <v>550</v>
      </c>
      <c r="N1164">
        <v>0</v>
      </c>
    </row>
    <row r="1165" spans="1:14" x14ac:dyDescent="0.25">
      <c r="A1165">
        <v>944.27681299999995</v>
      </c>
      <c r="B1165" s="1">
        <f>DATE(2012,11,30) + TIME(6,38,36)</f>
        <v>41243.276805555557</v>
      </c>
      <c r="C1165">
        <v>80</v>
      </c>
      <c r="D1165">
        <v>76.856704711999996</v>
      </c>
      <c r="E1165">
        <v>60</v>
      </c>
      <c r="F1165">
        <v>59.944122313999998</v>
      </c>
      <c r="G1165">
        <v>1330.3229980000001</v>
      </c>
      <c r="H1165">
        <v>1329.9960937999999</v>
      </c>
      <c r="I1165">
        <v>1333.2154541</v>
      </c>
      <c r="J1165">
        <v>1332.2543945</v>
      </c>
      <c r="K1165">
        <v>0</v>
      </c>
      <c r="L1165">
        <v>550</v>
      </c>
      <c r="M1165">
        <v>550</v>
      </c>
      <c r="N1165">
        <v>0</v>
      </c>
    </row>
    <row r="1166" spans="1:14" x14ac:dyDescent="0.25">
      <c r="A1166">
        <v>945</v>
      </c>
      <c r="B1166" s="1">
        <f>DATE(2012,12,1) + TIME(0,0,0)</f>
        <v>41244</v>
      </c>
      <c r="C1166">
        <v>80</v>
      </c>
      <c r="D1166">
        <v>76.739967346</v>
      </c>
      <c r="E1166">
        <v>60</v>
      </c>
      <c r="F1166">
        <v>59.944084167</v>
      </c>
      <c r="G1166">
        <v>1330.3033447</v>
      </c>
      <c r="H1166">
        <v>1329.9693603999999</v>
      </c>
      <c r="I1166">
        <v>1333.2145995999999</v>
      </c>
      <c r="J1166">
        <v>1332.2547606999999</v>
      </c>
      <c r="K1166">
        <v>0</v>
      </c>
      <c r="L1166">
        <v>550</v>
      </c>
      <c r="M1166">
        <v>550</v>
      </c>
      <c r="N1166">
        <v>0</v>
      </c>
    </row>
    <row r="1167" spans="1:14" x14ac:dyDescent="0.25">
      <c r="A1167">
        <v>946.374053</v>
      </c>
      <c r="B1167" s="1">
        <f>DATE(2012,12,2) + TIME(8,58,38)</f>
        <v>41245.374050925922</v>
      </c>
      <c r="C1167">
        <v>80</v>
      </c>
      <c r="D1167">
        <v>76.552757263000004</v>
      </c>
      <c r="E1167">
        <v>60</v>
      </c>
      <c r="F1167">
        <v>59.944042205999999</v>
      </c>
      <c r="G1167">
        <v>1330.2907714999999</v>
      </c>
      <c r="H1167">
        <v>1329.9514160000001</v>
      </c>
      <c r="I1167">
        <v>1333.2139893000001</v>
      </c>
      <c r="J1167">
        <v>1332.2550048999999</v>
      </c>
      <c r="K1167">
        <v>0</v>
      </c>
      <c r="L1167">
        <v>550</v>
      </c>
      <c r="M1167">
        <v>550</v>
      </c>
      <c r="N1167">
        <v>0</v>
      </c>
    </row>
    <row r="1168" spans="1:14" x14ac:dyDescent="0.25">
      <c r="A1168">
        <v>947.90439400000002</v>
      </c>
      <c r="B1168" s="1">
        <f>DATE(2012,12,3) + TIME(21,42,19)</f>
        <v>41246.904386574075</v>
      </c>
      <c r="C1168">
        <v>80</v>
      </c>
      <c r="D1168">
        <v>76.345672606999997</v>
      </c>
      <c r="E1168">
        <v>60</v>
      </c>
      <c r="F1168">
        <v>59.944000244000001</v>
      </c>
      <c r="G1168">
        <v>1330.2709961</v>
      </c>
      <c r="H1168">
        <v>1329.9246826000001</v>
      </c>
      <c r="I1168">
        <v>1333.2131348</v>
      </c>
      <c r="J1168">
        <v>1332.2554932</v>
      </c>
      <c r="K1168">
        <v>0</v>
      </c>
      <c r="L1168">
        <v>550</v>
      </c>
      <c r="M1168">
        <v>550</v>
      </c>
      <c r="N1168">
        <v>0</v>
      </c>
    </row>
    <row r="1169" spans="1:14" x14ac:dyDescent="0.25">
      <c r="A1169">
        <v>949.56450099999995</v>
      </c>
      <c r="B1169" s="1">
        <f>DATE(2012,12,5) + TIME(13,32,52)</f>
        <v>41248.56449074074</v>
      </c>
      <c r="C1169">
        <v>80</v>
      </c>
      <c r="D1169">
        <v>76.119873046999999</v>
      </c>
      <c r="E1169">
        <v>60</v>
      </c>
      <c r="F1169">
        <v>59.943954468000001</v>
      </c>
      <c r="G1169">
        <v>1330.2497559000001</v>
      </c>
      <c r="H1169">
        <v>1329.8962402</v>
      </c>
      <c r="I1169">
        <v>1333.2121582</v>
      </c>
      <c r="J1169">
        <v>1332.2561035000001</v>
      </c>
      <c r="K1169">
        <v>0</v>
      </c>
      <c r="L1169">
        <v>550</v>
      </c>
      <c r="M1169">
        <v>550</v>
      </c>
      <c r="N1169">
        <v>0</v>
      </c>
    </row>
    <row r="1170" spans="1:14" x14ac:dyDescent="0.25">
      <c r="A1170">
        <v>951.35149799999999</v>
      </c>
      <c r="B1170" s="1">
        <f>DATE(2012,12,7) + TIME(8,26,9)</f>
        <v>41250.351493055554</v>
      </c>
      <c r="C1170">
        <v>80</v>
      </c>
      <c r="D1170">
        <v>75.875083923000005</v>
      </c>
      <c r="E1170">
        <v>60</v>
      </c>
      <c r="F1170">
        <v>59.943908690999997</v>
      </c>
      <c r="G1170">
        <v>1330.2276611</v>
      </c>
      <c r="H1170">
        <v>1329.8665771000001</v>
      </c>
      <c r="I1170">
        <v>1333.2111815999999</v>
      </c>
      <c r="J1170">
        <v>1332.2568358999999</v>
      </c>
      <c r="K1170">
        <v>0</v>
      </c>
      <c r="L1170">
        <v>550</v>
      </c>
      <c r="M1170">
        <v>550</v>
      </c>
      <c r="N1170">
        <v>0</v>
      </c>
    </row>
    <row r="1171" spans="1:14" x14ac:dyDescent="0.25">
      <c r="A1171">
        <v>953.15379499999995</v>
      </c>
      <c r="B1171" s="1">
        <f>DATE(2012,12,9) + TIME(3,41,27)</f>
        <v>41252.153784722221</v>
      </c>
      <c r="C1171">
        <v>80</v>
      </c>
      <c r="D1171">
        <v>75.620506286999998</v>
      </c>
      <c r="E1171">
        <v>60</v>
      </c>
      <c r="F1171">
        <v>59.943862914999997</v>
      </c>
      <c r="G1171">
        <v>1330.2048339999999</v>
      </c>
      <c r="H1171">
        <v>1329.8359375</v>
      </c>
      <c r="I1171">
        <v>1333.2103271000001</v>
      </c>
      <c r="J1171">
        <v>1332.2575684000001</v>
      </c>
      <c r="K1171">
        <v>0</v>
      </c>
      <c r="L1171">
        <v>550</v>
      </c>
      <c r="M1171">
        <v>550</v>
      </c>
      <c r="N1171">
        <v>0</v>
      </c>
    </row>
    <row r="1172" spans="1:14" x14ac:dyDescent="0.25">
      <c r="A1172">
        <v>954.98799199999996</v>
      </c>
      <c r="B1172" s="1">
        <f>DATE(2012,12,10) + TIME(23,42,42)</f>
        <v>41253.987986111111</v>
      </c>
      <c r="C1172">
        <v>80</v>
      </c>
      <c r="D1172">
        <v>75.357376099000007</v>
      </c>
      <c r="E1172">
        <v>60</v>
      </c>
      <c r="F1172">
        <v>59.943813323999997</v>
      </c>
      <c r="G1172">
        <v>1330.1821289</v>
      </c>
      <c r="H1172">
        <v>1329.8054199000001</v>
      </c>
      <c r="I1172">
        <v>1333.2094727000001</v>
      </c>
      <c r="J1172">
        <v>1332.2584228999999</v>
      </c>
      <c r="K1172">
        <v>0</v>
      </c>
      <c r="L1172">
        <v>550</v>
      </c>
      <c r="M1172">
        <v>550</v>
      </c>
      <c r="N1172">
        <v>0</v>
      </c>
    </row>
    <row r="1173" spans="1:14" x14ac:dyDescent="0.25">
      <c r="A1173">
        <v>956.87162799999999</v>
      </c>
      <c r="B1173" s="1">
        <f>DATE(2012,12,12) + TIME(20,55,8)</f>
        <v>41255.871620370373</v>
      </c>
      <c r="C1173">
        <v>80</v>
      </c>
      <c r="D1173">
        <v>75.085678100999999</v>
      </c>
      <c r="E1173">
        <v>60</v>
      </c>
      <c r="F1173">
        <v>59.943771362</v>
      </c>
      <c r="G1173">
        <v>1330.1599120999999</v>
      </c>
      <c r="H1173">
        <v>1329.7753906</v>
      </c>
      <c r="I1173">
        <v>1333.2087402</v>
      </c>
      <c r="J1173">
        <v>1332.2591553</v>
      </c>
      <c r="K1173">
        <v>0</v>
      </c>
      <c r="L1173">
        <v>550</v>
      </c>
      <c r="M1173">
        <v>550</v>
      </c>
      <c r="N1173">
        <v>0</v>
      </c>
    </row>
    <row r="1174" spans="1:14" x14ac:dyDescent="0.25">
      <c r="A1174">
        <v>958.82306900000003</v>
      </c>
      <c r="B1174" s="1">
        <f>DATE(2012,12,14) + TIME(19,45,13)</f>
        <v>41257.823067129626</v>
      </c>
      <c r="C1174">
        <v>80</v>
      </c>
      <c r="D1174">
        <v>74.804359435999999</v>
      </c>
      <c r="E1174">
        <v>60</v>
      </c>
      <c r="F1174">
        <v>59.943725585999999</v>
      </c>
      <c r="G1174">
        <v>1330.1376952999999</v>
      </c>
      <c r="H1174">
        <v>1329.7456055</v>
      </c>
      <c r="I1174">
        <v>1333.2080077999999</v>
      </c>
      <c r="J1174">
        <v>1332.2601318</v>
      </c>
      <c r="K1174">
        <v>0</v>
      </c>
      <c r="L1174">
        <v>550</v>
      </c>
      <c r="M1174">
        <v>550</v>
      </c>
      <c r="N1174">
        <v>0</v>
      </c>
    </row>
    <row r="1175" spans="1:14" x14ac:dyDescent="0.25">
      <c r="A1175">
        <v>960.86178399999994</v>
      </c>
      <c r="B1175" s="1">
        <f>DATE(2012,12,16) + TIME(20,40,58)</f>
        <v>41259.86178240741</v>
      </c>
      <c r="C1175">
        <v>80</v>
      </c>
      <c r="D1175">
        <v>74.512054442999997</v>
      </c>
      <c r="E1175">
        <v>60</v>
      </c>
      <c r="F1175">
        <v>59.943687439000001</v>
      </c>
      <c r="G1175">
        <v>1330.1157227000001</v>
      </c>
      <c r="H1175">
        <v>1329.7160644999999</v>
      </c>
      <c r="I1175">
        <v>1333.2072754000001</v>
      </c>
      <c r="J1175">
        <v>1332.2609863</v>
      </c>
      <c r="K1175">
        <v>0</v>
      </c>
      <c r="L1175">
        <v>550</v>
      </c>
      <c r="M1175">
        <v>550</v>
      </c>
      <c r="N1175">
        <v>0</v>
      </c>
    </row>
    <row r="1176" spans="1:14" x14ac:dyDescent="0.25">
      <c r="A1176">
        <v>962.96387700000002</v>
      </c>
      <c r="B1176" s="1">
        <f>DATE(2012,12,18) + TIME(23,7,58)</f>
        <v>41261.963865740741</v>
      </c>
      <c r="C1176">
        <v>80</v>
      </c>
      <c r="D1176">
        <v>74.210510253999999</v>
      </c>
      <c r="E1176">
        <v>60</v>
      </c>
      <c r="F1176">
        <v>59.943645476999997</v>
      </c>
      <c r="G1176">
        <v>1330.09375</v>
      </c>
      <c r="H1176">
        <v>1329.6865233999999</v>
      </c>
      <c r="I1176">
        <v>1333.2066649999999</v>
      </c>
      <c r="J1176">
        <v>1332.2619629000001</v>
      </c>
      <c r="K1176">
        <v>0</v>
      </c>
      <c r="L1176">
        <v>550</v>
      </c>
      <c r="M1176">
        <v>550</v>
      </c>
      <c r="N1176">
        <v>0</v>
      </c>
    </row>
    <row r="1177" spans="1:14" x14ac:dyDescent="0.25">
      <c r="A1177">
        <v>965.14030300000002</v>
      </c>
      <c r="B1177" s="1">
        <f>DATE(2012,12,21) + TIME(3,22,2)</f>
        <v>41264.140300925923</v>
      </c>
      <c r="C1177">
        <v>80</v>
      </c>
      <c r="D1177">
        <v>73.899559021000002</v>
      </c>
      <c r="E1177">
        <v>60</v>
      </c>
      <c r="F1177">
        <v>59.943607329999999</v>
      </c>
      <c r="G1177">
        <v>1330.0718993999999</v>
      </c>
      <c r="H1177">
        <v>1329.6572266000001</v>
      </c>
      <c r="I1177">
        <v>1333.2060547000001</v>
      </c>
      <c r="J1177">
        <v>1332.2629394999999</v>
      </c>
      <c r="K1177">
        <v>0</v>
      </c>
      <c r="L1177">
        <v>550</v>
      </c>
      <c r="M1177">
        <v>550</v>
      </c>
      <c r="N1177">
        <v>0</v>
      </c>
    </row>
    <row r="1178" spans="1:14" x14ac:dyDescent="0.25">
      <c r="A1178">
        <v>967.42548999999997</v>
      </c>
      <c r="B1178" s="1">
        <f>DATE(2012,12,23) + TIME(10,12,42)</f>
        <v>41266.425486111111</v>
      </c>
      <c r="C1178">
        <v>80</v>
      </c>
      <c r="D1178">
        <v>73.576904296999999</v>
      </c>
      <c r="E1178">
        <v>60</v>
      </c>
      <c r="F1178">
        <v>59.943572998</v>
      </c>
      <c r="G1178">
        <v>1330.0501709</v>
      </c>
      <c r="H1178">
        <v>1329.6281738</v>
      </c>
      <c r="I1178">
        <v>1333.2054443</v>
      </c>
      <c r="J1178">
        <v>1332.2640381000001</v>
      </c>
      <c r="K1178">
        <v>0</v>
      </c>
      <c r="L1178">
        <v>550</v>
      </c>
      <c r="M1178">
        <v>550</v>
      </c>
      <c r="N1178">
        <v>0</v>
      </c>
    </row>
    <row r="1179" spans="1:14" x14ac:dyDescent="0.25">
      <c r="A1179">
        <v>969.87362700000006</v>
      </c>
      <c r="B1179" s="1">
        <f>DATE(2012,12,25) + TIME(20,58,1)</f>
        <v>41268.873622685183</v>
      </c>
      <c r="C1179">
        <v>80</v>
      </c>
      <c r="D1179">
        <v>73.238098144999995</v>
      </c>
      <c r="E1179">
        <v>60</v>
      </c>
      <c r="F1179">
        <v>59.943538666000002</v>
      </c>
      <c r="G1179">
        <v>1330.0284423999999</v>
      </c>
      <c r="H1179">
        <v>1329.5992432</v>
      </c>
      <c r="I1179">
        <v>1333.2049560999999</v>
      </c>
      <c r="J1179">
        <v>1332.2651367000001</v>
      </c>
      <c r="K1179">
        <v>0</v>
      </c>
      <c r="L1179">
        <v>550</v>
      </c>
      <c r="M1179">
        <v>550</v>
      </c>
      <c r="N1179">
        <v>0</v>
      </c>
    </row>
    <row r="1180" spans="1:14" x14ac:dyDescent="0.25">
      <c r="A1180">
        <v>972.52489100000003</v>
      </c>
      <c r="B1180" s="1">
        <f>DATE(2012,12,28) + TIME(12,35,50)</f>
        <v>41271.524884259263</v>
      </c>
      <c r="C1180">
        <v>80</v>
      </c>
      <c r="D1180">
        <v>72.878761291999993</v>
      </c>
      <c r="E1180">
        <v>60</v>
      </c>
      <c r="F1180">
        <v>59.943504333</v>
      </c>
      <c r="G1180">
        <v>1330.0063477000001</v>
      </c>
      <c r="H1180">
        <v>1329.5698242000001</v>
      </c>
      <c r="I1180">
        <v>1333.2044678</v>
      </c>
      <c r="J1180">
        <v>1332.2663574000001</v>
      </c>
      <c r="K1180">
        <v>0</v>
      </c>
      <c r="L1180">
        <v>550</v>
      </c>
      <c r="M1180">
        <v>550</v>
      </c>
      <c r="N1180">
        <v>0</v>
      </c>
    </row>
    <row r="1181" spans="1:14" x14ac:dyDescent="0.25">
      <c r="A1181">
        <v>975.35983599999997</v>
      </c>
      <c r="B1181" s="1">
        <f>DATE(2012,12,31) + TIME(8,38,9)</f>
        <v>41274.359826388885</v>
      </c>
      <c r="C1181">
        <v>80</v>
      </c>
      <c r="D1181">
        <v>72.498100281000006</v>
      </c>
      <c r="E1181">
        <v>60</v>
      </c>
      <c r="F1181">
        <v>59.943473816000001</v>
      </c>
      <c r="G1181">
        <v>1329.9836425999999</v>
      </c>
      <c r="H1181">
        <v>1329.5397949000001</v>
      </c>
      <c r="I1181">
        <v>1333.2041016000001</v>
      </c>
      <c r="J1181">
        <v>1332.2677002</v>
      </c>
      <c r="K1181">
        <v>0</v>
      </c>
      <c r="L1181">
        <v>550</v>
      </c>
      <c r="M1181">
        <v>550</v>
      </c>
      <c r="N1181">
        <v>0</v>
      </c>
    </row>
    <row r="1182" spans="1:14" x14ac:dyDescent="0.25">
      <c r="A1182">
        <v>976</v>
      </c>
      <c r="B1182" s="1">
        <f>DATE(2013,1,1) + TIME(0,0,0)</f>
        <v>41275</v>
      </c>
      <c r="C1182">
        <v>80</v>
      </c>
      <c r="D1182">
        <v>72.346359253000003</v>
      </c>
      <c r="E1182">
        <v>60</v>
      </c>
      <c r="F1182">
        <v>59.943443297999998</v>
      </c>
      <c r="G1182">
        <v>1329.9608154</v>
      </c>
      <c r="H1182">
        <v>1329.5106201000001</v>
      </c>
      <c r="I1182">
        <v>1333.2037353999999</v>
      </c>
      <c r="J1182">
        <v>1332.269043</v>
      </c>
      <c r="K1182">
        <v>0</v>
      </c>
      <c r="L1182">
        <v>550</v>
      </c>
      <c r="M1182">
        <v>550</v>
      </c>
      <c r="N1182">
        <v>0</v>
      </c>
    </row>
    <row r="1183" spans="1:14" x14ac:dyDescent="0.25">
      <c r="A1183">
        <v>978.86882900000001</v>
      </c>
      <c r="B1183" s="1">
        <f>DATE(2013,1,3) + TIME(20,51,6)</f>
        <v>41277.868819444448</v>
      </c>
      <c r="C1183">
        <v>80</v>
      </c>
      <c r="D1183">
        <v>71.986503600999995</v>
      </c>
      <c r="E1183">
        <v>60</v>
      </c>
      <c r="F1183">
        <v>59.943428040000001</v>
      </c>
      <c r="G1183">
        <v>1329.9532471</v>
      </c>
      <c r="H1183">
        <v>1329.4984131000001</v>
      </c>
      <c r="I1183">
        <v>1333.2036132999999</v>
      </c>
      <c r="J1183">
        <v>1332.2694091999999</v>
      </c>
      <c r="K1183">
        <v>0</v>
      </c>
      <c r="L1183">
        <v>550</v>
      </c>
      <c r="M1183">
        <v>550</v>
      </c>
      <c r="N1183">
        <v>0</v>
      </c>
    </row>
    <row r="1184" spans="1:14" x14ac:dyDescent="0.25">
      <c r="A1184">
        <v>981.82800599999996</v>
      </c>
      <c r="B1184" s="1">
        <f>DATE(2013,1,6) + TIME(19,52,19)</f>
        <v>41280.827997685185</v>
      </c>
      <c r="C1184">
        <v>80</v>
      </c>
      <c r="D1184">
        <v>71.599853515999996</v>
      </c>
      <c r="E1184">
        <v>60</v>
      </c>
      <c r="F1184">
        <v>59.943405151</v>
      </c>
      <c r="G1184">
        <v>1329.9317627</v>
      </c>
      <c r="H1184">
        <v>1329.4707031</v>
      </c>
      <c r="I1184">
        <v>1333.2032471</v>
      </c>
      <c r="J1184">
        <v>1332.2707519999999</v>
      </c>
      <c r="K1184">
        <v>0</v>
      </c>
      <c r="L1184">
        <v>550</v>
      </c>
      <c r="M1184">
        <v>550</v>
      </c>
      <c r="N1184">
        <v>0</v>
      </c>
    </row>
    <row r="1185" spans="1:14" x14ac:dyDescent="0.25">
      <c r="A1185">
        <v>984.89817600000003</v>
      </c>
      <c r="B1185" s="1">
        <f>DATE(2013,1,9) + TIME(21,33,22)</f>
        <v>41283.8981712963</v>
      </c>
      <c r="C1185">
        <v>80</v>
      </c>
      <c r="D1185">
        <v>71.195678710999999</v>
      </c>
      <c r="E1185">
        <v>60</v>
      </c>
      <c r="F1185">
        <v>59.943382262999997</v>
      </c>
      <c r="G1185">
        <v>1329.9102783000001</v>
      </c>
      <c r="H1185">
        <v>1329.4423827999999</v>
      </c>
      <c r="I1185">
        <v>1333.2030029</v>
      </c>
      <c r="J1185">
        <v>1332.2722168</v>
      </c>
      <c r="K1185">
        <v>0</v>
      </c>
      <c r="L1185">
        <v>550</v>
      </c>
      <c r="M1185">
        <v>550</v>
      </c>
      <c r="N1185">
        <v>0</v>
      </c>
    </row>
    <row r="1186" spans="1:14" x14ac:dyDescent="0.25">
      <c r="A1186">
        <v>988.11908900000003</v>
      </c>
      <c r="B1186" s="1">
        <f>DATE(2013,1,13) + TIME(2,51,29)</f>
        <v>41287.119085648148</v>
      </c>
      <c r="C1186">
        <v>80</v>
      </c>
      <c r="D1186">
        <v>70.775978088000002</v>
      </c>
      <c r="E1186">
        <v>60</v>
      </c>
      <c r="F1186">
        <v>59.943363189999999</v>
      </c>
      <c r="G1186">
        <v>1329.8886719</v>
      </c>
      <c r="H1186">
        <v>1329.4139404</v>
      </c>
      <c r="I1186">
        <v>1333.2027588000001</v>
      </c>
      <c r="J1186">
        <v>1332.2736815999999</v>
      </c>
      <c r="K1186">
        <v>0</v>
      </c>
      <c r="L1186">
        <v>550</v>
      </c>
      <c r="M1186">
        <v>550</v>
      </c>
      <c r="N1186">
        <v>0</v>
      </c>
    </row>
    <row r="1187" spans="1:14" x14ac:dyDescent="0.25">
      <c r="A1187">
        <v>991.59019999999998</v>
      </c>
      <c r="B1187" s="1">
        <f>DATE(2013,1,16) + TIME(14,9,53)</f>
        <v>41290.590196759258</v>
      </c>
      <c r="C1187">
        <v>80</v>
      </c>
      <c r="D1187">
        <v>70.336227417000003</v>
      </c>
      <c r="E1187">
        <v>60</v>
      </c>
      <c r="F1187">
        <v>59.943347930999998</v>
      </c>
      <c r="G1187">
        <v>1329.8671875</v>
      </c>
      <c r="H1187">
        <v>1329.3854980000001</v>
      </c>
      <c r="I1187">
        <v>1333.2026367000001</v>
      </c>
      <c r="J1187">
        <v>1332.2752685999999</v>
      </c>
      <c r="K1187">
        <v>0</v>
      </c>
      <c r="L1187">
        <v>550</v>
      </c>
      <c r="M1187">
        <v>550</v>
      </c>
      <c r="N1187">
        <v>0</v>
      </c>
    </row>
    <row r="1188" spans="1:14" x14ac:dyDescent="0.25">
      <c r="A1188">
        <v>995.26560900000004</v>
      </c>
      <c r="B1188" s="1">
        <f>DATE(2013,1,20) + TIME(6,22,28)</f>
        <v>41294.265601851854</v>
      </c>
      <c r="C1188">
        <v>80</v>
      </c>
      <c r="D1188">
        <v>69.874893188000001</v>
      </c>
      <c r="E1188">
        <v>60</v>
      </c>
      <c r="F1188">
        <v>59.943332671999997</v>
      </c>
      <c r="G1188">
        <v>1329.8453368999999</v>
      </c>
      <c r="H1188">
        <v>1329.3569336</v>
      </c>
      <c r="I1188">
        <v>1333.2025146000001</v>
      </c>
      <c r="J1188">
        <v>1332.2768555</v>
      </c>
      <c r="K1188">
        <v>0</v>
      </c>
      <c r="L1188">
        <v>550</v>
      </c>
      <c r="M1188">
        <v>550</v>
      </c>
      <c r="N1188">
        <v>0</v>
      </c>
    </row>
    <row r="1189" spans="1:14" x14ac:dyDescent="0.25">
      <c r="A1189">
        <v>999.30199800000003</v>
      </c>
      <c r="B1189" s="1">
        <f>DATE(2013,1,24) + TIME(7,14,52)</f>
        <v>41298.301990740743</v>
      </c>
      <c r="C1189">
        <v>80</v>
      </c>
      <c r="D1189">
        <v>69.385658264</v>
      </c>
      <c r="E1189">
        <v>60</v>
      </c>
      <c r="F1189">
        <v>59.943325043000002</v>
      </c>
      <c r="G1189">
        <v>1329.8234863</v>
      </c>
      <c r="H1189">
        <v>1329.328125</v>
      </c>
      <c r="I1189">
        <v>1333.2023925999999</v>
      </c>
      <c r="J1189">
        <v>1332.2785644999999</v>
      </c>
      <c r="K1189">
        <v>0</v>
      </c>
      <c r="L1189">
        <v>550</v>
      </c>
      <c r="M1189">
        <v>550</v>
      </c>
      <c r="N1189">
        <v>0</v>
      </c>
    </row>
    <row r="1190" spans="1:14" x14ac:dyDescent="0.25">
      <c r="A1190">
        <v>1003.717621</v>
      </c>
      <c r="B1190" s="1">
        <f>DATE(2013,1,28) + TIME(17,13,22)</f>
        <v>41302.717615740738</v>
      </c>
      <c r="C1190">
        <v>80</v>
      </c>
      <c r="D1190">
        <v>68.861618042000003</v>
      </c>
      <c r="E1190">
        <v>60</v>
      </c>
      <c r="F1190">
        <v>59.943325043000002</v>
      </c>
      <c r="G1190">
        <v>1329.8011475000001</v>
      </c>
      <c r="H1190">
        <v>1329.2988281</v>
      </c>
      <c r="I1190">
        <v>1333.2022704999999</v>
      </c>
      <c r="J1190">
        <v>1332.2802733999999</v>
      </c>
      <c r="K1190">
        <v>0</v>
      </c>
      <c r="L1190">
        <v>550</v>
      </c>
      <c r="M1190">
        <v>550</v>
      </c>
      <c r="N1190">
        <v>0</v>
      </c>
    </row>
    <row r="1191" spans="1:14" x14ac:dyDescent="0.25">
      <c r="A1191">
        <v>1007</v>
      </c>
      <c r="B1191" s="1">
        <f>DATE(2013,2,1) + TIME(0,0,0)</f>
        <v>41306</v>
      </c>
      <c r="C1191">
        <v>80</v>
      </c>
      <c r="D1191">
        <v>68.372604370000005</v>
      </c>
      <c r="E1191">
        <v>60</v>
      </c>
      <c r="F1191">
        <v>59.943298339999998</v>
      </c>
      <c r="G1191">
        <v>1329.7780762</v>
      </c>
      <c r="H1191">
        <v>1329.2691649999999</v>
      </c>
      <c r="I1191">
        <v>1333.2022704999999</v>
      </c>
      <c r="J1191">
        <v>1332.2822266000001</v>
      </c>
      <c r="K1191">
        <v>0</v>
      </c>
      <c r="L1191">
        <v>550</v>
      </c>
      <c r="M1191">
        <v>550</v>
      </c>
      <c r="N1191">
        <v>0</v>
      </c>
    </row>
    <row r="1192" spans="1:14" x14ac:dyDescent="0.25">
      <c r="A1192">
        <v>1011.451291</v>
      </c>
      <c r="B1192" s="1">
        <f>DATE(2013,2,5) + TIME(10,49,51)</f>
        <v>41310.451284722221</v>
      </c>
      <c r="C1192">
        <v>80</v>
      </c>
      <c r="D1192">
        <v>67.876480103000006</v>
      </c>
      <c r="E1192">
        <v>60</v>
      </c>
      <c r="F1192">
        <v>59.943313599</v>
      </c>
      <c r="G1192">
        <v>1329.7597656</v>
      </c>
      <c r="H1192">
        <v>1329.2434082</v>
      </c>
      <c r="I1192">
        <v>1333.2022704999999</v>
      </c>
      <c r="J1192">
        <v>1332.2835693</v>
      </c>
      <c r="K1192">
        <v>0</v>
      </c>
      <c r="L1192">
        <v>550</v>
      </c>
      <c r="M1192">
        <v>550</v>
      </c>
      <c r="N1192">
        <v>0</v>
      </c>
    </row>
    <row r="1193" spans="1:14" x14ac:dyDescent="0.25">
      <c r="A1193">
        <v>1016.02345</v>
      </c>
      <c r="B1193" s="1">
        <f>DATE(2013,2,10) + TIME(0,33,46)</f>
        <v>41315.023449074077</v>
      </c>
      <c r="C1193">
        <v>80</v>
      </c>
      <c r="D1193">
        <v>67.340339661000002</v>
      </c>
      <c r="E1193">
        <v>60</v>
      </c>
      <c r="F1193">
        <v>59.943325043000002</v>
      </c>
      <c r="G1193">
        <v>1329.7395019999999</v>
      </c>
      <c r="H1193">
        <v>1329.2172852000001</v>
      </c>
      <c r="I1193">
        <v>1333.2023925999999</v>
      </c>
      <c r="J1193">
        <v>1332.2855225000001</v>
      </c>
      <c r="K1193">
        <v>0</v>
      </c>
      <c r="L1193">
        <v>550</v>
      </c>
      <c r="M1193">
        <v>550</v>
      </c>
      <c r="N1193">
        <v>0</v>
      </c>
    </row>
    <row r="1194" spans="1:14" x14ac:dyDescent="0.25">
      <c r="A1194">
        <v>1020.871188</v>
      </c>
      <c r="B1194" s="1">
        <f>DATE(2013,2,14) + TIME(20,54,30)</f>
        <v>41319.871180555558</v>
      </c>
      <c r="C1194">
        <v>80</v>
      </c>
      <c r="D1194">
        <v>66.781517029</v>
      </c>
      <c r="E1194">
        <v>60</v>
      </c>
      <c r="F1194">
        <v>59.943340302000003</v>
      </c>
      <c r="G1194">
        <v>1329.7193603999999</v>
      </c>
      <c r="H1194">
        <v>1329.190918</v>
      </c>
      <c r="I1194">
        <v>1333.2023925999999</v>
      </c>
      <c r="J1194">
        <v>1332.2873535000001</v>
      </c>
      <c r="K1194">
        <v>0</v>
      </c>
      <c r="L1194">
        <v>550</v>
      </c>
      <c r="M1194">
        <v>550</v>
      </c>
      <c r="N1194">
        <v>0</v>
      </c>
    </row>
    <row r="1195" spans="1:14" x14ac:dyDescent="0.25">
      <c r="A1195">
        <v>1025.9542919999999</v>
      </c>
      <c r="B1195" s="1">
        <f>DATE(2013,2,19) + TIME(22,54,10)</f>
        <v>41324.954282407409</v>
      </c>
      <c r="C1195">
        <v>80</v>
      </c>
      <c r="D1195">
        <v>66.201293945000003</v>
      </c>
      <c r="E1195">
        <v>60</v>
      </c>
      <c r="F1195">
        <v>59.943359375</v>
      </c>
      <c r="G1195">
        <v>1329.6994629000001</v>
      </c>
      <c r="H1195">
        <v>1329.1647949000001</v>
      </c>
      <c r="I1195">
        <v>1333.2025146000001</v>
      </c>
      <c r="J1195">
        <v>1332.2891846</v>
      </c>
      <c r="K1195">
        <v>0</v>
      </c>
      <c r="L1195">
        <v>550</v>
      </c>
      <c r="M1195">
        <v>550</v>
      </c>
      <c r="N1195">
        <v>0</v>
      </c>
    </row>
    <row r="1196" spans="1:14" x14ac:dyDescent="0.25">
      <c r="A1196">
        <v>1031.4683259999999</v>
      </c>
      <c r="B1196" s="1">
        <f>DATE(2013,2,25) + TIME(11,14,23)</f>
        <v>41330.468321759261</v>
      </c>
      <c r="C1196">
        <v>80</v>
      </c>
      <c r="D1196">
        <v>65.596778869999994</v>
      </c>
      <c r="E1196">
        <v>60</v>
      </c>
      <c r="F1196">
        <v>59.943386078000003</v>
      </c>
      <c r="G1196">
        <v>1329.6801757999999</v>
      </c>
      <c r="H1196">
        <v>1329.1392822</v>
      </c>
      <c r="I1196">
        <v>1333.2027588000001</v>
      </c>
      <c r="J1196">
        <v>1332.2910156</v>
      </c>
      <c r="K1196">
        <v>0</v>
      </c>
      <c r="L1196">
        <v>550</v>
      </c>
      <c r="M1196">
        <v>550</v>
      </c>
      <c r="N1196">
        <v>0</v>
      </c>
    </row>
    <row r="1197" spans="1:14" x14ac:dyDescent="0.25">
      <c r="A1197">
        <v>1035</v>
      </c>
      <c r="B1197" s="1">
        <f>DATE(2013,3,1) + TIME(0,0,0)</f>
        <v>41334</v>
      </c>
      <c r="C1197">
        <v>80</v>
      </c>
      <c r="D1197">
        <v>65.060600281000006</v>
      </c>
      <c r="E1197">
        <v>60</v>
      </c>
      <c r="F1197">
        <v>59.943374634000001</v>
      </c>
      <c r="G1197">
        <v>1329.6607666</v>
      </c>
      <c r="H1197">
        <v>1329.1143798999999</v>
      </c>
      <c r="I1197">
        <v>1333.2027588000001</v>
      </c>
      <c r="J1197">
        <v>1332.2929687999999</v>
      </c>
      <c r="K1197">
        <v>0</v>
      </c>
      <c r="L1197">
        <v>550</v>
      </c>
      <c r="M1197">
        <v>550</v>
      </c>
      <c r="N1197">
        <v>0</v>
      </c>
    </row>
    <row r="1198" spans="1:14" x14ac:dyDescent="0.25">
      <c r="A1198">
        <v>1041.0796829999999</v>
      </c>
      <c r="B1198" s="1">
        <f>DATE(2013,3,7) + TIME(1,54,44)</f>
        <v>41340.079675925925</v>
      </c>
      <c r="C1198">
        <v>80</v>
      </c>
      <c r="D1198">
        <v>64.522010803000001</v>
      </c>
      <c r="E1198">
        <v>60</v>
      </c>
      <c r="F1198">
        <v>59.943435669000003</v>
      </c>
      <c r="G1198">
        <v>1329.6469727000001</v>
      </c>
      <c r="H1198">
        <v>1329.0939940999999</v>
      </c>
      <c r="I1198">
        <v>1333.2026367000001</v>
      </c>
      <c r="J1198">
        <v>1332.2940673999999</v>
      </c>
      <c r="K1198">
        <v>0</v>
      </c>
      <c r="L1198">
        <v>550</v>
      </c>
      <c r="M1198">
        <v>550</v>
      </c>
      <c r="N1198">
        <v>0</v>
      </c>
    </row>
    <row r="1199" spans="1:14" x14ac:dyDescent="0.25">
      <c r="A1199">
        <v>1047.987081</v>
      </c>
      <c r="B1199" s="1">
        <f>DATE(2013,3,13) + TIME(23,41,23)</f>
        <v>41346.987071759257</v>
      </c>
      <c r="C1199">
        <v>80</v>
      </c>
      <c r="D1199">
        <v>63.869434357000003</v>
      </c>
      <c r="E1199">
        <v>60</v>
      </c>
      <c r="F1199">
        <v>59.943492888999998</v>
      </c>
      <c r="G1199">
        <v>1329.630249</v>
      </c>
      <c r="H1199">
        <v>1329.0731201000001</v>
      </c>
      <c r="I1199">
        <v>1333.2025146000001</v>
      </c>
      <c r="J1199">
        <v>1332.2958983999999</v>
      </c>
      <c r="K1199">
        <v>0</v>
      </c>
      <c r="L1199">
        <v>550</v>
      </c>
      <c r="M1199">
        <v>550</v>
      </c>
      <c r="N1199">
        <v>0</v>
      </c>
    </row>
    <row r="1200" spans="1:14" x14ac:dyDescent="0.25">
      <c r="A1200">
        <v>1055.2599319999999</v>
      </c>
      <c r="B1200" s="1">
        <f>DATE(2013,3,21) + TIME(6,14,18)</f>
        <v>41354.259930555556</v>
      </c>
      <c r="C1200">
        <v>80</v>
      </c>
      <c r="D1200">
        <v>63.153907775999997</v>
      </c>
      <c r="E1200">
        <v>60</v>
      </c>
      <c r="F1200">
        <v>59.943546294999997</v>
      </c>
      <c r="G1200">
        <v>1329.6121826000001</v>
      </c>
      <c r="H1200">
        <v>1329.0499268000001</v>
      </c>
      <c r="I1200">
        <v>1333.2025146000001</v>
      </c>
      <c r="J1200">
        <v>1332.2979736</v>
      </c>
      <c r="K1200">
        <v>0</v>
      </c>
      <c r="L1200">
        <v>550</v>
      </c>
      <c r="M1200">
        <v>550</v>
      </c>
      <c r="N1200">
        <v>0</v>
      </c>
    </row>
    <row r="1201" spans="1:14" x14ac:dyDescent="0.25">
      <c r="A1201">
        <v>1062.680926</v>
      </c>
      <c r="B1201" s="1">
        <f>DATE(2013,3,28) + TIME(16,20,31)</f>
        <v>41361.680914351855</v>
      </c>
      <c r="C1201">
        <v>80</v>
      </c>
      <c r="D1201">
        <v>62.426441193000002</v>
      </c>
      <c r="E1201">
        <v>60</v>
      </c>
      <c r="F1201">
        <v>59.943603516000003</v>
      </c>
      <c r="G1201">
        <v>1329.5944824000001</v>
      </c>
      <c r="H1201">
        <v>1329.0266113</v>
      </c>
      <c r="I1201">
        <v>1333.2026367000001</v>
      </c>
      <c r="J1201">
        <v>1332.3000488</v>
      </c>
      <c r="K1201">
        <v>0</v>
      </c>
      <c r="L1201">
        <v>550</v>
      </c>
      <c r="M1201">
        <v>550</v>
      </c>
      <c r="N1201">
        <v>0</v>
      </c>
    </row>
    <row r="1202" spans="1:14" x14ac:dyDescent="0.25">
      <c r="A1202">
        <v>1066</v>
      </c>
      <c r="B1202" s="1">
        <f>DATE(2013,4,1) + TIME(0,0,0)</f>
        <v>41365</v>
      </c>
      <c r="C1202">
        <v>80</v>
      </c>
      <c r="D1202">
        <v>61.877944946</v>
      </c>
      <c r="E1202">
        <v>60</v>
      </c>
      <c r="F1202">
        <v>59.943588257000002</v>
      </c>
      <c r="G1202">
        <v>1329.5777588000001</v>
      </c>
      <c r="H1202">
        <v>1329.0051269999999</v>
      </c>
      <c r="I1202">
        <v>1333.2028809000001</v>
      </c>
      <c r="J1202">
        <v>1332.302124</v>
      </c>
      <c r="K1202">
        <v>0</v>
      </c>
      <c r="L1202">
        <v>550</v>
      </c>
      <c r="M1202">
        <v>550</v>
      </c>
      <c r="N1202">
        <v>0</v>
      </c>
    </row>
    <row r="1203" spans="1:14" x14ac:dyDescent="0.25">
      <c r="A1203">
        <v>1073.7241140000001</v>
      </c>
      <c r="B1203" s="1">
        <f>DATE(2013,4,8) + TIME(17,22,43)</f>
        <v>41372.724108796298</v>
      </c>
      <c r="C1203">
        <v>80</v>
      </c>
      <c r="D1203">
        <v>61.359634399000001</v>
      </c>
      <c r="E1203">
        <v>60</v>
      </c>
      <c r="F1203">
        <v>59.943702698000003</v>
      </c>
      <c r="G1203">
        <v>1329.5688477000001</v>
      </c>
      <c r="H1203">
        <v>1328.9903564000001</v>
      </c>
      <c r="I1203">
        <v>1333.2030029</v>
      </c>
      <c r="J1203">
        <v>1332.3029785000001</v>
      </c>
      <c r="K1203">
        <v>0</v>
      </c>
      <c r="L1203">
        <v>550</v>
      </c>
      <c r="M1203">
        <v>550</v>
      </c>
      <c r="N1203">
        <v>0</v>
      </c>
    </row>
    <row r="1204" spans="1:14" x14ac:dyDescent="0.25">
      <c r="A1204">
        <v>1082.301156</v>
      </c>
      <c r="B1204" s="1">
        <f>DATE(2013,4,17) + TIME(7,13,39)</f>
        <v>41381.301145833335</v>
      </c>
      <c r="C1204">
        <v>80</v>
      </c>
      <c r="D1204">
        <v>60.718929291000002</v>
      </c>
      <c r="E1204">
        <v>60</v>
      </c>
      <c r="F1204">
        <v>59.943805695000002</v>
      </c>
      <c r="G1204">
        <v>1329.5567627</v>
      </c>
      <c r="H1204">
        <v>1328.9755858999999</v>
      </c>
      <c r="I1204">
        <v>1333.2032471</v>
      </c>
      <c r="J1204">
        <v>1332.3050536999999</v>
      </c>
      <c r="K1204">
        <v>0</v>
      </c>
      <c r="L1204">
        <v>550</v>
      </c>
      <c r="M1204">
        <v>550</v>
      </c>
      <c r="N1204">
        <v>0</v>
      </c>
    </row>
    <row r="1205" spans="1:14" x14ac:dyDescent="0.25">
      <c r="A1205">
        <v>1090.8781980000001</v>
      </c>
      <c r="B1205" s="1">
        <f>DATE(2013,4,25) + TIME(21,4,36)</f>
        <v>41389.878194444442</v>
      </c>
      <c r="C1205">
        <v>80</v>
      </c>
      <c r="D1205">
        <v>60.061782837000003</v>
      </c>
      <c r="E1205">
        <v>60</v>
      </c>
      <c r="F1205">
        <v>59.943901062000002</v>
      </c>
      <c r="G1205">
        <v>1329.5440673999999</v>
      </c>
      <c r="H1205">
        <v>1328.9592285000001</v>
      </c>
      <c r="I1205">
        <v>1333.2034911999999</v>
      </c>
      <c r="J1205">
        <v>1332.3071289</v>
      </c>
      <c r="K1205">
        <v>0</v>
      </c>
      <c r="L1205">
        <v>550</v>
      </c>
      <c r="M1205">
        <v>550</v>
      </c>
      <c r="N1205">
        <v>0</v>
      </c>
    </row>
    <row r="1206" spans="1:14" x14ac:dyDescent="0.25">
      <c r="A1206">
        <v>1096</v>
      </c>
      <c r="B1206" s="1">
        <f>DATE(2013,5,1) + TIME(0,0,0)</f>
        <v>41395</v>
      </c>
      <c r="C1206">
        <v>80</v>
      </c>
      <c r="D1206">
        <v>59.530693053999997</v>
      </c>
      <c r="E1206">
        <v>60</v>
      </c>
      <c r="F1206">
        <v>59.943923949999999</v>
      </c>
      <c r="G1206">
        <v>1329.5323486</v>
      </c>
      <c r="H1206">
        <v>1328.9438477000001</v>
      </c>
      <c r="I1206">
        <v>1333.2038574000001</v>
      </c>
      <c r="J1206">
        <v>1332.3092041</v>
      </c>
      <c r="K1206">
        <v>0</v>
      </c>
      <c r="L1206">
        <v>550</v>
      </c>
      <c r="M1206">
        <v>550</v>
      </c>
      <c r="N1206">
        <v>0</v>
      </c>
    </row>
    <row r="1207" spans="1:14" x14ac:dyDescent="0.25">
      <c r="A1207">
        <v>1096.0000010000001</v>
      </c>
      <c r="B1207" s="1">
        <f>DATE(2013,5,1) + TIME(0,0,0)</f>
        <v>41395</v>
      </c>
      <c r="C1207">
        <v>80</v>
      </c>
      <c r="D1207">
        <v>59.530735016000001</v>
      </c>
      <c r="E1207">
        <v>60</v>
      </c>
      <c r="F1207">
        <v>59.943901062000002</v>
      </c>
      <c r="G1207">
        <v>1330.3747559000001</v>
      </c>
      <c r="H1207">
        <v>1329.7615966999999</v>
      </c>
      <c r="I1207">
        <v>1332.1315918</v>
      </c>
      <c r="J1207">
        <v>1332.0999756000001</v>
      </c>
      <c r="K1207">
        <v>550</v>
      </c>
      <c r="L1207">
        <v>0</v>
      </c>
      <c r="M1207">
        <v>0</v>
      </c>
      <c r="N1207">
        <v>550</v>
      </c>
    </row>
    <row r="1208" spans="1:14" x14ac:dyDescent="0.25">
      <c r="A1208">
        <v>1096.000004</v>
      </c>
      <c r="B1208" s="1">
        <f>DATE(2013,5,1) + TIME(0,0,0)</f>
        <v>41395</v>
      </c>
      <c r="C1208">
        <v>80</v>
      </c>
      <c r="D1208">
        <v>59.530803679999998</v>
      </c>
      <c r="E1208">
        <v>60</v>
      </c>
      <c r="F1208">
        <v>59.943866730000003</v>
      </c>
      <c r="G1208">
        <v>1330.6676024999999</v>
      </c>
      <c r="H1208">
        <v>1330.0876464999999</v>
      </c>
      <c r="I1208">
        <v>1331.8720702999999</v>
      </c>
      <c r="J1208">
        <v>1331.8459473</v>
      </c>
      <c r="K1208">
        <v>550</v>
      </c>
      <c r="L1208">
        <v>0</v>
      </c>
      <c r="M1208">
        <v>0</v>
      </c>
      <c r="N1208">
        <v>550</v>
      </c>
    </row>
    <row r="1209" spans="1:14" x14ac:dyDescent="0.25">
      <c r="A1209">
        <v>1096.0000130000001</v>
      </c>
      <c r="B1209" s="1">
        <f>DATE(2013,5,1) + TIME(0,0,1)</f>
        <v>41395.000011574077</v>
      </c>
      <c r="C1209">
        <v>80</v>
      </c>
      <c r="D1209">
        <v>59.530925750999998</v>
      </c>
      <c r="E1209">
        <v>60</v>
      </c>
      <c r="F1209">
        <v>59.943828582999998</v>
      </c>
      <c r="G1209">
        <v>1331.0321045000001</v>
      </c>
      <c r="H1209">
        <v>1330.4456786999999</v>
      </c>
      <c r="I1209">
        <v>1331.5831298999999</v>
      </c>
      <c r="J1209">
        <v>1331.5460204999999</v>
      </c>
      <c r="K1209">
        <v>550</v>
      </c>
      <c r="L1209">
        <v>0</v>
      </c>
      <c r="M1209">
        <v>0</v>
      </c>
      <c r="N1209">
        <v>550</v>
      </c>
    </row>
    <row r="1210" spans="1:14" x14ac:dyDescent="0.25">
      <c r="A1210">
        <v>1096.0000399999999</v>
      </c>
      <c r="B1210" s="1">
        <f>DATE(2013,5,1) + TIME(0,0,3)</f>
        <v>41395.000034722223</v>
      </c>
      <c r="C1210">
        <v>80</v>
      </c>
      <c r="D1210">
        <v>59.531219481999997</v>
      </c>
      <c r="E1210">
        <v>60</v>
      </c>
      <c r="F1210">
        <v>59.943786621000001</v>
      </c>
      <c r="G1210">
        <v>1331.4055175999999</v>
      </c>
      <c r="H1210">
        <v>1330.8010254000001</v>
      </c>
      <c r="I1210">
        <v>1331.2919922000001</v>
      </c>
      <c r="J1210">
        <v>1331.2384033000001</v>
      </c>
      <c r="K1210">
        <v>550</v>
      </c>
      <c r="L1210">
        <v>0</v>
      </c>
      <c r="M1210">
        <v>0</v>
      </c>
      <c r="N1210">
        <v>550</v>
      </c>
    </row>
    <row r="1211" spans="1:14" x14ac:dyDescent="0.25">
      <c r="A1211">
        <v>1096.000121</v>
      </c>
      <c r="B1211" s="1">
        <f>DATE(2013,5,1) + TIME(0,0,10)</f>
        <v>41395.000115740739</v>
      </c>
      <c r="C1211">
        <v>80</v>
      </c>
      <c r="D1211">
        <v>59.532016753999997</v>
      </c>
      <c r="E1211">
        <v>60</v>
      </c>
      <c r="F1211">
        <v>59.943748474000003</v>
      </c>
      <c r="G1211">
        <v>1331.7589111</v>
      </c>
      <c r="H1211">
        <v>1331.1348877</v>
      </c>
      <c r="I1211">
        <v>1331.0070800999999</v>
      </c>
      <c r="J1211">
        <v>1330.9339600000001</v>
      </c>
      <c r="K1211">
        <v>550</v>
      </c>
      <c r="L1211">
        <v>0</v>
      </c>
      <c r="M1211">
        <v>0</v>
      </c>
      <c r="N1211">
        <v>550</v>
      </c>
    </row>
    <row r="1212" spans="1:14" x14ac:dyDescent="0.25">
      <c r="A1212">
        <v>1096.000364</v>
      </c>
      <c r="B1212" s="1">
        <f>DATE(2013,5,1) + TIME(0,0,31)</f>
        <v>41395.000358796293</v>
      </c>
      <c r="C1212">
        <v>80</v>
      </c>
      <c r="D1212">
        <v>59.534389496000003</v>
      </c>
      <c r="E1212">
        <v>60</v>
      </c>
      <c r="F1212">
        <v>59.943702698000003</v>
      </c>
      <c r="G1212">
        <v>1332.0516356999999</v>
      </c>
      <c r="H1212">
        <v>1331.40625</v>
      </c>
      <c r="I1212">
        <v>1330.7628173999999</v>
      </c>
      <c r="J1212">
        <v>1330.6697998</v>
      </c>
      <c r="K1212">
        <v>550</v>
      </c>
      <c r="L1212">
        <v>0</v>
      </c>
      <c r="M1212">
        <v>0</v>
      </c>
      <c r="N1212">
        <v>550</v>
      </c>
    </row>
    <row r="1213" spans="1:14" x14ac:dyDescent="0.25">
      <c r="A1213">
        <v>1096.0010930000001</v>
      </c>
      <c r="B1213" s="1">
        <f>DATE(2013,5,1) + TIME(0,1,34)</f>
        <v>41395.001087962963</v>
      </c>
      <c r="C1213">
        <v>80</v>
      </c>
      <c r="D1213">
        <v>59.541591644</v>
      </c>
      <c r="E1213">
        <v>60</v>
      </c>
      <c r="F1213">
        <v>59.943645476999997</v>
      </c>
      <c r="G1213">
        <v>1332.2398682</v>
      </c>
      <c r="H1213">
        <v>1331.5788574000001</v>
      </c>
      <c r="I1213">
        <v>1330.5972899999999</v>
      </c>
      <c r="J1213">
        <v>1330.4913329999999</v>
      </c>
      <c r="K1213">
        <v>550</v>
      </c>
      <c r="L1213">
        <v>0</v>
      </c>
      <c r="M1213">
        <v>0</v>
      </c>
      <c r="N1213">
        <v>550</v>
      </c>
    </row>
    <row r="1214" spans="1:14" x14ac:dyDescent="0.25">
      <c r="A1214">
        <v>1096.0032799999999</v>
      </c>
      <c r="B1214" s="1">
        <f>DATE(2013,5,1) + TIME(0,4,43)</f>
        <v>41395.003275462965</v>
      </c>
      <c r="C1214">
        <v>80</v>
      </c>
      <c r="D1214">
        <v>59.563343048</v>
      </c>
      <c r="E1214">
        <v>60</v>
      </c>
      <c r="F1214">
        <v>59.943527222</v>
      </c>
      <c r="G1214">
        <v>1332.3327637</v>
      </c>
      <c r="H1214">
        <v>1331.6652832</v>
      </c>
      <c r="I1214">
        <v>1330.5102539</v>
      </c>
      <c r="J1214">
        <v>1330.3992920000001</v>
      </c>
      <c r="K1214">
        <v>550</v>
      </c>
      <c r="L1214">
        <v>0</v>
      </c>
      <c r="M1214">
        <v>0</v>
      </c>
      <c r="N1214">
        <v>550</v>
      </c>
    </row>
    <row r="1215" spans="1:14" x14ac:dyDescent="0.25">
      <c r="A1215">
        <v>1096.0098410000001</v>
      </c>
      <c r="B1215" s="1">
        <f>DATE(2013,5,1) + TIME(0,14,10)</f>
        <v>41395.009837962964</v>
      </c>
      <c r="C1215">
        <v>80</v>
      </c>
      <c r="D1215">
        <v>59.628551483000003</v>
      </c>
      <c r="E1215">
        <v>60</v>
      </c>
      <c r="F1215">
        <v>59.943202972000002</v>
      </c>
      <c r="G1215">
        <v>1332.3684082</v>
      </c>
      <c r="H1215">
        <v>1331.6995850000001</v>
      </c>
      <c r="I1215">
        <v>1330.4804687999999</v>
      </c>
      <c r="J1215">
        <v>1330.3680420000001</v>
      </c>
      <c r="K1215">
        <v>550</v>
      </c>
      <c r="L1215">
        <v>0</v>
      </c>
      <c r="M1215">
        <v>0</v>
      </c>
      <c r="N1215">
        <v>550</v>
      </c>
    </row>
    <row r="1216" spans="1:14" x14ac:dyDescent="0.25">
      <c r="A1216">
        <v>1096.029524</v>
      </c>
      <c r="B1216" s="1">
        <f>DATE(2013,5,1) + TIME(0,42,30)</f>
        <v>41395.029513888891</v>
      </c>
      <c r="C1216">
        <v>80</v>
      </c>
      <c r="D1216">
        <v>59.822624206999997</v>
      </c>
      <c r="E1216">
        <v>60</v>
      </c>
      <c r="F1216">
        <v>59.942241668999998</v>
      </c>
      <c r="G1216">
        <v>1332.3776855000001</v>
      </c>
      <c r="H1216">
        <v>1331.7094727000001</v>
      </c>
      <c r="I1216">
        <v>1330.4765625</v>
      </c>
      <c r="J1216">
        <v>1330.3637695</v>
      </c>
      <c r="K1216">
        <v>550</v>
      </c>
      <c r="L1216">
        <v>0</v>
      </c>
      <c r="M1216">
        <v>0</v>
      </c>
      <c r="N1216">
        <v>550</v>
      </c>
    </row>
    <row r="1217" spans="1:14" x14ac:dyDescent="0.25">
      <c r="A1217">
        <v>1096.088573</v>
      </c>
      <c r="B1217" s="1">
        <f>DATE(2013,5,1) + TIME(2,7,32)</f>
        <v>41395.088564814818</v>
      </c>
      <c r="C1217">
        <v>80</v>
      </c>
      <c r="D1217">
        <v>60.390514373999999</v>
      </c>
      <c r="E1217">
        <v>60</v>
      </c>
      <c r="F1217">
        <v>59.939365387000002</v>
      </c>
      <c r="G1217">
        <v>1332.3800048999999</v>
      </c>
      <c r="H1217">
        <v>1331.7141113</v>
      </c>
      <c r="I1217">
        <v>1330.4759521000001</v>
      </c>
      <c r="J1217">
        <v>1330.3624268000001</v>
      </c>
      <c r="K1217">
        <v>550</v>
      </c>
      <c r="L1217">
        <v>0</v>
      </c>
      <c r="M1217">
        <v>0</v>
      </c>
      <c r="N1217">
        <v>550</v>
      </c>
    </row>
    <row r="1218" spans="1:14" x14ac:dyDescent="0.25">
      <c r="A1218">
        <v>1096.1651959999999</v>
      </c>
      <c r="B1218" s="1">
        <f>DATE(2013,5,1) + TIME(3,57,52)</f>
        <v>41395.165185185186</v>
      </c>
      <c r="C1218">
        <v>80</v>
      </c>
      <c r="D1218">
        <v>61.115421294999997</v>
      </c>
      <c r="E1218">
        <v>60</v>
      </c>
      <c r="F1218">
        <v>59.935623169000003</v>
      </c>
      <c r="G1218">
        <v>1332.4060059000001</v>
      </c>
      <c r="H1218">
        <v>1331.7324219</v>
      </c>
      <c r="I1218">
        <v>1330.4738769999999</v>
      </c>
      <c r="J1218">
        <v>1330.3586425999999</v>
      </c>
      <c r="K1218">
        <v>550</v>
      </c>
      <c r="L1218">
        <v>0</v>
      </c>
      <c r="M1218">
        <v>0</v>
      </c>
      <c r="N1218">
        <v>550</v>
      </c>
    </row>
    <row r="1219" spans="1:14" x14ac:dyDescent="0.25">
      <c r="A1219">
        <v>1096.2433980000001</v>
      </c>
      <c r="B1219" s="1">
        <f>DATE(2013,5,1) + TIME(5,50,29)</f>
        <v>41395.243391203701</v>
      </c>
      <c r="C1219">
        <v>80</v>
      </c>
      <c r="D1219">
        <v>61.847904204999999</v>
      </c>
      <c r="E1219">
        <v>60</v>
      </c>
      <c r="F1219">
        <v>59.931797027999998</v>
      </c>
      <c r="G1219">
        <v>1332.4450684000001</v>
      </c>
      <c r="H1219">
        <v>1331.7583007999999</v>
      </c>
      <c r="I1219">
        <v>1330.4714355000001</v>
      </c>
      <c r="J1219">
        <v>1330.354126</v>
      </c>
      <c r="K1219">
        <v>550</v>
      </c>
      <c r="L1219">
        <v>0</v>
      </c>
      <c r="M1219">
        <v>0</v>
      </c>
      <c r="N1219">
        <v>550</v>
      </c>
    </row>
    <row r="1220" spans="1:14" x14ac:dyDescent="0.25">
      <c r="A1220">
        <v>1096.3232869999999</v>
      </c>
      <c r="B1220" s="1">
        <f>DATE(2013,5,1) + TIME(7,45,31)</f>
        <v>41395.323275462964</v>
      </c>
      <c r="C1220">
        <v>80</v>
      </c>
      <c r="D1220">
        <v>62.587585449000002</v>
      </c>
      <c r="E1220">
        <v>60</v>
      </c>
      <c r="F1220">
        <v>59.927871703999998</v>
      </c>
      <c r="G1220">
        <v>1332.4858397999999</v>
      </c>
      <c r="H1220">
        <v>1331.7854004000001</v>
      </c>
      <c r="I1220">
        <v>1330.4689940999999</v>
      </c>
      <c r="J1220">
        <v>1330.3494873</v>
      </c>
      <c r="K1220">
        <v>550</v>
      </c>
      <c r="L1220">
        <v>0</v>
      </c>
      <c r="M1220">
        <v>0</v>
      </c>
      <c r="N1220">
        <v>550</v>
      </c>
    </row>
    <row r="1221" spans="1:14" x14ac:dyDescent="0.25">
      <c r="A1221">
        <v>1096.404933</v>
      </c>
      <c r="B1221" s="1">
        <f>DATE(2013,5,1) + TIME(9,43,6)</f>
        <v>41395.404930555553</v>
      </c>
      <c r="C1221">
        <v>80</v>
      </c>
      <c r="D1221">
        <v>63.333488463999998</v>
      </c>
      <c r="E1221">
        <v>60</v>
      </c>
      <c r="F1221">
        <v>59.923851012999997</v>
      </c>
      <c r="G1221">
        <v>1332.5283202999999</v>
      </c>
      <c r="H1221">
        <v>1331.8135986</v>
      </c>
      <c r="I1221">
        <v>1330.4665527</v>
      </c>
      <c r="J1221">
        <v>1330.3449707</v>
      </c>
      <c r="K1221">
        <v>550</v>
      </c>
      <c r="L1221">
        <v>0</v>
      </c>
      <c r="M1221">
        <v>0</v>
      </c>
      <c r="N1221">
        <v>550</v>
      </c>
    </row>
    <row r="1222" spans="1:14" x14ac:dyDescent="0.25">
      <c r="A1222">
        <v>1096.488417</v>
      </c>
      <c r="B1222" s="1">
        <f>DATE(2013,5,1) + TIME(11,43,19)</f>
        <v>41395.48841435185</v>
      </c>
      <c r="C1222">
        <v>80</v>
      </c>
      <c r="D1222">
        <v>64.084487914999997</v>
      </c>
      <c r="E1222">
        <v>60</v>
      </c>
      <c r="F1222">
        <v>59.919727324999997</v>
      </c>
      <c r="G1222">
        <v>1332.5723877</v>
      </c>
      <c r="H1222">
        <v>1331.8430175999999</v>
      </c>
      <c r="I1222">
        <v>1330.4642334</v>
      </c>
      <c r="J1222">
        <v>1330.340332</v>
      </c>
      <c r="K1222">
        <v>550</v>
      </c>
      <c r="L1222">
        <v>0</v>
      </c>
      <c r="M1222">
        <v>0</v>
      </c>
      <c r="N1222">
        <v>550</v>
      </c>
    </row>
    <row r="1223" spans="1:14" x14ac:dyDescent="0.25">
      <c r="A1223">
        <v>1096.5738220000001</v>
      </c>
      <c r="B1223" s="1">
        <f>DATE(2013,5,1) + TIME(13,46,18)</f>
        <v>41395.573819444442</v>
      </c>
      <c r="C1223">
        <v>80</v>
      </c>
      <c r="D1223">
        <v>64.839271545000003</v>
      </c>
      <c r="E1223">
        <v>60</v>
      </c>
      <c r="F1223">
        <v>59.915493011000002</v>
      </c>
      <c r="G1223">
        <v>1332.6180420000001</v>
      </c>
      <c r="H1223">
        <v>1331.8732910000001</v>
      </c>
      <c r="I1223">
        <v>1330.4617920000001</v>
      </c>
      <c r="J1223">
        <v>1330.3356934000001</v>
      </c>
      <c r="K1223">
        <v>550</v>
      </c>
      <c r="L1223">
        <v>0</v>
      </c>
      <c r="M1223">
        <v>0</v>
      </c>
      <c r="N1223">
        <v>550</v>
      </c>
    </row>
    <row r="1224" spans="1:14" x14ac:dyDescent="0.25">
      <c r="A1224">
        <v>1096.6612439999999</v>
      </c>
      <c r="B1224" s="1">
        <f>DATE(2013,5,1) + TIME(15,52,11)</f>
        <v>41395.661238425928</v>
      </c>
      <c r="C1224">
        <v>80</v>
      </c>
      <c r="D1224">
        <v>65.596481323000006</v>
      </c>
      <c r="E1224">
        <v>60</v>
      </c>
      <c r="F1224">
        <v>59.911148071</v>
      </c>
      <c r="G1224">
        <v>1332.6651611</v>
      </c>
      <c r="H1224">
        <v>1331.9046631000001</v>
      </c>
      <c r="I1224">
        <v>1330.4594727000001</v>
      </c>
      <c r="J1224">
        <v>1330.3311768000001</v>
      </c>
      <c r="K1224">
        <v>550</v>
      </c>
      <c r="L1224">
        <v>0</v>
      </c>
      <c r="M1224">
        <v>0</v>
      </c>
      <c r="N1224">
        <v>550</v>
      </c>
    </row>
    <row r="1225" spans="1:14" x14ac:dyDescent="0.25">
      <c r="A1225">
        <v>1096.750781</v>
      </c>
      <c r="B1225" s="1">
        <f>DATE(2013,5,1) + TIME(18,1,7)</f>
        <v>41395.750775462962</v>
      </c>
      <c r="C1225">
        <v>80</v>
      </c>
      <c r="D1225">
        <v>66.354301453000005</v>
      </c>
      <c r="E1225">
        <v>60</v>
      </c>
      <c r="F1225">
        <v>59.906688690000003</v>
      </c>
      <c r="G1225">
        <v>1332.7136230000001</v>
      </c>
      <c r="H1225">
        <v>1331.9370117000001</v>
      </c>
      <c r="I1225">
        <v>1330.4570312000001</v>
      </c>
      <c r="J1225">
        <v>1330.3265381000001</v>
      </c>
      <c r="K1225">
        <v>550</v>
      </c>
      <c r="L1225">
        <v>0</v>
      </c>
      <c r="M1225">
        <v>0</v>
      </c>
      <c r="N1225">
        <v>550</v>
      </c>
    </row>
    <row r="1226" spans="1:14" x14ac:dyDescent="0.25">
      <c r="A1226">
        <v>1096.842535</v>
      </c>
      <c r="B1226" s="1">
        <f>DATE(2013,5,1) + TIME(20,13,15)</f>
        <v>41395.842534722222</v>
      </c>
      <c r="C1226">
        <v>80</v>
      </c>
      <c r="D1226">
        <v>67.110740661999998</v>
      </c>
      <c r="E1226">
        <v>60</v>
      </c>
      <c r="F1226">
        <v>59.902103424000003</v>
      </c>
      <c r="G1226">
        <v>1332.7631836</v>
      </c>
      <c r="H1226">
        <v>1331.9700928</v>
      </c>
      <c r="I1226">
        <v>1330.4547118999999</v>
      </c>
      <c r="J1226">
        <v>1330.3218993999999</v>
      </c>
      <c r="K1226">
        <v>550</v>
      </c>
      <c r="L1226">
        <v>0</v>
      </c>
      <c r="M1226">
        <v>0</v>
      </c>
      <c r="N1226">
        <v>550</v>
      </c>
    </row>
    <row r="1227" spans="1:14" x14ac:dyDescent="0.25">
      <c r="A1227">
        <v>1096.936625</v>
      </c>
      <c r="B1227" s="1">
        <f>DATE(2013,5,1) + TIME(22,28,44)</f>
        <v>41395.936620370368</v>
      </c>
      <c r="C1227">
        <v>80</v>
      </c>
      <c r="D1227">
        <v>67.863746642999999</v>
      </c>
      <c r="E1227">
        <v>60</v>
      </c>
      <c r="F1227">
        <v>59.897392273000001</v>
      </c>
      <c r="G1227">
        <v>1332.8139647999999</v>
      </c>
      <c r="H1227">
        <v>1332.0040283000001</v>
      </c>
      <c r="I1227">
        <v>1330.4523925999999</v>
      </c>
      <c r="J1227">
        <v>1330.3172606999999</v>
      </c>
      <c r="K1227">
        <v>550</v>
      </c>
      <c r="L1227">
        <v>0</v>
      </c>
      <c r="M1227">
        <v>0</v>
      </c>
      <c r="N1227">
        <v>550</v>
      </c>
    </row>
    <row r="1228" spans="1:14" x14ac:dyDescent="0.25">
      <c r="A1228">
        <v>1097.033193</v>
      </c>
      <c r="B1228" s="1">
        <f>DATE(2013,5,2) + TIME(0,47,47)</f>
        <v>41396.033182870371</v>
      </c>
      <c r="C1228">
        <v>80</v>
      </c>
      <c r="D1228">
        <v>68.611183166999993</v>
      </c>
      <c r="E1228">
        <v>60</v>
      </c>
      <c r="F1228">
        <v>59.892543793000002</v>
      </c>
      <c r="G1228">
        <v>1332.8656006000001</v>
      </c>
      <c r="H1228">
        <v>1332.0385742000001</v>
      </c>
      <c r="I1228">
        <v>1330.4499512</v>
      </c>
      <c r="J1228">
        <v>1330.3125</v>
      </c>
      <c r="K1228">
        <v>550</v>
      </c>
      <c r="L1228">
        <v>0</v>
      </c>
      <c r="M1228">
        <v>0</v>
      </c>
      <c r="N1228">
        <v>550</v>
      </c>
    </row>
    <row r="1229" spans="1:14" x14ac:dyDescent="0.25">
      <c r="A1229">
        <v>1097.132382</v>
      </c>
      <c r="B1229" s="1">
        <f>DATE(2013,5,2) + TIME(3,10,37)</f>
        <v>41396.132372685184</v>
      </c>
      <c r="C1229">
        <v>80</v>
      </c>
      <c r="D1229">
        <v>69.350700377999999</v>
      </c>
      <c r="E1229">
        <v>60</v>
      </c>
      <c r="F1229">
        <v>59.887550353999998</v>
      </c>
      <c r="G1229">
        <v>1332.9182129000001</v>
      </c>
      <c r="H1229">
        <v>1332.0738524999999</v>
      </c>
      <c r="I1229">
        <v>1330.4476318</v>
      </c>
      <c r="J1229">
        <v>1330.3078613</v>
      </c>
      <c r="K1229">
        <v>550</v>
      </c>
      <c r="L1229">
        <v>0</v>
      </c>
      <c r="M1229">
        <v>0</v>
      </c>
      <c r="N1229">
        <v>550</v>
      </c>
    </row>
    <row r="1230" spans="1:14" x14ac:dyDescent="0.25">
      <c r="A1230">
        <v>1097.2343470000001</v>
      </c>
      <c r="B1230" s="1">
        <f>DATE(2013,5,2) + TIME(5,37,27)</f>
        <v>41396.234340277777</v>
      </c>
      <c r="C1230">
        <v>80</v>
      </c>
      <c r="D1230">
        <v>70.079772949000002</v>
      </c>
      <c r="E1230">
        <v>60</v>
      </c>
      <c r="F1230">
        <v>59.882408142000003</v>
      </c>
      <c r="G1230">
        <v>1332.9714355000001</v>
      </c>
      <c r="H1230">
        <v>1332.1094971</v>
      </c>
      <c r="I1230">
        <v>1330.4451904</v>
      </c>
      <c r="J1230">
        <v>1330.3031006000001</v>
      </c>
      <c r="K1230">
        <v>550</v>
      </c>
      <c r="L1230">
        <v>0</v>
      </c>
      <c r="M1230">
        <v>0</v>
      </c>
      <c r="N1230">
        <v>550</v>
      </c>
    </row>
    <row r="1231" spans="1:14" x14ac:dyDescent="0.25">
      <c r="A1231">
        <v>1097.339262</v>
      </c>
      <c r="B1231" s="1">
        <f>DATE(2013,5,2) + TIME(8,8,32)</f>
        <v>41396.339259259257</v>
      </c>
      <c r="C1231">
        <v>80</v>
      </c>
      <c r="D1231">
        <v>70.795440674000005</v>
      </c>
      <c r="E1231">
        <v>60</v>
      </c>
      <c r="F1231">
        <v>59.877101897999999</v>
      </c>
      <c r="G1231">
        <v>1333.0251464999999</v>
      </c>
      <c r="H1231">
        <v>1332.1456298999999</v>
      </c>
      <c r="I1231">
        <v>1330.4428711</v>
      </c>
      <c r="J1231">
        <v>1330.2983397999999</v>
      </c>
      <c r="K1231">
        <v>550</v>
      </c>
      <c r="L1231">
        <v>0</v>
      </c>
      <c r="M1231">
        <v>0</v>
      </c>
      <c r="N1231">
        <v>550</v>
      </c>
    </row>
    <row r="1232" spans="1:14" x14ac:dyDescent="0.25">
      <c r="A1232">
        <v>1097.4473149999999</v>
      </c>
      <c r="B1232" s="1">
        <f>DATE(2013,5,2) + TIME(10,44,7)</f>
        <v>41396.44730324074</v>
      </c>
      <c r="C1232">
        <v>80</v>
      </c>
      <c r="D1232">
        <v>71.495567321999999</v>
      </c>
      <c r="E1232">
        <v>60</v>
      </c>
      <c r="F1232">
        <v>59.871631622000002</v>
      </c>
      <c r="G1232">
        <v>1333.0793457</v>
      </c>
      <c r="H1232">
        <v>1332.1821289</v>
      </c>
      <c r="I1232">
        <v>1330.4404297000001</v>
      </c>
      <c r="J1232">
        <v>1330.293457</v>
      </c>
      <c r="K1232">
        <v>550</v>
      </c>
      <c r="L1232">
        <v>0</v>
      </c>
      <c r="M1232">
        <v>0</v>
      </c>
      <c r="N1232">
        <v>550</v>
      </c>
    </row>
    <row r="1233" spans="1:14" x14ac:dyDescent="0.25">
      <c r="A1233">
        <v>1097.55871</v>
      </c>
      <c r="B1233" s="1">
        <f>DATE(2013,5,2) + TIME(13,24,32)</f>
        <v>41396.558703703704</v>
      </c>
      <c r="C1233">
        <v>80</v>
      </c>
      <c r="D1233">
        <v>72.177543639999996</v>
      </c>
      <c r="E1233">
        <v>60</v>
      </c>
      <c r="F1233">
        <v>59.865978241000001</v>
      </c>
      <c r="G1233">
        <v>1333.1337891000001</v>
      </c>
      <c r="H1233">
        <v>1332.2188721</v>
      </c>
      <c r="I1233">
        <v>1330.4379882999999</v>
      </c>
      <c r="J1233">
        <v>1330.2886963000001</v>
      </c>
      <c r="K1233">
        <v>550</v>
      </c>
      <c r="L1233">
        <v>0</v>
      </c>
      <c r="M1233">
        <v>0</v>
      </c>
      <c r="N1233">
        <v>550</v>
      </c>
    </row>
    <row r="1234" spans="1:14" x14ac:dyDescent="0.25">
      <c r="A1234">
        <v>1097.6736739999999</v>
      </c>
      <c r="B1234" s="1">
        <f>DATE(2013,5,2) + TIME(16,10,5)</f>
        <v>41396.673668981479</v>
      </c>
      <c r="C1234">
        <v>80</v>
      </c>
      <c r="D1234">
        <v>72.838806152000004</v>
      </c>
      <c r="E1234">
        <v>60</v>
      </c>
      <c r="F1234">
        <v>59.860137938999998</v>
      </c>
      <c r="G1234">
        <v>1333.1883545000001</v>
      </c>
      <c r="H1234">
        <v>1332.2556152</v>
      </c>
      <c r="I1234">
        <v>1330.4355469</v>
      </c>
      <c r="J1234">
        <v>1330.2836914</v>
      </c>
      <c r="K1234">
        <v>550</v>
      </c>
      <c r="L1234">
        <v>0</v>
      </c>
      <c r="M1234">
        <v>0</v>
      </c>
      <c r="N1234">
        <v>550</v>
      </c>
    </row>
    <row r="1235" spans="1:14" x14ac:dyDescent="0.25">
      <c r="A1235">
        <v>1097.7924559999999</v>
      </c>
      <c r="B1235" s="1">
        <f>DATE(2013,5,2) + TIME(19,1,8)</f>
        <v>41396.792453703703</v>
      </c>
      <c r="C1235">
        <v>80</v>
      </c>
      <c r="D1235">
        <v>73.476844787999994</v>
      </c>
      <c r="E1235">
        <v>60</v>
      </c>
      <c r="F1235">
        <v>59.854091644</v>
      </c>
      <c r="G1235">
        <v>1333.2427978999999</v>
      </c>
      <c r="H1235">
        <v>1332.2923584</v>
      </c>
      <c r="I1235">
        <v>1330.4329834</v>
      </c>
      <c r="J1235">
        <v>1330.2788086</v>
      </c>
      <c r="K1235">
        <v>550</v>
      </c>
      <c r="L1235">
        <v>0</v>
      </c>
      <c r="M1235">
        <v>0</v>
      </c>
      <c r="N1235">
        <v>550</v>
      </c>
    </row>
    <row r="1236" spans="1:14" x14ac:dyDescent="0.25">
      <c r="A1236">
        <v>1097.915344</v>
      </c>
      <c r="B1236" s="1">
        <f>DATE(2013,5,2) + TIME(21,58,5)</f>
        <v>41396.915335648147</v>
      </c>
      <c r="C1236">
        <v>80</v>
      </c>
      <c r="D1236">
        <v>74.089363098000007</v>
      </c>
      <c r="E1236">
        <v>60</v>
      </c>
      <c r="F1236">
        <v>59.847827911000003</v>
      </c>
      <c r="G1236">
        <v>1333.2969971</v>
      </c>
      <c r="H1236">
        <v>1332.3289795000001</v>
      </c>
      <c r="I1236">
        <v>1330.4304199000001</v>
      </c>
      <c r="J1236">
        <v>1330.2736815999999</v>
      </c>
      <c r="K1236">
        <v>550</v>
      </c>
      <c r="L1236">
        <v>0</v>
      </c>
      <c r="M1236">
        <v>0</v>
      </c>
      <c r="N1236">
        <v>550</v>
      </c>
    </row>
    <row r="1237" spans="1:14" x14ac:dyDescent="0.25">
      <c r="A1237">
        <v>1098.0426809999999</v>
      </c>
      <c r="B1237" s="1">
        <f>DATE(2013,5,3) + TIME(1,1,27)</f>
        <v>41397.042673611111</v>
      </c>
      <c r="C1237">
        <v>80</v>
      </c>
      <c r="D1237">
        <v>74.674308776999993</v>
      </c>
      <c r="E1237">
        <v>60</v>
      </c>
      <c r="F1237">
        <v>59.841331482000001</v>
      </c>
      <c r="G1237">
        <v>1333.3505858999999</v>
      </c>
      <c r="H1237">
        <v>1332.3652344</v>
      </c>
      <c r="I1237">
        <v>1330.4278564000001</v>
      </c>
      <c r="J1237">
        <v>1330.2685547000001</v>
      </c>
      <c r="K1237">
        <v>550</v>
      </c>
      <c r="L1237">
        <v>0</v>
      </c>
      <c r="M1237">
        <v>0</v>
      </c>
      <c r="N1237">
        <v>550</v>
      </c>
    </row>
    <row r="1238" spans="1:14" x14ac:dyDescent="0.25">
      <c r="A1238">
        <v>1098.1747620000001</v>
      </c>
      <c r="B1238" s="1">
        <f>DATE(2013,5,3) + TIME(4,11,39)</f>
        <v>41397.174756944441</v>
      </c>
      <c r="C1238">
        <v>80</v>
      </c>
      <c r="D1238">
        <v>75.229301453000005</v>
      </c>
      <c r="E1238">
        <v>60</v>
      </c>
      <c r="F1238">
        <v>59.834583281999997</v>
      </c>
      <c r="G1238">
        <v>1333.4036865</v>
      </c>
      <c r="H1238">
        <v>1332.4011230000001</v>
      </c>
      <c r="I1238">
        <v>1330.4251709</v>
      </c>
      <c r="J1238">
        <v>1330.2634277</v>
      </c>
      <c r="K1238">
        <v>550</v>
      </c>
      <c r="L1238">
        <v>0</v>
      </c>
      <c r="M1238">
        <v>0</v>
      </c>
      <c r="N1238">
        <v>550</v>
      </c>
    </row>
    <row r="1239" spans="1:14" x14ac:dyDescent="0.25">
      <c r="A1239">
        <v>1098.311966</v>
      </c>
      <c r="B1239" s="1">
        <f>DATE(2013,5,3) + TIME(7,29,13)</f>
        <v>41397.311956018515</v>
      </c>
      <c r="C1239">
        <v>80</v>
      </c>
      <c r="D1239">
        <v>75.752387999999996</v>
      </c>
      <c r="E1239">
        <v>60</v>
      </c>
      <c r="F1239">
        <v>59.827571869000003</v>
      </c>
      <c r="G1239">
        <v>1333.4547118999999</v>
      </c>
      <c r="H1239">
        <v>1332.4356689000001</v>
      </c>
      <c r="I1239">
        <v>1330.4223632999999</v>
      </c>
      <c r="J1239">
        <v>1330.2580565999999</v>
      </c>
      <c r="K1239">
        <v>550</v>
      </c>
      <c r="L1239">
        <v>0</v>
      </c>
      <c r="M1239">
        <v>0</v>
      </c>
      <c r="N1239">
        <v>550</v>
      </c>
    </row>
    <row r="1240" spans="1:14" x14ac:dyDescent="0.25">
      <c r="A1240">
        <v>1098.4548540000001</v>
      </c>
      <c r="B1240" s="1">
        <f>DATE(2013,5,3) + TIME(10,54,59)</f>
        <v>41397.45484953704</v>
      </c>
      <c r="C1240">
        <v>80</v>
      </c>
      <c r="D1240">
        <v>76.242614746000001</v>
      </c>
      <c r="E1240">
        <v>60</v>
      </c>
      <c r="F1240">
        <v>59.820266724</v>
      </c>
      <c r="G1240">
        <v>1333.5031738</v>
      </c>
      <c r="H1240">
        <v>1332.4683838000001</v>
      </c>
      <c r="I1240">
        <v>1330.4194336</v>
      </c>
      <c r="J1240">
        <v>1330.2526855000001</v>
      </c>
      <c r="K1240">
        <v>550</v>
      </c>
      <c r="L1240">
        <v>0</v>
      </c>
      <c r="M1240">
        <v>0</v>
      </c>
      <c r="N1240">
        <v>550</v>
      </c>
    </row>
    <row r="1241" spans="1:14" x14ac:dyDescent="0.25">
      <c r="A1241">
        <v>1098.604106</v>
      </c>
      <c r="B1241" s="1">
        <f>DATE(2013,5,3) + TIME(14,29,54)</f>
        <v>41397.604097222225</v>
      </c>
      <c r="C1241">
        <v>80</v>
      </c>
      <c r="D1241">
        <v>76.699211121000005</v>
      </c>
      <c r="E1241">
        <v>60</v>
      </c>
      <c r="F1241">
        <v>59.812637328999998</v>
      </c>
      <c r="G1241">
        <v>1333.5484618999999</v>
      </c>
      <c r="H1241">
        <v>1332.4991454999999</v>
      </c>
      <c r="I1241">
        <v>1330.4162598</v>
      </c>
      <c r="J1241">
        <v>1330.2471923999999</v>
      </c>
      <c r="K1241">
        <v>550</v>
      </c>
      <c r="L1241">
        <v>0</v>
      </c>
      <c r="M1241">
        <v>0</v>
      </c>
      <c r="N1241">
        <v>550</v>
      </c>
    </row>
    <row r="1242" spans="1:14" x14ac:dyDescent="0.25">
      <c r="A1242">
        <v>1098.7605410000001</v>
      </c>
      <c r="B1242" s="1">
        <f>DATE(2013,5,3) + TIME(18,15,10)</f>
        <v>41397.76053240741</v>
      </c>
      <c r="C1242">
        <v>80</v>
      </c>
      <c r="D1242">
        <v>77.121795653999996</v>
      </c>
      <c r="E1242">
        <v>60</v>
      </c>
      <c r="F1242">
        <v>59.804645538000003</v>
      </c>
      <c r="G1242">
        <v>1333.5908202999999</v>
      </c>
      <c r="H1242">
        <v>1332.527832</v>
      </c>
      <c r="I1242">
        <v>1330.4130858999999</v>
      </c>
      <c r="J1242">
        <v>1330.2414550999999</v>
      </c>
      <c r="K1242">
        <v>550</v>
      </c>
      <c r="L1242">
        <v>0</v>
      </c>
      <c r="M1242">
        <v>0</v>
      </c>
      <c r="N1242">
        <v>550</v>
      </c>
    </row>
    <row r="1243" spans="1:14" x14ac:dyDescent="0.25">
      <c r="A1243">
        <v>1098.925076</v>
      </c>
      <c r="B1243" s="1">
        <f>DATE(2013,5,3) + TIME(22,12,6)</f>
        <v>41397.925069444442</v>
      </c>
      <c r="C1243">
        <v>80</v>
      </c>
      <c r="D1243">
        <v>77.510208129999995</v>
      </c>
      <c r="E1243">
        <v>60</v>
      </c>
      <c r="F1243">
        <v>59.796245575</v>
      </c>
      <c r="G1243">
        <v>1333.6304932</v>
      </c>
      <c r="H1243">
        <v>1332.5546875</v>
      </c>
      <c r="I1243">
        <v>1330.409668</v>
      </c>
      <c r="J1243">
        <v>1330.2355957</v>
      </c>
      <c r="K1243">
        <v>550</v>
      </c>
      <c r="L1243">
        <v>0</v>
      </c>
      <c r="M1243">
        <v>0</v>
      </c>
      <c r="N1243">
        <v>550</v>
      </c>
    </row>
    <row r="1244" spans="1:14" x14ac:dyDescent="0.25">
      <c r="A1244">
        <v>1099.09871</v>
      </c>
      <c r="B1244" s="1">
        <f>DATE(2013,5,4) + TIME(2,22,8)</f>
        <v>41398.098703703705</v>
      </c>
      <c r="C1244">
        <v>80</v>
      </c>
      <c r="D1244">
        <v>77.864341736</v>
      </c>
      <c r="E1244">
        <v>60</v>
      </c>
      <c r="F1244">
        <v>59.787391663000001</v>
      </c>
      <c r="G1244">
        <v>1333.6661377</v>
      </c>
      <c r="H1244">
        <v>1332.5788574000001</v>
      </c>
      <c r="I1244">
        <v>1330.4060059000001</v>
      </c>
      <c r="J1244">
        <v>1330.2294922000001</v>
      </c>
      <c r="K1244">
        <v>550</v>
      </c>
      <c r="L1244">
        <v>0</v>
      </c>
      <c r="M1244">
        <v>0</v>
      </c>
      <c r="N1244">
        <v>550</v>
      </c>
    </row>
    <row r="1245" spans="1:14" x14ac:dyDescent="0.25">
      <c r="A1245">
        <v>1099.282854</v>
      </c>
      <c r="B1245" s="1">
        <f>DATE(2013,5,4) + TIME(6,47,18)</f>
        <v>41398.282847222225</v>
      </c>
      <c r="C1245">
        <v>80</v>
      </c>
      <c r="D1245">
        <v>78.185035705999994</v>
      </c>
      <c r="E1245">
        <v>60</v>
      </c>
      <c r="F1245">
        <v>59.778015136999997</v>
      </c>
      <c r="G1245">
        <v>1333.7003173999999</v>
      </c>
      <c r="H1245">
        <v>1332.6021728999999</v>
      </c>
      <c r="I1245">
        <v>1330.4023437999999</v>
      </c>
      <c r="J1245">
        <v>1330.2232666</v>
      </c>
      <c r="K1245">
        <v>550</v>
      </c>
      <c r="L1245">
        <v>0</v>
      </c>
      <c r="M1245">
        <v>0</v>
      </c>
      <c r="N1245">
        <v>550</v>
      </c>
    </row>
    <row r="1246" spans="1:14" x14ac:dyDescent="0.25">
      <c r="A1246">
        <v>1099.478615</v>
      </c>
      <c r="B1246" s="1">
        <f>DATE(2013,5,4) + TIME(11,29,12)</f>
        <v>41398.47861111111</v>
      </c>
      <c r="C1246">
        <v>80</v>
      </c>
      <c r="D1246">
        <v>78.472282410000005</v>
      </c>
      <c r="E1246">
        <v>60</v>
      </c>
      <c r="F1246">
        <v>59.768070221000002</v>
      </c>
      <c r="G1246">
        <v>1333.7298584</v>
      </c>
      <c r="H1246">
        <v>1332.6224365</v>
      </c>
      <c r="I1246">
        <v>1330.3983154</v>
      </c>
      <c r="J1246">
        <v>1330.2166748</v>
      </c>
      <c r="K1246">
        <v>550</v>
      </c>
      <c r="L1246">
        <v>0</v>
      </c>
      <c r="M1246">
        <v>0</v>
      </c>
      <c r="N1246">
        <v>550</v>
      </c>
    </row>
    <row r="1247" spans="1:14" x14ac:dyDescent="0.25">
      <c r="A1247">
        <v>1099.688179</v>
      </c>
      <c r="B1247" s="1">
        <f>DATE(2013,5,4) + TIME(16,30,58)</f>
        <v>41398.688171296293</v>
      </c>
      <c r="C1247">
        <v>80</v>
      </c>
      <c r="D1247">
        <v>78.727661132999998</v>
      </c>
      <c r="E1247">
        <v>60</v>
      </c>
      <c r="F1247">
        <v>59.757457733000003</v>
      </c>
      <c r="G1247">
        <v>1333.7565918</v>
      </c>
      <c r="H1247">
        <v>1332.6407471</v>
      </c>
      <c r="I1247">
        <v>1330.394043</v>
      </c>
      <c r="J1247">
        <v>1330.2099608999999</v>
      </c>
      <c r="K1247">
        <v>550</v>
      </c>
      <c r="L1247">
        <v>0</v>
      </c>
      <c r="M1247">
        <v>0</v>
      </c>
      <c r="N1247">
        <v>550</v>
      </c>
    </row>
    <row r="1248" spans="1:14" x14ac:dyDescent="0.25">
      <c r="A1248">
        <v>1099.9134819999999</v>
      </c>
      <c r="B1248" s="1">
        <f>DATE(2013,5,4) + TIME(21,55,24)</f>
        <v>41398.913472222222</v>
      </c>
      <c r="C1248">
        <v>80</v>
      </c>
      <c r="D1248">
        <v>78.952239989999995</v>
      </c>
      <c r="E1248">
        <v>60</v>
      </c>
      <c r="F1248">
        <v>59.746082305999998</v>
      </c>
      <c r="G1248">
        <v>1333.7821045000001</v>
      </c>
      <c r="H1248">
        <v>1332.6584473</v>
      </c>
      <c r="I1248">
        <v>1330.3896483999999</v>
      </c>
      <c r="J1248">
        <v>1330.2028809000001</v>
      </c>
      <c r="K1248">
        <v>550</v>
      </c>
      <c r="L1248">
        <v>0</v>
      </c>
      <c r="M1248">
        <v>0</v>
      </c>
      <c r="N1248">
        <v>550</v>
      </c>
    </row>
    <row r="1249" spans="1:14" x14ac:dyDescent="0.25">
      <c r="A1249">
        <v>1100.1564499999999</v>
      </c>
      <c r="B1249" s="1">
        <f>DATE(2013,5,5) + TIME(3,45,17)</f>
        <v>41399.156446759262</v>
      </c>
      <c r="C1249">
        <v>80</v>
      </c>
      <c r="D1249">
        <v>79.147102356000005</v>
      </c>
      <c r="E1249">
        <v>60</v>
      </c>
      <c r="F1249">
        <v>59.733863831000001</v>
      </c>
      <c r="G1249">
        <v>1333.8061522999999</v>
      </c>
      <c r="H1249">
        <v>1332.6751709</v>
      </c>
      <c r="I1249">
        <v>1330.3850098</v>
      </c>
      <c r="J1249">
        <v>1330.1954346</v>
      </c>
      <c r="K1249">
        <v>550</v>
      </c>
      <c r="L1249">
        <v>0</v>
      </c>
      <c r="M1249">
        <v>0</v>
      </c>
      <c r="N1249">
        <v>550</v>
      </c>
    </row>
    <row r="1250" spans="1:14" x14ac:dyDescent="0.25">
      <c r="A1250">
        <v>1100.412814</v>
      </c>
      <c r="B1250" s="1">
        <f>DATE(2013,5,5) + TIME(9,54,27)</f>
        <v>41399.412812499999</v>
      </c>
      <c r="C1250">
        <v>80</v>
      </c>
      <c r="D1250">
        <v>79.310249329000001</v>
      </c>
      <c r="E1250">
        <v>60</v>
      </c>
      <c r="F1250">
        <v>59.721019745</v>
      </c>
      <c r="G1250">
        <v>1333.8239745999999</v>
      </c>
      <c r="H1250">
        <v>1332.6878661999999</v>
      </c>
      <c r="I1250">
        <v>1330.3800048999999</v>
      </c>
      <c r="J1250">
        <v>1330.1876221</v>
      </c>
      <c r="K1250">
        <v>550</v>
      </c>
      <c r="L1250">
        <v>0</v>
      </c>
      <c r="M1250">
        <v>0</v>
      </c>
      <c r="N1250">
        <v>550</v>
      </c>
    </row>
    <row r="1251" spans="1:14" x14ac:dyDescent="0.25">
      <c r="A1251">
        <v>1100.6714480000001</v>
      </c>
      <c r="B1251" s="1">
        <f>DATE(2013,5,5) + TIME(16,6,53)</f>
        <v>41399.671446759261</v>
      </c>
      <c r="C1251">
        <v>80</v>
      </c>
      <c r="D1251">
        <v>79.440498352000006</v>
      </c>
      <c r="E1251">
        <v>60</v>
      </c>
      <c r="F1251">
        <v>59.708095551</v>
      </c>
      <c r="G1251">
        <v>1333.8399658000001</v>
      </c>
      <c r="H1251">
        <v>1332.6994629000001</v>
      </c>
      <c r="I1251">
        <v>1330.375</v>
      </c>
      <c r="J1251">
        <v>1330.1796875</v>
      </c>
      <c r="K1251">
        <v>550</v>
      </c>
      <c r="L1251">
        <v>0</v>
      </c>
      <c r="M1251">
        <v>0</v>
      </c>
      <c r="N1251">
        <v>550</v>
      </c>
    </row>
    <row r="1252" spans="1:14" x14ac:dyDescent="0.25">
      <c r="A1252">
        <v>1100.9339809999999</v>
      </c>
      <c r="B1252" s="1">
        <f>DATE(2013,5,5) + TIME(22,24,55)</f>
        <v>41399.933969907404</v>
      </c>
      <c r="C1252">
        <v>80</v>
      </c>
      <c r="D1252">
        <v>79.544715881000002</v>
      </c>
      <c r="E1252">
        <v>60</v>
      </c>
      <c r="F1252">
        <v>59.695018767999997</v>
      </c>
      <c r="G1252">
        <v>1333.8536377</v>
      </c>
      <c r="H1252">
        <v>1332.7097168</v>
      </c>
      <c r="I1252">
        <v>1330.3698730000001</v>
      </c>
      <c r="J1252">
        <v>1330.171875</v>
      </c>
      <c r="K1252">
        <v>550</v>
      </c>
      <c r="L1252">
        <v>0</v>
      </c>
      <c r="M1252">
        <v>0</v>
      </c>
      <c r="N1252">
        <v>550</v>
      </c>
    </row>
    <row r="1253" spans="1:14" x14ac:dyDescent="0.25">
      <c r="A1253">
        <v>1101.2014019999999</v>
      </c>
      <c r="B1253" s="1">
        <f>DATE(2013,5,6) + TIME(4,50,1)</f>
        <v>41400.20140046296</v>
      </c>
      <c r="C1253">
        <v>80</v>
      </c>
      <c r="D1253">
        <v>79.628051757999998</v>
      </c>
      <c r="E1253">
        <v>60</v>
      </c>
      <c r="F1253">
        <v>59.681739807</v>
      </c>
      <c r="G1253">
        <v>1333.8654785000001</v>
      </c>
      <c r="H1253">
        <v>1332.71875</v>
      </c>
      <c r="I1253">
        <v>1330.3648682</v>
      </c>
      <c r="J1253">
        <v>1330.1640625</v>
      </c>
      <c r="K1253">
        <v>550</v>
      </c>
      <c r="L1253">
        <v>0</v>
      </c>
      <c r="M1253">
        <v>0</v>
      </c>
      <c r="N1253">
        <v>550</v>
      </c>
    </row>
    <row r="1254" spans="1:14" x14ac:dyDescent="0.25">
      <c r="A1254">
        <v>1101.4747600000001</v>
      </c>
      <c r="B1254" s="1">
        <f>DATE(2013,5,6) + TIME(11,23,39)</f>
        <v>41400.474756944444</v>
      </c>
      <c r="C1254">
        <v>80</v>
      </c>
      <c r="D1254">
        <v>79.694610596000004</v>
      </c>
      <c r="E1254">
        <v>60</v>
      </c>
      <c r="F1254">
        <v>59.668220519999998</v>
      </c>
      <c r="G1254">
        <v>1333.8754882999999</v>
      </c>
      <c r="H1254">
        <v>1332.7268065999999</v>
      </c>
      <c r="I1254">
        <v>1330.3598632999999</v>
      </c>
      <c r="J1254">
        <v>1330.15625</v>
      </c>
      <c r="K1254">
        <v>550</v>
      </c>
      <c r="L1254">
        <v>0</v>
      </c>
      <c r="M1254">
        <v>0</v>
      </c>
      <c r="N1254">
        <v>550</v>
      </c>
    </row>
    <row r="1255" spans="1:14" x14ac:dyDescent="0.25">
      <c r="A1255">
        <v>1101.755161</v>
      </c>
      <c r="B1255" s="1">
        <f>DATE(2013,5,6) + TIME(18,7,25)</f>
        <v>41400.755150462966</v>
      </c>
      <c r="C1255">
        <v>80</v>
      </c>
      <c r="D1255">
        <v>79.747703552000004</v>
      </c>
      <c r="E1255">
        <v>60</v>
      </c>
      <c r="F1255">
        <v>59.654403686999999</v>
      </c>
      <c r="G1255">
        <v>1333.8841553</v>
      </c>
      <c r="H1255">
        <v>1332.7340088000001</v>
      </c>
      <c r="I1255">
        <v>1330.3547363</v>
      </c>
      <c r="J1255">
        <v>1330.1484375</v>
      </c>
      <c r="K1255">
        <v>550</v>
      </c>
      <c r="L1255">
        <v>0</v>
      </c>
      <c r="M1255">
        <v>0</v>
      </c>
      <c r="N1255">
        <v>550</v>
      </c>
    </row>
    <row r="1256" spans="1:14" x14ac:dyDescent="0.25">
      <c r="A1256">
        <v>1102.0439220000001</v>
      </c>
      <c r="B1256" s="1">
        <f>DATE(2013,5,7) + TIME(1,3,14)</f>
        <v>41401.043912037036</v>
      </c>
      <c r="C1256">
        <v>80</v>
      </c>
      <c r="D1256">
        <v>79.789970397999994</v>
      </c>
      <c r="E1256">
        <v>60</v>
      </c>
      <c r="F1256">
        <v>59.640243529999999</v>
      </c>
      <c r="G1256">
        <v>1333.8914795000001</v>
      </c>
      <c r="H1256">
        <v>1332.7403564000001</v>
      </c>
      <c r="I1256">
        <v>1330.3496094</v>
      </c>
      <c r="J1256">
        <v>1330.140625</v>
      </c>
      <c r="K1256">
        <v>550</v>
      </c>
      <c r="L1256">
        <v>0</v>
      </c>
      <c r="M1256">
        <v>0</v>
      </c>
      <c r="N1256">
        <v>550</v>
      </c>
    </row>
    <row r="1257" spans="1:14" x14ac:dyDescent="0.25">
      <c r="A1257">
        <v>1102.3427730000001</v>
      </c>
      <c r="B1257" s="1">
        <f>DATE(2013,5,7) + TIME(8,13,35)</f>
        <v>41401.342766203707</v>
      </c>
      <c r="C1257">
        <v>80</v>
      </c>
      <c r="D1257">
        <v>79.82359314</v>
      </c>
      <c r="E1257">
        <v>60</v>
      </c>
      <c r="F1257">
        <v>59.625656128000003</v>
      </c>
      <c r="G1257">
        <v>1333.8975829999999</v>
      </c>
      <c r="H1257">
        <v>1332.7460937999999</v>
      </c>
      <c r="I1257">
        <v>1330.3444824000001</v>
      </c>
      <c r="J1257">
        <v>1330.1328125</v>
      </c>
      <c r="K1257">
        <v>550</v>
      </c>
      <c r="L1257">
        <v>0</v>
      </c>
      <c r="M1257">
        <v>0</v>
      </c>
      <c r="N1257">
        <v>550</v>
      </c>
    </row>
    <row r="1258" spans="1:14" x14ac:dyDescent="0.25">
      <c r="A1258">
        <v>1102.651707</v>
      </c>
      <c r="B1258" s="1">
        <f>DATE(2013,5,7) + TIME(15,38,27)</f>
        <v>41401.651701388888</v>
      </c>
      <c r="C1258">
        <v>80</v>
      </c>
      <c r="D1258">
        <v>79.850143433</v>
      </c>
      <c r="E1258">
        <v>60</v>
      </c>
      <c r="F1258">
        <v>59.610652924</v>
      </c>
      <c r="G1258">
        <v>1333.9025879000001</v>
      </c>
      <c r="H1258">
        <v>1332.7512207</v>
      </c>
      <c r="I1258">
        <v>1330.3393555</v>
      </c>
      <c r="J1258">
        <v>1330.1247559000001</v>
      </c>
      <c r="K1258">
        <v>550</v>
      </c>
      <c r="L1258">
        <v>0</v>
      </c>
      <c r="M1258">
        <v>0</v>
      </c>
      <c r="N1258">
        <v>550</v>
      </c>
    </row>
    <row r="1259" spans="1:14" x14ac:dyDescent="0.25">
      <c r="A1259">
        <v>1102.969842</v>
      </c>
      <c r="B1259" s="1">
        <f>DATE(2013,5,7) + TIME(23,16,34)</f>
        <v>41401.969837962963</v>
      </c>
      <c r="C1259">
        <v>80</v>
      </c>
      <c r="D1259">
        <v>79.870941161999994</v>
      </c>
      <c r="E1259">
        <v>60</v>
      </c>
      <c r="F1259">
        <v>59.595283508000001</v>
      </c>
      <c r="G1259">
        <v>1333.9066161999999</v>
      </c>
      <c r="H1259">
        <v>1332.7557373</v>
      </c>
      <c r="I1259">
        <v>1330.3339844</v>
      </c>
      <c r="J1259">
        <v>1330.1166992000001</v>
      </c>
      <c r="K1259">
        <v>550</v>
      </c>
      <c r="L1259">
        <v>0</v>
      </c>
      <c r="M1259">
        <v>0</v>
      </c>
      <c r="N1259">
        <v>550</v>
      </c>
    </row>
    <row r="1260" spans="1:14" x14ac:dyDescent="0.25">
      <c r="A1260">
        <v>1103.2988170000001</v>
      </c>
      <c r="B1260" s="1">
        <f>DATE(2013,5,8) + TIME(7,10,17)</f>
        <v>41402.298807870371</v>
      </c>
      <c r="C1260">
        <v>80</v>
      </c>
      <c r="D1260">
        <v>79.887222289999997</v>
      </c>
      <c r="E1260">
        <v>60</v>
      </c>
      <c r="F1260">
        <v>59.579479218000003</v>
      </c>
      <c r="G1260">
        <v>1333.9097899999999</v>
      </c>
      <c r="H1260">
        <v>1332.7597656</v>
      </c>
      <c r="I1260">
        <v>1330.3286132999999</v>
      </c>
      <c r="J1260">
        <v>1330.1085204999999</v>
      </c>
      <c r="K1260">
        <v>550</v>
      </c>
      <c r="L1260">
        <v>0</v>
      </c>
      <c r="M1260">
        <v>0</v>
      </c>
      <c r="N1260">
        <v>550</v>
      </c>
    </row>
    <row r="1261" spans="1:14" x14ac:dyDescent="0.25">
      <c r="A1261">
        <v>1103.6399530000001</v>
      </c>
      <c r="B1261" s="1">
        <f>DATE(2013,5,8) + TIME(15,21,31)</f>
        <v>41402.63994212963</v>
      </c>
      <c r="C1261">
        <v>80</v>
      </c>
      <c r="D1261">
        <v>79.899917603000006</v>
      </c>
      <c r="E1261">
        <v>60</v>
      </c>
      <c r="F1261">
        <v>59.563186645999998</v>
      </c>
      <c r="G1261">
        <v>1333.9106445</v>
      </c>
      <c r="H1261">
        <v>1332.7623291</v>
      </c>
      <c r="I1261">
        <v>1330.3232422000001</v>
      </c>
      <c r="J1261">
        <v>1330.1003418</v>
      </c>
      <c r="K1261">
        <v>550</v>
      </c>
      <c r="L1261">
        <v>0</v>
      </c>
      <c r="M1261">
        <v>0</v>
      </c>
      <c r="N1261">
        <v>550</v>
      </c>
    </row>
    <row r="1262" spans="1:14" x14ac:dyDescent="0.25">
      <c r="A1262">
        <v>1103.995318</v>
      </c>
      <c r="B1262" s="1">
        <f>DATE(2013,5,8) + TIME(23,53,15)</f>
        <v>41402.995312500003</v>
      </c>
      <c r="C1262">
        <v>80</v>
      </c>
      <c r="D1262">
        <v>79.909805297999995</v>
      </c>
      <c r="E1262">
        <v>60</v>
      </c>
      <c r="F1262">
        <v>59.546321869000003</v>
      </c>
      <c r="G1262">
        <v>1333.9110106999999</v>
      </c>
      <c r="H1262">
        <v>1332.7648925999999</v>
      </c>
      <c r="I1262">
        <v>1330.3176269999999</v>
      </c>
      <c r="J1262">
        <v>1330.0919189000001</v>
      </c>
      <c r="K1262">
        <v>550</v>
      </c>
      <c r="L1262">
        <v>0</v>
      </c>
      <c r="M1262">
        <v>0</v>
      </c>
      <c r="N1262">
        <v>550</v>
      </c>
    </row>
    <row r="1263" spans="1:14" x14ac:dyDescent="0.25">
      <c r="A1263">
        <v>1104.366775</v>
      </c>
      <c r="B1263" s="1">
        <f>DATE(2013,5,9) + TIME(8,48,9)</f>
        <v>41403.366770833331</v>
      </c>
      <c r="C1263">
        <v>80</v>
      </c>
      <c r="D1263">
        <v>79.917488098000007</v>
      </c>
      <c r="E1263">
        <v>60</v>
      </c>
      <c r="F1263">
        <v>59.528812408</v>
      </c>
      <c r="G1263">
        <v>1333.9111327999999</v>
      </c>
      <c r="H1263">
        <v>1332.7672118999999</v>
      </c>
      <c r="I1263">
        <v>1330.3120117000001</v>
      </c>
      <c r="J1263">
        <v>1330.0832519999999</v>
      </c>
      <c r="K1263">
        <v>550</v>
      </c>
      <c r="L1263">
        <v>0</v>
      </c>
      <c r="M1263">
        <v>0</v>
      </c>
      <c r="N1263">
        <v>550</v>
      </c>
    </row>
    <row r="1264" spans="1:14" x14ac:dyDescent="0.25">
      <c r="A1264">
        <v>1104.7576100000001</v>
      </c>
      <c r="B1264" s="1">
        <f>DATE(2013,5,9) + TIME(18,10,57)</f>
        <v>41403.757604166669</v>
      </c>
      <c r="C1264">
        <v>80</v>
      </c>
      <c r="D1264">
        <v>79.923446655000006</v>
      </c>
      <c r="E1264">
        <v>60</v>
      </c>
      <c r="F1264">
        <v>59.510524750000002</v>
      </c>
      <c r="G1264">
        <v>1333.9108887</v>
      </c>
      <c r="H1264">
        <v>1332.7694091999999</v>
      </c>
      <c r="I1264">
        <v>1330.3061522999999</v>
      </c>
      <c r="J1264">
        <v>1330.0744629000001</v>
      </c>
      <c r="K1264">
        <v>550</v>
      </c>
      <c r="L1264">
        <v>0</v>
      </c>
      <c r="M1264">
        <v>0</v>
      </c>
      <c r="N1264">
        <v>550</v>
      </c>
    </row>
    <row r="1265" spans="1:14" x14ac:dyDescent="0.25">
      <c r="A1265">
        <v>1105.1742380000001</v>
      </c>
      <c r="B1265" s="1">
        <f>DATE(2013,5,10) + TIME(4,10,54)</f>
        <v>41404.17423611111</v>
      </c>
      <c r="C1265">
        <v>80</v>
      </c>
      <c r="D1265">
        <v>79.928085327000005</v>
      </c>
      <c r="E1265">
        <v>60</v>
      </c>
      <c r="F1265">
        <v>59.491195679</v>
      </c>
      <c r="G1265">
        <v>1333.9104004000001</v>
      </c>
      <c r="H1265">
        <v>1332.7714844</v>
      </c>
      <c r="I1265">
        <v>1330.3001709</v>
      </c>
      <c r="J1265">
        <v>1330.0654297000001</v>
      </c>
      <c r="K1265">
        <v>550</v>
      </c>
      <c r="L1265">
        <v>0</v>
      </c>
      <c r="M1265">
        <v>0</v>
      </c>
      <c r="N1265">
        <v>550</v>
      </c>
    </row>
    <row r="1266" spans="1:14" x14ac:dyDescent="0.25">
      <c r="A1266">
        <v>1105.621232</v>
      </c>
      <c r="B1266" s="1">
        <f>DATE(2013,5,10) + TIME(14,54,34)</f>
        <v>41404.62122685185</v>
      </c>
      <c r="C1266">
        <v>80</v>
      </c>
      <c r="D1266">
        <v>79.931686400999993</v>
      </c>
      <c r="E1266">
        <v>60</v>
      </c>
      <c r="F1266">
        <v>59.470653534</v>
      </c>
      <c r="G1266">
        <v>1333.9095459</v>
      </c>
      <c r="H1266">
        <v>1332.7735596</v>
      </c>
      <c r="I1266">
        <v>1330.2939452999999</v>
      </c>
      <c r="J1266">
        <v>1330.0559082</v>
      </c>
      <c r="K1266">
        <v>550</v>
      </c>
      <c r="L1266">
        <v>0</v>
      </c>
      <c r="M1266">
        <v>0</v>
      </c>
      <c r="N1266">
        <v>550</v>
      </c>
    </row>
    <row r="1267" spans="1:14" x14ac:dyDescent="0.25">
      <c r="A1267">
        <v>1106.1047510000001</v>
      </c>
      <c r="B1267" s="1">
        <f>DATE(2013,5,11) + TIME(2,30,50)</f>
        <v>41405.104745370372</v>
      </c>
      <c r="C1267">
        <v>80</v>
      </c>
      <c r="D1267">
        <v>79.934455872000001</v>
      </c>
      <c r="E1267">
        <v>60</v>
      </c>
      <c r="F1267">
        <v>59.448665619000003</v>
      </c>
      <c r="G1267">
        <v>1333.9084473</v>
      </c>
      <c r="H1267">
        <v>1332.7755127</v>
      </c>
      <c r="I1267">
        <v>1330.2873535000001</v>
      </c>
      <c r="J1267">
        <v>1330.0460204999999</v>
      </c>
      <c r="K1267">
        <v>550</v>
      </c>
      <c r="L1267">
        <v>0</v>
      </c>
      <c r="M1267">
        <v>0</v>
      </c>
      <c r="N1267">
        <v>550</v>
      </c>
    </row>
    <row r="1268" spans="1:14" x14ac:dyDescent="0.25">
      <c r="A1268">
        <v>1106.632785</v>
      </c>
      <c r="B1268" s="1">
        <f>DATE(2013,5,11) + TIME(15,11,12)</f>
        <v>41405.632777777777</v>
      </c>
      <c r="C1268">
        <v>80</v>
      </c>
      <c r="D1268">
        <v>79.936576842999997</v>
      </c>
      <c r="E1268">
        <v>60</v>
      </c>
      <c r="F1268">
        <v>59.424930572999997</v>
      </c>
      <c r="G1268">
        <v>1333.9071045000001</v>
      </c>
      <c r="H1268">
        <v>1332.7775879000001</v>
      </c>
      <c r="I1268">
        <v>1330.2803954999999</v>
      </c>
      <c r="J1268">
        <v>1330.0355225000001</v>
      </c>
      <c r="K1268">
        <v>550</v>
      </c>
      <c r="L1268">
        <v>0</v>
      </c>
      <c r="M1268">
        <v>0</v>
      </c>
      <c r="N1268">
        <v>550</v>
      </c>
    </row>
    <row r="1269" spans="1:14" x14ac:dyDescent="0.25">
      <c r="A1269">
        <v>1106.909737</v>
      </c>
      <c r="B1269" s="1">
        <f>DATE(2013,5,11) + TIME(21,50,1)</f>
        <v>41405.909733796296</v>
      </c>
      <c r="C1269">
        <v>80</v>
      </c>
      <c r="D1269">
        <v>79.937461853000002</v>
      </c>
      <c r="E1269">
        <v>60</v>
      </c>
      <c r="F1269">
        <v>59.411994933999999</v>
      </c>
      <c r="G1269">
        <v>1333.9057617000001</v>
      </c>
      <c r="H1269">
        <v>1332.7797852000001</v>
      </c>
      <c r="I1269">
        <v>1330.2733154</v>
      </c>
      <c r="J1269">
        <v>1330.0250243999999</v>
      </c>
      <c r="K1269">
        <v>550</v>
      </c>
      <c r="L1269">
        <v>0</v>
      </c>
      <c r="M1269">
        <v>0</v>
      </c>
      <c r="N1269">
        <v>550</v>
      </c>
    </row>
    <row r="1270" spans="1:14" x14ac:dyDescent="0.25">
      <c r="A1270">
        <v>1107.4636419999999</v>
      </c>
      <c r="B1270" s="1">
        <f>DATE(2013,5,12) + TIME(11,7,38)</f>
        <v>41406.463634259257</v>
      </c>
      <c r="C1270">
        <v>80</v>
      </c>
      <c r="D1270">
        <v>79.938743591000005</v>
      </c>
      <c r="E1270">
        <v>60</v>
      </c>
      <c r="F1270">
        <v>59.387409210000001</v>
      </c>
      <c r="G1270">
        <v>1333.9047852000001</v>
      </c>
      <c r="H1270">
        <v>1332.7806396000001</v>
      </c>
      <c r="I1270">
        <v>1330.2689209</v>
      </c>
      <c r="J1270">
        <v>1330.0183105000001</v>
      </c>
      <c r="K1270">
        <v>550</v>
      </c>
      <c r="L1270">
        <v>0</v>
      </c>
      <c r="M1270">
        <v>0</v>
      </c>
      <c r="N1270">
        <v>550</v>
      </c>
    </row>
    <row r="1271" spans="1:14" x14ac:dyDescent="0.25">
      <c r="A1271">
        <v>1108.018384</v>
      </c>
      <c r="B1271" s="1">
        <f>DATE(2013,5,13) + TIME(0,26,28)</f>
        <v>41407.018379629626</v>
      </c>
      <c r="C1271">
        <v>80</v>
      </c>
      <c r="D1271">
        <v>79.939636230000005</v>
      </c>
      <c r="E1271">
        <v>60</v>
      </c>
      <c r="F1271">
        <v>59.362880707000002</v>
      </c>
      <c r="G1271">
        <v>1333.9029541</v>
      </c>
      <c r="H1271">
        <v>1332.7825928</v>
      </c>
      <c r="I1271">
        <v>1330.2614745999999</v>
      </c>
      <c r="J1271">
        <v>1330.0070800999999</v>
      </c>
      <c r="K1271">
        <v>550</v>
      </c>
      <c r="L1271">
        <v>0</v>
      </c>
      <c r="M1271">
        <v>0</v>
      </c>
      <c r="N1271">
        <v>550</v>
      </c>
    </row>
    <row r="1272" spans="1:14" x14ac:dyDescent="0.25">
      <c r="A1272">
        <v>1108.5775229999999</v>
      </c>
      <c r="B1272" s="1">
        <f>DATE(2013,5,13) + TIME(13,51,38)</f>
        <v>41407.577523148146</v>
      </c>
      <c r="C1272">
        <v>80</v>
      </c>
      <c r="D1272">
        <v>79.940269470000004</v>
      </c>
      <c r="E1272">
        <v>60</v>
      </c>
      <c r="F1272">
        <v>59.338272095000001</v>
      </c>
      <c r="G1272">
        <v>1333.9011230000001</v>
      </c>
      <c r="H1272">
        <v>1332.7845459</v>
      </c>
      <c r="I1272">
        <v>1330.2540283000001</v>
      </c>
      <c r="J1272">
        <v>1329.9959716999999</v>
      </c>
      <c r="K1272">
        <v>550</v>
      </c>
      <c r="L1272">
        <v>0</v>
      </c>
      <c r="M1272">
        <v>0</v>
      </c>
      <c r="N1272">
        <v>550</v>
      </c>
    </row>
    <row r="1273" spans="1:14" x14ac:dyDescent="0.25">
      <c r="A1273">
        <v>1109.1440339999999</v>
      </c>
      <c r="B1273" s="1">
        <f>DATE(2013,5,14) + TIME(3,27,24)</f>
        <v>41408.14402777778</v>
      </c>
      <c r="C1273">
        <v>80</v>
      </c>
      <c r="D1273">
        <v>79.940711974999999</v>
      </c>
      <c r="E1273">
        <v>60</v>
      </c>
      <c r="F1273">
        <v>59.313457489000001</v>
      </c>
      <c r="G1273">
        <v>1333.8992920000001</v>
      </c>
      <c r="H1273">
        <v>1332.7862548999999</v>
      </c>
      <c r="I1273">
        <v>1330.2467041</v>
      </c>
      <c r="J1273">
        <v>1329.9848632999999</v>
      </c>
      <c r="K1273">
        <v>550</v>
      </c>
      <c r="L1273">
        <v>0</v>
      </c>
      <c r="M1273">
        <v>0</v>
      </c>
      <c r="N1273">
        <v>550</v>
      </c>
    </row>
    <row r="1274" spans="1:14" x14ac:dyDescent="0.25">
      <c r="A1274">
        <v>1109.7207980000001</v>
      </c>
      <c r="B1274" s="1">
        <f>DATE(2013,5,14) + TIME(17,17,56)</f>
        <v>41408.72078703704</v>
      </c>
      <c r="C1274">
        <v>80</v>
      </c>
      <c r="D1274">
        <v>79.941017150999997</v>
      </c>
      <c r="E1274">
        <v>60</v>
      </c>
      <c r="F1274">
        <v>59.288326263000002</v>
      </c>
      <c r="G1274">
        <v>1333.8974608999999</v>
      </c>
      <c r="H1274">
        <v>1332.7880858999999</v>
      </c>
      <c r="I1274">
        <v>1330.2393798999999</v>
      </c>
      <c r="J1274">
        <v>1329.9738769999999</v>
      </c>
      <c r="K1274">
        <v>550</v>
      </c>
      <c r="L1274">
        <v>0</v>
      </c>
      <c r="M1274">
        <v>0</v>
      </c>
      <c r="N1274">
        <v>550</v>
      </c>
    </row>
    <row r="1275" spans="1:14" x14ac:dyDescent="0.25">
      <c r="A1275">
        <v>1110.310786</v>
      </c>
      <c r="B1275" s="1">
        <f>DATE(2013,5,15) + TIME(7,27,31)</f>
        <v>41409.31077546296</v>
      </c>
      <c r="C1275">
        <v>80</v>
      </c>
      <c r="D1275">
        <v>79.941230774000005</v>
      </c>
      <c r="E1275">
        <v>60</v>
      </c>
      <c r="F1275">
        <v>59.262756348000003</v>
      </c>
      <c r="G1275">
        <v>1333.8956298999999</v>
      </c>
      <c r="H1275">
        <v>1332.7897949000001</v>
      </c>
      <c r="I1275">
        <v>1330.2319336</v>
      </c>
      <c r="J1275">
        <v>1329.9627685999999</v>
      </c>
      <c r="K1275">
        <v>550</v>
      </c>
      <c r="L1275">
        <v>0</v>
      </c>
      <c r="M1275">
        <v>0</v>
      </c>
      <c r="N1275">
        <v>550</v>
      </c>
    </row>
    <row r="1276" spans="1:14" x14ac:dyDescent="0.25">
      <c r="A1276">
        <v>1110.91723</v>
      </c>
      <c r="B1276" s="1">
        <f>DATE(2013,5,15) + TIME(22,0,48)</f>
        <v>41409.917222222219</v>
      </c>
      <c r="C1276">
        <v>80</v>
      </c>
      <c r="D1276">
        <v>79.941360474000007</v>
      </c>
      <c r="E1276">
        <v>60</v>
      </c>
      <c r="F1276">
        <v>59.236629485999998</v>
      </c>
      <c r="G1276">
        <v>1333.8937988</v>
      </c>
      <c r="H1276">
        <v>1332.7915039</v>
      </c>
      <c r="I1276">
        <v>1330.2244873</v>
      </c>
      <c r="J1276">
        <v>1329.9516602000001</v>
      </c>
      <c r="K1276">
        <v>550</v>
      </c>
      <c r="L1276">
        <v>0</v>
      </c>
      <c r="M1276">
        <v>0</v>
      </c>
      <c r="N1276">
        <v>550</v>
      </c>
    </row>
    <row r="1277" spans="1:14" x14ac:dyDescent="0.25">
      <c r="A1277">
        <v>1111.543813</v>
      </c>
      <c r="B1277" s="1">
        <f>DATE(2013,5,16) + TIME(13,3,5)</f>
        <v>41410.543807870374</v>
      </c>
      <c r="C1277">
        <v>80</v>
      </c>
      <c r="D1277">
        <v>79.941436768000003</v>
      </c>
      <c r="E1277">
        <v>60</v>
      </c>
      <c r="F1277">
        <v>59.209796906000001</v>
      </c>
      <c r="G1277">
        <v>1333.8919678</v>
      </c>
      <c r="H1277">
        <v>1332.7932129000001</v>
      </c>
      <c r="I1277">
        <v>1330.2170410000001</v>
      </c>
      <c r="J1277">
        <v>1329.9404297000001</v>
      </c>
      <c r="K1277">
        <v>550</v>
      </c>
      <c r="L1277">
        <v>0</v>
      </c>
      <c r="M1277">
        <v>0</v>
      </c>
      <c r="N1277">
        <v>550</v>
      </c>
    </row>
    <row r="1278" spans="1:14" x14ac:dyDescent="0.25">
      <c r="A1278">
        <v>1112.1940529999999</v>
      </c>
      <c r="B1278" s="1">
        <f>DATE(2013,5,17) + TIME(4,39,26)</f>
        <v>41411.194050925929</v>
      </c>
      <c r="C1278">
        <v>80</v>
      </c>
      <c r="D1278">
        <v>79.941467285000002</v>
      </c>
      <c r="E1278">
        <v>60</v>
      </c>
      <c r="F1278">
        <v>59.182132721000002</v>
      </c>
      <c r="G1278">
        <v>1333.8901367000001</v>
      </c>
      <c r="H1278">
        <v>1332.7949219</v>
      </c>
      <c r="I1278">
        <v>1330.2094727000001</v>
      </c>
      <c r="J1278">
        <v>1329.9289550999999</v>
      </c>
      <c r="K1278">
        <v>550</v>
      </c>
      <c r="L1278">
        <v>0</v>
      </c>
      <c r="M1278">
        <v>0</v>
      </c>
      <c r="N1278">
        <v>550</v>
      </c>
    </row>
    <row r="1279" spans="1:14" x14ac:dyDescent="0.25">
      <c r="A1279">
        <v>1112.8720539999999</v>
      </c>
      <c r="B1279" s="1">
        <f>DATE(2013,5,17) + TIME(20,55,45)</f>
        <v>41411.872048611112</v>
      </c>
      <c r="C1279">
        <v>80</v>
      </c>
      <c r="D1279">
        <v>79.941467285000002</v>
      </c>
      <c r="E1279">
        <v>60</v>
      </c>
      <c r="F1279">
        <v>59.153480530000003</v>
      </c>
      <c r="G1279">
        <v>1333.8884277</v>
      </c>
      <c r="H1279">
        <v>1332.7966309000001</v>
      </c>
      <c r="I1279">
        <v>1330.2016602000001</v>
      </c>
      <c r="J1279">
        <v>1329.9173584</v>
      </c>
      <c r="K1279">
        <v>550</v>
      </c>
      <c r="L1279">
        <v>0</v>
      </c>
      <c r="M1279">
        <v>0</v>
      </c>
      <c r="N1279">
        <v>550</v>
      </c>
    </row>
    <row r="1280" spans="1:14" x14ac:dyDescent="0.25">
      <c r="A1280">
        <v>1113.583089</v>
      </c>
      <c r="B1280" s="1">
        <f>DATE(2013,5,18) + TIME(13,59,38)</f>
        <v>41412.583078703705</v>
      </c>
      <c r="C1280">
        <v>80</v>
      </c>
      <c r="D1280">
        <v>79.941436768000003</v>
      </c>
      <c r="E1280">
        <v>60</v>
      </c>
      <c r="F1280">
        <v>59.123645781999997</v>
      </c>
      <c r="G1280">
        <v>1333.8865966999999</v>
      </c>
      <c r="H1280">
        <v>1332.7983397999999</v>
      </c>
      <c r="I1280">
        <v>1330.1937256000001</v>
      </c>
      <c r="J1280">
        <v>1329.9055175999999</v>
      </c>
      <c r="K1280">
        <v>550</v>
      </c>
      <c r="L1280">
        <v>0</v>
      </c>
      <c r="M1280">
        <v>0</v>
      </c>
      <c r="N1280">
        <v>550</v>
      </c>
    </row>
    <row r="1281" spans="1:14" x14ac:dyDescent="0.25">
      <c r="A1281">
        <v>1114.337798</v>
      </c>
      <c r="B1281" s="1">
        <f>DATE(2013,5,19) + TIME(8,6,25)</f>
        <v>41413.337789351855</v>
      </c>
      <c r="C1281">
        <v>80</v>
      </c>
      <c r="D1281">
        <v>79.941383361999996</v>
      </c>
      <c r="E1281">
        <v>60</v>
      </c>
      <c r="F1281">
        <v>59.092239380000002</v>
      </c>
      <c r="G1281">
        <v>1333.8846435999999</v>
      </c>
      <c r="H1281">
        <v>1332.8000488</v>
      </c>
      <c r="I1281">
        <v>1330.1855469</v>
      </c>
      <c r="J1281">
        <v>1329.8931885</v>
      </c>
      <c r="K1281">
        <v>550</v>
      </c>
      <c r="L1281">
        <v>0</v>
      </c>
      <c r="M1281">
        <v>0</v>
      </c>
      <c r="N1281">
        <v>550</v>
      </c>
    </row>
    <row r="1282" spans="1:14" x14ac:dyDescent="0.25">
      <c r="A1282">
        <v>1115.127829</v>
      </c>
      <c r="B1282" s="1">
        <f>DATE(2013,5,20) + TIME(3,4,4)</f>
        <v>41414.127824074072</v>
      </c>
      <c r="C1282">
        <v>80</v>
      </c>
      <c r="D1282">
        <v>79.941314696999996</v>
      </c>
      <c r="E1282">
        <v>60</v>
      </c>
      <c r="F1282">
        <v>59.059558868000003</v>
      </c>
      <c r="G1282">
        <v>1333.8828125</v>
      </c>
      <c r="H1282">
        <v>1332.8018798999999</v>
      </c>
      <c r="I1282">
        <v>1330.1770019999999</v>
      </c>
      <c r="J1282">
        <v>1329.8804932</v>
      </c>
      <c r="K1282">
        <v>550</v>
      </c>
      <c r="L1282">
        <v>0</v>
      </c>
      <c r="M1282">
        <v>0</v>
      </c>
      <c r="N1282">
        <v>550</v>
      </c>
    </row>
    <row r="1283" spans="1:14" x14ac:dyDescent="0.25">
      <c r="A1283">
        <v>1115.9727580000001</v>
      </c>
      <c r="B1283" s="1">
        <f>DATE(2013,5,20) + TIME(23,20,46)</f>
        <v>41414.972754629627</v>
      </c>
      <c r="C1283">
        <v>80</v>
      </c>
      <c r="D1283">
        <v>79.941215514999996</v>
      </c>
      <c r="E1283">
        <v>60</v>
      </c>
      <c r="F1283">
        <v>59.024906158</v>
      </c>
      <c r="G1283">
        <v>1333.8801269999999</v>
      </c>
      <c r="H1283">
        <v>1332.8031006000001</v>
      </c>
      <c r="I1283">
        <v>1330.1683350000001</v>
      </c>
      <c r="J1283">
        <v>1329.8674315999999</v>
      </c>
      <c r="K1283">
        <v>550</v>
      </c>
      <c r="L1283">
        <v>0</v>
      </c>
      <c r="M1283">
        <v>0</v>
      </c>
      <c r="N1283">
        <v>550</v>
      </c>
    </row>
    <row r="1284" spans="1:14" x14ac:dyDescent="0.25">
      <c r="A1284">
        <v>1116.8841219999999</v>
      </c>
      <c r="B1284" s="1">
        <f>DATE(2013,5,21) + TIME(21,13,8)</f>
        <v>41415.884120370371</v>
      </c>
      <c r="C1284">
        <v>80</v>
      </c>
      <c r="D1284">
        <v>79.941093445000007</v>
      </c>
      <c r="E1284">
        <v>60</v>
      </c>
      <c r="F1284">
        <v>58.987880707000002</v>
      </c>
      <c r="G1284">
        <v>1333.8773193</v>
      </c>
      <c r="H1284">
        <v>1332.8045654</v>
      </c>
      <c r="I1284">
        <v>1330.1591797000001</v>
      </c>
      <c r="J1284">
        <v>1329.8538818</v>
      </c>
      <c r="K1284">
        <v>550</v>
      </c>
      <c r="L1284">
        <v>0</v>
      </c>
      <c r="M1284">
        <v>0</v>
      </c>
      <c r="N1284">
        <v>550</v>
      </c>
    </row>
    <row r="1285" spans="1:14" x14ac:dyDescent="0.25">
      <c r="A1285">
        <v>1117.876955</v>
      </c>
      <c r="B1285" s="1">
        <f>DATE(2013,5,22) + TIME(21,2,48)</f>
        <v>41416.876944444448</v>
      </c>
      <c r="C1285">
        <v>80</v>
      </c>
      <c r="D1285">
        <v>79.940963745000005</v>
      </c>
      <c r="E1285">
        <v>60</v>
      </c>
      <c r="F1285">
        <v>58.947956085000001</v>
      </c>
      <c r="G1285">
        <v>1333.8746338000001</v>
      </c>
      <c r="H1285">
        <v>1332.8060303</v>
      </c>
      <c r="I1285">
        <v>1330.1495361</v>
      </c>
      <c r="J1285">
        <v>1329.8394774999999</v>
      </c>
      <c r="K1285">
        <v>550</v>
      </c>
      <c r="L1285">
        <v>0</v>
      </c>
      <c r="M1285">
        <v>0</v>
      </c>
      <c r="N1285">
        <v>550</v>
      </c>
    </row>
    <row r="1286" spans="1:14" x14ac:dyDescent="0.25">
      <c r="A1286">
        <v>1118.9039049999999</v>
      </c>
      <c r="B1286" s="1">
        <f>DATE(2013,5,23) + TIME(21,41,37)</f>
        <v>41417.903900462959</v>
      </c>
      <c r="C1286">
        <v>80</v>
      </c>
      <c r="D1286">
        <v>79.940811156999999</v>
      </c>
      <c r="E1286">
        <v>60</v>
      </c>
      <c r="F1286">
        <v>58.906635283999996</v>
      </c>
      <c r="G1286">
        <v>1333.8718262</v>
      </c>
      <c r="H1286">
        <v>1332.8076172000001</v>
      </c>
      <c r="I1286">
        <v>1330.1394043</v>
      </c>
      <c r="J1286">
        <v>1329.8243408000001</v>
      </c>
      <c r="K1286">
        <v>550</v>
      </c>
      <c r="L1286">
        <v>0</v>
      </c>
      <c r="M1286">
        <v>0</v>
      </c>
      <c r="N1286">
        <v>550</v>
      </c>
    </row>
    <row r="1287" spans="1:14" x14ac:dyDescent="0.25">
      <c r="A1287">
        <v>1119.9309989999999</v>
      </c>
      <c r="B1287" s="1">
        <f>DATE(2013,5,24) + TIME(22,20,38)</f>
        <v>41418.930995370371</v>
      </c>
      <c r="C1287">
        <v>80</v>
      </c>
      <c r="D1287">
        <v>79.940650939999998</v>
      </c>
      <c r="E1287">
        <v>60</v>
      </c>
      <c r="F1287">
        <v>58.865001677999999</v>
      </c>
      <c r="G1287">
        <v>1333.8691406</v>
      </c>
      <c r="H1287">
        <v>1332.8092041</v>
      </c>
      <c r="I1287">
        <v>1330.1291504000001</v>
      </c>
      <c r="J1287">
        <v>1329.8089600000001</v>
      </c>
      <c r="K1287">
        <v>550</v>
      </c>
      <c r="L1287">
        <v>0</v>
      </c>
      <c r="M1287">
        <v>0</v>
      </c>
      <c r="N1287">
        <v>550</v>
      </c>
    </row>
    <row r="1288" spans="1:14" x14ac:dyDescent="0.25">
      <c r="A1288">
        <v>1120.965858</v>
      </c>
      <c r="B1288" s="1">
        <f>DATE(2013,5,25) + TIME(23,10,50)</f>
        <v>41419.965856481482</v>
      </c>
      <c r="C1288">
        <v>80</v>
      </c>
      <c r="D1288">
        <v>79.940490722999996</v>
      </c>
      <c r="E1288">
        <v>60</v>
      </c>
      <c r="F1288">
        <v>58.822841644</v>
      </c>
      <c r="G1288">
        <v>1333.8666992000001</v>
      </c>
      <c r="H1288">
        <v>1332.8109131000001</v>
      </c>
      <c r="I1288">
        <v>1330.1188964999999</v>
      </c>
      <c r="J1288">
        <v>1329.7938231999999</v>
      </c>
      <c r="K1288">
        <v>550</v>
      </c>
      <c r="L1288">
        <v>0</v>
      </c>
      <c r="M1288">
        <v>0</v>
      </c>
      <c r="N1288">
        <v>550</v>
      </c>
    </row>
    <row r="1289" spans="1:14" x14ac:dyDescent="0.25">
      <c r="A1289">
        <v>1122.0158449999999</v>
      </c>
      <c r="B1289" s="1">
        <f>DATE(2013,5,27) + TIME(0,22,49)</f>
        <v>41421.015844907408</v>
      </c>
      <c r="C1289">
        <v>80</v>
      </c>
      <c r="D1289">
        <v>79.940338135000005</v>
      </c>
      <c r="E1289">
        <v>60</v>
      </c>
      <c r="F1289">
        <v>58.779933929000002</v>
      </c>
      <c r="G1289">
        <v>1333.8643798999999</v>
      </c>
      <c r="H1289">
        <v>1332.8125</v>
      </c>
      <c r="I1289">
        <v>1330.1087646000001</v>
      </c>
      <c r="J1289">
        <v>1329.7786865</v>
      </c>
      <c r="K1289">
        <v>550</v>
      </c>
      <c r="L1289">
        <v>0</v>
      </c>
      <c r="M1289">
        <v>0</v>
      </c>
      <c r="N1289">
        <v>550</v>
      </c>
    </row>
    <row r="1290" spans="1:14" x14ac:dyDescent="0.25">
      <c r="A1290">
        <v>1123.0880360000001</v>
      </c>
      <c r="B1290" s="1">
        <f>DATE(2013,5,28) + TIME(2,6,46)</f>
        <v>41422.08803240741</v>
      </c>
      <c r="C1290">
        <v>80</v>
      </c>
      <c r="D1290">
        <v>79.940185546999999</v>
      </c>
      <c r="E1290">
        <v>60</v>
      </c>
      <c r="F1290">
        <v>58.736038207999997</v>
      </c>
      <c r="G1290">
        <v>1333.8623047000001</v>
      </c>
      <c r="H1290">
        <v>1332.8140868999999</v>
      </c>
      <c r="I1290">
        <v>1330.0987548999999</v>
      </c>
      <c r="J1290">
        <v>1329.7635498</v>
      </c>
      <c r="K1290">
        <v>550</v>
      </c>
      <c r="L1290">
        <v>0</v>
      </c>
      <c r="M1290">
        <v>0</v>
      </c>
      <c r="N1290">
        <v>550</v>
      </c>
    </row>
    <row r="1291" spans="1:14" x14ac:dyDescent="0.25">
      <c r="A1291">
        <v>1124.190396</v>
      </c>
      <c r="B1291" s="1">
        <f>DATE(2013,5,29) + TIME(4,34,10)</f>
        <v>41423.190393518518</v>
      </c>
      <c r="C1291">
        <v>80</v>
      </c>
      <c r="D1291">
        <v>79.940040588000002</v>
      </c>
      <c r="E1291">
        <v>60</v>
      </c>
      <c r="F1291">
        <v>58.690879821999999</v>
      </c>
      <c r="G1291">
        <v>1333.8603516000001</v>
      </c>
      <c r="H1291">
        <v>1332.8156738</v>
      </c>
      <c r="I1291">
        <v>1330.0886230000001</v>
      </c>
      <c r="J1291">
        <v>1329.7484131000001</v>
      </c>
      <c r="K1291">
        <v>550</v>
      </c>
      <c r="L1291">
        <v>0</v>
      </c>
      <c r="M1291">
        <v>0</v>
      </c>
      <c r="N1291">
        <v>550</v>
      </c>
    </row>
    <row r="1292" spans="1:14" x14ac:dyDescent="0.25">
      <c r="A1292">
        <v>1125.331132</v>
      </c>
      <c r="B1292" s="1">
        <f>DATE(2013,5,30) + TIME(7,56,49)</f>
        <v>41424.331122685187</v>
      </c>
      <c r="C1292">
        <v>80</v>
      </c>
      <c r="D1292">
        <v>79.939895629999995</v>
      </c>
      <c r="E1292">
        <v>60</v>
      </c>
      <c r="F1292">
        <v>58.644157409999998</v>
      </c>
      <c r="G1292">
        <v>1333.8583983999999</v>
      </c>
      <c r="H1292">
        <v>1332.8172606999999</v>
      </c>
      <c r="I1292">
        <v>1330.0784911999999</v>
      </c>
      <c r="J1292">
        <v>1329.7332764</v>
      </c>
      <c r="K1292">
        <v>550</v>
      </c>
      <c r="L1292">
        <v>0</v>
      </c>
      <c r="M1292">
        <v>0</v>
      </c>
      <c r="N1292">
        <v>550</v>
      </c>
    </row>
    <row r="1293" spans="1:14" x14ac:dyDescent="0.25">
      <c r="A1293">
        <v>1126.519074</v>
      </c>
      <c r="B1293" s="1">
        <f>DATE(2013,5,31) + TIME(12,27,28)</f>
        <v>41425.519074074073</v>
      </c>
      <c r="C1293">
        <v>80</v>
      </c>
      <c r="D1293">
        <v>79.939758300999998</v>
      </c>
      <c r="E1293">
        <v>60</v>
      </c>
      <c r="F1293">
        <v>58.595550537000001</v>
      </c>
      <c r="G1293">
        <v>1333.8566894999999</v>
      </c>
      <c r="H1293">
        <v>1332.8189697</v>
      </c>
      <c r="I1293">
        <v>1330.0682373</v>
      </c>
      <c r="J1293">
        <v>1329.7177733999999</v>
      </c>
      <c r="K1293">
        <v>550</v>
      </c>
      <c r="L1293">
        <v>0</v>
      </c>
      <c r="M1293">
        <v>0</v>
      </c>
      <c r="N1293">
        <v>550</v>
      </c>
    </row>
    <row r="1294" spans="1:14" x14ac:dyDescent="0.25">
      <c r="A1294">
        <v>1127</v>
      </c>
      <c r="B1294" s="1">
        <f>DATE(2013,6,1) + TIME(0,0,0)</f>
        <v>41426</v>
      </c>
      <c r="C1294">
        <v>80</v>
      </c>
      <c r="D1294">
        <v>79.939666747999993</v>
      </c>
      <c r="E1294">
        <v>60</v>
      </c>
      <c r="F1294">
        <v>58.572532654</v>
      </c>
      <c r="G1294">
        <v>1333.8549805</v>
      </c>
      <c r="H1294">
        <v>1332.8205565999999</v>
      </c>
      <c r="I1294">
        <v>1330.0582274999999</v>
      </c>
      <c r="J1294">
        <v>1329.7030029</v>
      </c>
      <c r="K1294">
        <v>550</v>
      </c>
      <c r="L1294">
        <v>0</v>
      </c>
      <c r="M1294">
        <v>0</v>
      </c>
      <c r="N1294">
        <v>550</v>
      </c>
    </row>
    <row r="1295" spans="1:14" x14ac:dyDescent="0.25">
      <c r="A1295">
        <v>1128.269724</v>
      </c>
      <c r="B1295" s="1">
        <f>DATE(2013,6,2) + TIME(6,28,24)</f>
        <v>41427.26972222222</v>
      </c>
      <c r="C1295">
        <v>80</v>
      </c>
      <c r="D1295">
        <v>79.939552307</v>
      </c>
      <c r="E1295">
        <v>60</v>
      </c>
      <c r="F1295">
        <v>58.521488189999999</v>
      </c>
      <c r="G1295">
        <v>1333.8542480000001</v>
      </c>
      <c r="H1295">
        <v>1332.8211670000001</v>
      </c>
      <c r="I1295">
        <v>1330.0531006000001</v>
      </c>
      <c r="J1295">
        <v>1329.6948242000001</v>
      </c>
      <c r="K1295">
        <v>550</v>
      </c>
      <c r="L1295">
        <v>0</v>
      </c>
      <c r="M1295">
        <v>0</v>
      </c>
      <c r="N1295">
        <v>550</v>
      </c>
    </row>
    <row r="1296" spans="1:14" x14ac:dyDescent="0.25">
      <c r="A1296">
        <v>1129.690163</v>
      </c>
      <c r="B1296" s="1">
        <f>DATE(2013,6,3) + TIME(16,33,50)</f>
        <v>41428.690162037034</v>
      </c>
      <c r="C1296">
        <v>80</v>
      </c>
      <c r="D1296">
        <v>79.939430236999996</v>
      </c>
      <c r="E1296">
        <v>60</v>
      </c>
      <c r="F1296">
        <v>58.465114593999999</v>
      </c>
      <c r="G1296">
        <v>1333.8526611</v>
      </c>
      <c r="H1296">
        <v>1332.8229980000001</v>
      </c>
      <c r="I1296">
        <v>1330.0424805</v>
      </c>
      <c r="J1296">
        <v>1329.6790771000001</v>
      </c>
      <c r="K1296">
        <v>550</v>
      </c>
      <c r="L1296">
        <v>0</v>
      </c>
      <c r="M1296">
        <v>0</v>
      </c>
      <c r="N1296">
        <v>550</v>
      </c>
    </row>
    <row r="1297" spans="1:14" x14ac:dyDescent="0.25">
      <c r="A1297">
        <v>1131.2146250000001</v>
      </c>
      <c r="B1297" s="1">
        <f>DATE(2013,6,5) + TIME(5,9,3)</f>
        <v>41430.214618055557</v>
      </c>
      <c r="C1297">
        <v>80</v>
      </c>
      <c r="D1297">
        <v>79.939300536999994</v>
      </c>
      <c r="E1297">
        <v>60</v>
      </c>
      <c r="F1297">
        <v>58.404468536000003</v>
      </c>
      <c r="G1297">
        <v>1333.8509521000001</v>
      </c>
      <c r="H1297">
        <v>1332.8248291</v>
      </c>
      <c r="I1297">
        <v>1330.0311279</v>
      </c>
      <c r="J1297">
        <v>1329.6619873</v>
      </c>
      <c r="K1297">
        <v>550</v>
      </c>
      <c r="L1297">
        <v>0</v>
      </c>
      <c r="M1297">
        <v>0</v>
      </c>
      <c r="N1297">
        <v>550</v>
      </c>
    </row>
    <row r="1298" spans="1:14" x14ac:dyDescent="0.25">
      <c r="A1298">
        <v>1132.7442880000001</v>
      </c>
      <c r="B1298" s="1">
        <f>DATE(2013,6,6) + TIME(17,51,46)</f>
        <v>41431.74428240741</v>
      </c>
      <c r="C1298">
        <v>80</v>
      </c>
      <c r="D1298">
        <v>79.939170837000006</v>
      </c>
      <c r="E1298">
        <v>60</v>
      </c>
      <c r="F1298">
        <v>58.342224121000001</v>
      </c>
      <c r="G1298">
        <v>1333.8493652</v>
      </c>
      <c r="H1298">
        <v>1332.8267822</v>
      </c>
      <c r="I1298">
        <v>1330.0192870999999</v>
      </c>
      <c r="J1298">
        <v>1329.6442870999999</v>
      </c>
      <c r="K1298">
        <v>550</v>
      </c>
      <c r="L1298">
        <v>0</v>
      </c>
      <c r="M1298">
        <v>0</v>
      </c>
      <c r="N1298">
        <v>550</v>
      </c>
    </row>
    <row r="1299" spans="1:14" x14ac:dyDescent="0.25">
      <c r="A1299">
        <v>1134.293594</v>
      </c>
      <c r="B1299" s="1">
        <f>DATE(2013,6,8) + TIME(7,2,46)</f>
        <v>41433.293587962966</v>
      </c>
      <c r="C1299">
        <v>80</v>
      </c>
      <c r="D1299">
        <v>79.939048767000003</v>
      </c>
      <c r="E1299">
        <v>60</v>
      </c>
      <c r="F1299">
        <v>58.278259276999997</v>
      </c>
      <c r="G1299">
        <v>1333.8479004000001</v>
      </c>
      <c r="H1299">
        <v>1332.8286132999999</v>
      </c>
      <c r="I1299">
        <v>1330.0075684000001</v>
      </c>
      <c r="J1299">
        <v>1329.6264647999999</v>
      </c>
      <c r="K1299">
        <v>550</v>
      </c>
      <c r="L1299">
        <v>0</v>
      </c>
      <c r="M1299">
        <v>0</v>
      </c>
      <c r="N1299">
        <v>550</v>
      </c>
    </row>
    <row r="1300" spans="1:14" x14ac:dyDescent="0.25">
      <c r="A1300">
        <v>1135.8966579999999</v>
      </c>
      <c r="B1300" s="1">
        <f>DATE(2013,6,9) + TIME(21,31,11)</f>
        <v>41434.896655092591</v>
      </c>
      <c r="C1300">
        <v>80</v>
      </c>
      <c r="D1300">
        <v>79.938926696999999</v>
      </c>
      <c r="E1300">
        <v>60</v>
      </c>
      <c r="F1300">
        <v>58.211780548</v>
      </c>
      <c r="G1300">
        <v>1333.8464355000001</v>
      </c>
      <c r="H1300">
        <v>1332.8304443</v>
      </c>
      <c r="I1300">
        <v>1329.9958495999999</v>
      </c>
      <c r="J1300">
        <v>1329.6088867000001</v>
      </c>
      <c r="K1300">
        <v>550</v>
      </c>
      <c r="L1300">
        <v>0</v>
      </c>
      <c r="M1300">
        <v>0</v>
      </c>
      <c r="N1300">
        <v>550</v>
      </c>
    </row>
    <row r="1301" spans="1:14" x14ac:dyDescent="0.25">
      <c r="A1301">
        <v>1137.590117</v>
      </c>
      <c r="B1301" s="1">
        <f>DATE(2013,6,11) + TIME(14,9,46)</f>
        <v>41436.590115740742</v>
      </c>
      <c r="C1301">
        <v>80</v>
      </c>
      <c r="D1301">
        <v>79.938819885000001</v>
      </c>
      <c r="E1301">
        <v>60</v>
      </c>
      <c r="F1301">
        <v>58.141799927000001</v>
      </c>
      <c r="G1301">
        <v>1333.8452147999999</v>
      </c>
      <c r="H1301">
        <v>1332.8322754000001</v>
      </c>
      <c r="I1301">
        <v>1329.9841309000001</v>
      </c>
      <c r="J1301">
        <v>1329.5909423999999</v>
      </c>
      <c r="K1301">
        <v>550</v>
      </c>
      <c r="L1301">
        <v>0</v>
      </c>
      <c r="M1301">
        <v>0</v>
      </c>
      <c r="N1301">
        <v>550</v>
      </c>
    </row>
    <row r="1302" spans="1:14" x14ac:dyDescent="0.25">
      <c r="A1302">
        <v>1139.367647</v>
      </c>
      <c r="B1302" s="1">
        <f>DATE(2013,6,13) + TIME(8,49,24)</f>
        <v>41438.367638888885</v>
      </c>
      <c r="C1302">
        <v>80</v>
      </c>
      <c r="D1302">
        <v>79.938713074000006</v>
      </c>
      <c r="E1302">
        <v>60</v>
      </c>
      <c r="F1302">
        <v>58.068458557</v>
      </c>
      <c r="G1302">
        <v>1333.8438721</v>
      </c>
      <c r="H1302">
        <v>1332.8341064000001</v>
      </c>
      <c r="I1302">
        <v>1329.972168</v>
      </c>
      <c r="J1302">
        <v>1329.5727539</v>
      </c>
      <c r="K1302">
        <v>550</v>
      </c>
      <c r="L1302">
        <v>0</v>
      </c>
      <c r="M1302">
        <v>0</v>
      </c>
      <c r="N1302">
        <v>550</v>
      </c>
    </row>
    <row r="1303" spans="1:14" x14ac:dyDescent="0.25">
      <c r="A1303">
        <v>1141.1534650000001</v>
      </c>
      <c r="B1303" s="1">
        <f>DATE(2013,6,15) + TIME(3,40,59)</f>
        <v>41440.153460648151</v>
      </c>
      <c r="C1303">
        <v>80</v>
      </c>
      <c r="D1303">
        <v>79.938613892000006</v>
      </c>
      <c r="E1303">
        <v>60</v>
      </c>
      <c r="F1303">
        <v>57.993961333999998</v>
      </c>
      <c r="G1303">
        <v>1333.8426514</v>
      </c>
      <c r="H1303">
        <v>1332.8359375</v>
      </c>
      <c r="I1303">
        <v>1329.9600829999999</v>
      </c>
      <c r="J1303">
        <v>1329.5543213000001</v>
      </c>
      <c r="K1303">
        <v>550</v>
      </c>
      <c r="L1303">
        <v>0</v>
      </c>
      <c r="M1303">
        <v>0</v>
      </c>
      <c r="N1303">
        <v>550</v>
      </c>
    </row>
    <row r="1304" spans="1:14" x14ac:dyDescent="0.25">
      <c r="A1304">
        <v>1142.969368</v>
      </c>
      <c r="B1304" s="1">
        <f>DATE(2013,6,16) + TIME(23,15,53)</f>
        <v>41441.969363425924</v>
      </c>
      <c r="C1304">
        <v>80</v>
      </c>
      <c r="D1304">
        <v>79.938529967999997</v>
      </c>
      <c r="E1304">
        <v>60</v>
      </c>
      <c r="F1304">
        <v>57.918369292999998</v>
      </c>
      <c r="G1304">
        <v>1333.8415527</v>
      </c>
      <c r="H1304">
        <v>1332.8376464999999</v>
      </c>
      <c r="I1304">
        <v>1329.9482422000001</v>
      </c>
      <c r="J1304">
        <v>1329.5360106999999</v>
      </c>
      <c r="K1304">
        <v>550</v>
      </c>
      <c r="L1304">
        <v>0</v>
      </c>
      <c r="M1304">
        <v>0</v>
      </c>
      <c r="N1304">
        <v>550</v>
      </c>
    </row>
    <row r="1305" spans="1:14" x14ac:dyDescent="0.25">
      <c r="A1305">
        <v>1144.8414009999999</v>
      </c>
      <c r="B1305" s="1">
        <f>DATE(2013,6,18) + TIME(20,11,37)</f>
        <v>41443.841400462959</v>
      </c>
      <c r="C1305">
        <v>80</v>
      </c>
      <c r="D1305">
        <v>79.938446045000006</v>
      </c>
      <c r="E1305">
        <v>60</v>
      </c>
      <c r="F1305">
        <v>57.841587066999999</v>
      </c>
      <c r="G1305">
        <v>1333.8404541</v>
      </c>
      <c r="H1305">
        <v>1332.8393555</v>
      </c>
      <c r="I1305">
        <v>1329.9365233999999</v>
      </c>
      <c r="J1305">
        <v>1329.5179443</v>
      </c>
      <c r="K1305">
        <v>550</v>
      </c>
      <c r="L1305">
        <v>0</v>
      </c>
      <c r="M1305">
        <v>0</v>
      </c>
      <c r="N1305">
        <v>550</v>
      </c>
    </row>
    <row r="1306" spans="1:14" x14ac:dyDescent="0.25">
      <c r="A1306">
        <v>1146.813973</v>
      </c>
      <c r="B1306" s="1">
        <f>DATE(2013,6,20) + TIME(19,32,7)</f>
        <v>41445.813969907409</v>
      </c>
      <c r="C1306">
        <v>80</v>
      </c>
      <c r="D1306">
        <v>79.938377380000006</v>
      </c>
      <c r="E1306">
        <v>60</v>
      </c>
      <c r="F1306">
        <v>57.763202667000002</v>
      </c>
      <c r="G1306">
        <v>1333.8394774999999</v>
      </c>
      <c r="H1306">
        <v>1332.8409423999999</v>
      </c>
      <c r="I1306">
        <v>1329.9249268000001</v>
      </c>
      <c r="J1306">
        <v>1329.5</v>
      </c>
      <c r="K1306">
        <v>550</v>
      </c>
      <c r="L1306">
        <v>0</v>
      </c>
      <c r="M1306">
        <v>0</v>
      </c>
      <c r="N1306">
        <v>550</v>
      </c>
    </row>
    <row r="1307" spans="1:14" x14ac:dyDescent="0.25">
      <c r="A1307">
        <v>1148.846526</v>
      </c>
      <c r="B1307" s="1">
        <f>DATE(2013,6,22) + TIME(20,18,59)</f>
        <v>41447.846516203703</v>
      </c>
      <c r="C1307">
        <v>80</v>
      </c>
      <c r="D1307">
        <v>79.938308715999995</v>
      </c>
      <c r="E1307">
        <v>60</v>
      </c>
      <c r="F1307">
        <v>57.685134888</v>
      </c>
      <c r="G1307">
        <v>1333.8383789</v>
      </c>
      <c r="H1307">
        <v>1332.8426514</v>
      </c>
      <c r="I1307">
        <v>1329.9133300999999</v>
      </c>
      <c r="J1307">
        <v>1329.4818115</v>
      </c>
      <c r="K1307">
        <v>550</v>
      </c>
      <c r="L1307">
        <v>0</v>
      </c>
      <c r="M1307">
        <v>0</v>
      </c>
      <c r="N1307">
        <v>550</v>
      </c>
    </row>
    <row r="1308" spans="1:14" x14ac:dyDescent="0.25">
      <c r="A1308">
        <v>1150.890983</v>
      </c>
      <c r="B1308" s="1">
        <f>DATE(2013,6,24) + TIME(21,23,0)</f>
        <v>41449.890972222223</v>
      </c>
      <c r="C1308">
        <v>80</v>
      </c>
      <c r="D1308">
        <v>79.938247681000007</v>
      </c>
      <c r="E1308">
        <v>60</v>
      </c>
      <c r="F1308">
        <v>57.610088347999998</v>
      </c>
      <c r="G1308">
        <v>1333.8374022999999</v>
      </c>
      <c r="H1308">
        <v>1332.8442382999999</v>
      </c>
      <c r="I1308">
        <v>1329.9018555</v>
      </c>
      <c r="J1308">
        <v>1329.4637451000001</v>
      </c>
      <c r="K1308">
        <v>550</v>
      </c>
      <c r="L1308">
        <v>0</v>
      </c>
      <c r="M1308">
        <v>0</v>
      </c>
      <c r="N1308">
        <v>550</v>
      </c>
    </row>
    <row r="1309" spans="1:14" x14ac:dyDescent="0.25">
      <c r="A1309">
        <v>1152.9957690000001</v>
      </c>
      <c r="B1309" s="1">
        <f>DATE(2013,6,26) + TIME(23,53,54)</f>
        <v>41451.995763888888</v>
      </c>
      <c r="C1309">
        <v>80</v>
      </c>
      <c r="D1309">
        <v>79.938194275000001</v>
      </c>
      <c r="E1309">
        <v>60</v>
      </c>
      <c r="F1309">
        <v>57.539196013999998</v>
      </c>
      <c r="G1309">
        <v>1333.8365478999999</v>
      </c>
      <c r="H1309">
        <v>1332.8457031</v>
      </c>
      <c r="I1309">
        <v>1329.8907471</v>
      </c>
      <c r="J1309">
        <v>1329.4460449000001</v>
      </c>
      <c r="K1309">
        <v>550</v>
      </c>
      <c r="L1309">
        <v>0</v>
      </c>
      <c r="M1309">
        <v>0</v>
      </c>
      <c r="N1309">
        <v>550</v>
      </c>
    </row>
    <row r="1310" spans="1:14" x14ac:dyDescent="0.25">
      <c r="A1310">
        <v>1155.203692</v>
      </c>
      <c r="B1310" s="1">
        <f>DATE(2013,6,29) + TIME(4,53,18)</f>
        <v>41454.203680555554</v>
      </c>
      <c r="C1310">
        <v>80</v>
      </c>
      <c r="D1310">
        <v>79.938148498999993</v>
      </c>
      <c r="E1310">
        <v>60</v>
      </c>
      <c r="F1310">
        <v>57.474281310999999</v>
      </c>
      <c r="G1310">
        <v>1333.8356934000001</v>
      </c>
      <c r="H1310">
        <v>1332.8472899999999</v>
      </c>
      <c r="I1310">
        <v>1329.8798827999999</v>
      </c>
      <c r="J1310">
        <v>1329.4285889</v>
      </c>
      <c r="K1310">
        <v>550</v>
      </c>
      <c r="L1310">
        <v>0</v>
      </c>
      <c r="M1310">
        <v>0</v>
      </c>
      <c r="N1310">
        <v>550</v>
      </c>
    </row>
    <row r="1311" spans="1:14" x14ac:dyDescent="0.25">
      <c r="A1311">
        <v>1157</v>
      </c>
      <c r="B1311" s="1">
        <f>DATE(2013,7,1) + TIME(0,0,0)</f>
        <v>41456</v>
      </c>
      <c r="C1311">
        <v>80</v>
      </c>
      <c r="D1311">
        <v>79.938102721999996</v>
      </c>
      <c r="E1311">
        <v>60</v>
      </c>
      <c r="F1311">
        <v>57.426788330000001</v>
      </c>
      <c r="G1311">
        <v>1333.8348389</v>
      </c>
      <c r="H1311">
        <v>1332.8487548999999</v>
      </c>
      <c r="I1311">
        <v>1329.8692627</v>
      </c>
      <c r="J1311">
        <v>1329.411499</v>
      </c>
      <c r="K1311">
        <v>550</v>
      </c>
      <c r="L1311">
        <v>0</v>
      </c>
      <c r="M1311">
        <v>0</v>
      </c>
      <c r="N1311">
        <v>550</v>
      </c>
    </row>
    <row r="1312" spans="1:14" x14ac:dyDescent="0.25">
      <c r="A1312">
        <v>1159.3286459999999</v>
      </c>
      <c r="B1312" s="1">
        <f>DATE(2013,7,3) + TIME(7,53,15)</f>
        <v>41458.328645833331</v>
      </c>
      <c r="C1312">
        <v>80</v>
      </c>
      <c r="D1312">
        <v>79.938087463000002</v>
      </c>
      <c r="E1312">
        <v>60</v>
      </c>
      <c r="F1312">
        <v>57.385211945000002</v>
      </c>
      <c r="G1312">
        <v>1333.8342285000001</v>
      </c>
      <c r="H1312">
        <v>1332.8498535000001</v>
      </c>
      <c r="I1312">
        <v>1329.8603516000001</v>
      </c>
      <c r="J1312">
        <v>1329.3967285000001</v>
      </c>
      <c r="K1312">
        <v>550</v>
      </c>
      <c r="L1312">
        <v>0</v>
      </c>
      <c r="M1312">
        <v>0</v>
      </c>
      <c r="N1312">
        <v>550</v>
      </c>
    </row>
    <row r="1313" spans="1:14" x14ac:dyDescent="0.25">
      <c r="A1313">
        <v>1161.7016920000001</v>
      </c>
      <c r="B1313" s="1">
        <f>DATE(2013,7,5) + TIME(16,50,26)</f>
        <v>41460.701689814814</v>
      </c>
      <c r="C1313">
        <v>80</v>
      </c>
      <c r="D1313">
        <v>79.938064574999999</v>
      </c>
      <c r="E1313">
        <v>60</v>
      </c>
      <c r="F1313">
        <v>57.361732482999997</v>
      </c>
      <c r="G1313">
        <v>1333.8334961</v>
      </c>
      <c r="H1313">
        <v>1332.8513184000001</v>
      </c>
      <c r="I1313">
        <v>1329.8505858999999</v>
      </c>
      <c r="J1313">
        <v>1329.3804932</v>
      </c>
      <c r="K1313">
        <v>550</v>
      </c>
      <c r="L1313">
        <v>0</v>
      </c>
      <c r="M1313">
        <v>0</v>
      </c>
      <c r="N1313">
        <v>550</v>
      </c>
    </row>
    <row r="1314" spans="1:14" x14ac:dyDescent="0.25">
      <c r="A1314">
        <v>1164.160842</v>
      </c>
      <c r="B1314" s="1">
        <f>DATE(2013,7,8) + TIME(3,51,36)</f>
        <v>41463.160833333335</v>
      </c>
      <c r="C1314">
        <v>80</v>
      </c>
      <c r="D1314">
        <v>79.938049316000004</v>
      </c>
      <c r="E1314">
        <v>60</v>
      </c>
      <c r="F1314">
        <v>57.362178802000003</v>
      </c>
      <c r="G1314">
        <v>1333.8326416</v>
      </c>
      <c r="H1314">
        <v>1332.8526611</v>
      </c>
      <c r="I1314">
        <v>1329.8411865</v>
      </c>
      <c r="J1314">
        <v>1329.3647461</v>
      </c>
      <c r="K1314">
        <v>550</v>
      </c>
      <c r="L1314">
        <v>0</v>
      </c>
      <c r="M1314">
        <v>0</v>
      </c>
      <c r="N1314">
        <v>550</v>
      </c>
    </row>
    <row r="1315" spans="1:14" x14ac:dyDescent="0.25">
      <c r="A1315">
        <v>1166.768818</v>
      </c>
      <c r="B1315" s="1">
        <f>DATE(2013,7,10) + TIME(18,27,5)</f>
        <v>41465.768807870372</v>
      </c>
      <c r="C1315">
        <v>80</v>
      </c>
      <c r="D1315">
        <v>79.938041686999995</v>
      </c>
      <c r="E1315">
        <v>60</v>
      </c>
      <c r="F1315">
        <v>57.394023894999997</v>
      </c>
      <c r="G1315">
        <v>1333.8319091999999</v>
      </c>
      <c r="H1315">
        <v>1332.8540039</v>
      </c>
      <c r="I1315">
        <v>1329.8321533000001</v>
      </c>
      <c r="J1315">
        <v>1329.3493652</v>
      </c>
      <c r="K1315">
        <v>550</v>
      </c>
      <c r="L1315">
        <v>0</v>
      </c>
      <c r="M1315">
        <v>0</v>
      </c>
      <c r="N1315">
        <v>550</v>
      </c>
    </row>
    <row r="1316" spans="1:14" x14ac:dyDescent="0.25">
      <c r="A1316">
        <v>1169.413174</v>
      </c>
      <c r="B1316" s="1">
        <f>DATE(2013,7,13) + TIME(9,54,58)</f>
        <v>41468.413171296299</v>
      </c>
      <c r="C1316">
        <v>80</v>
      </c>
      <c r="D1316">
        <v>79.938034058</v>
      </c>
      <c r="E1316">
        <v>60</v>
      </c>
      <c r="F1316">
        <v>57.465282440000003</v>
      </c>
      <c r="G1316">
        <v>1333.8311768000001</v>
      </c>
      <c r="H1316">
        <v>1332.8553466999999</v>
      </c>
      <c r="I1316">
        <v>1329.8234863</v>
      </c>
      <c r="J1316">
        <v>1329.3344727000001</v>
      </c>
      <c r="K1316">
        <v>550</v>
      </c>
      <c r="L1316">
        <v>0</v>
      </c>
      <c r="M1316">
        <v>0</v>
      </c>
      <c r="N1316">
        <v>550</v>
      </c>
    </row>
    <row r="1317" spans="1:14" x14ac:dyDescent="0.25">
      <c r="A1317">
        <v>1172.100565</v>
      </c>
      <c r="B1317" s="1">
        <f>DATE(2013,7,16) + TIME(2,24,48)</f>
        <v>41471.100555555553</v>
      </c>
      <c r="C1317">
        <v>80</v>
      </c>
      <c r="D1317">
        <v>79.938034058</v>
      </c>
      <c r="E1317">
        <v>60</v>
      </c>
      <c r="F1317">
        <v>57.582073211999997</v>
      </c>
      <c r="G1317">
        <v>1333.8305664</v>
      </c>
      <c r="H1317">
        <v>1332.8565673999999</v>
      </c>
      <c r="I1317">
        <v>1329.8155518000001</v>
      </c>
      <c r="J1317">
        <v>1329.3205565999999</v>
      </c>
      <c r="K1317">
        <v>550</v>
      </c>
      <c r="L1317">
        <v>0</v>
      </c>
      <c r="M1317">
        <v>0</v>
      </c>
      <c r="N1317">
        <v>550</v>
      </c>
    </row>
    <row r="1318" spans="1:14" x14ac:dyDescent="0.25">
      <c r="A1318">
        <v>1174.9072679999999</v>
      </c>
      <c r="B1318" s="1">
        <f>DATE(2013,7,18) + TIME(21,46,27)</f>
        <v>41473.907256944447</v>
      </c>
      <c r="C1318">
        <v>80</v>
      </c>
      <c r="D1318">
        <v>79.938049316000004</v>
      </c>
      <c r="E1318">
        <v>60</v>
      </c>
      <c r="F1318">
        <v>57.751457213999998</v>
      </c>
      <c r="G1318">
        <v>1333.8298339999999</v>
      </c>
      <c r="H1318">
        <v>1332.8577881000001</v>
      </c>
      <c r="I1318">
        <v>1329.8082274999999</v>
      </c>
      <c r="J1318">
        <v>1329.3076172000001</v>
      </c>
      <c r="K1318">
        <v>550</v>
      </c>
      <c r="L1318">
        <v>0</v>
      </c>
      <c r="M1318">
        <v>0</v>
      </c>
      <c r="N1318">
        <v>550</v>
      </c>
    </row>
    <row r="1319" spans="1:14" x14ac:dyDescent="0.25">
      <c r="A1319">
        <v>1177.8696709999999</v>
      </c>
      <c r="B1319" s="1">
        <f>DATE(2013,7,21) + TIME(20,52,19)</f>
        <v>41476.869664351849</v>
      </c>
      <c r="C1319">
        <v>80</v>
      </c>
      <c r="D1319">
        <v>79.938064574999999</v>
      </c>
      <c r="E1319">
        <v>60</v>
      </c>
      <c r="F1319">
        <v>57.981147765999999</v>
      </c>
      <c r="G1319">
        <v>1333.8292236</v>
      </c>
      <c r="H1319">
        <v>1332.8590088000001</v>
      </c>
      <c r="I1319">
        <v>1329.8016356999999</v>
      </c>
      <c r="J1319">
        <v>1329.2956543</v>
      </c>
      <c r="K1319">
        <v>550</v>
      </c>
      <c r="L1319">
        <v>0</v>
      </c>
      <c r="M1319">
        <v>0</v>
      </c>
      <c r="N1319">
        <v>550</v>
      </c>
    </row>
    <row r="1320" spans="1:14" x14ac:dyDescent="0.25">
      <c r="A1320">
        <v>1180.894892</v>
      </c>
      <c r="B1320" s="1">
        <f>DATE(2013,7,24) + TIME(21,28,38)</f>
        <v>41479.894884259258</v>
      </c>
      <c r="C1320">
        <v>80</v>
      </c>
      <c r="D1320">
        <v>79.938087463000002</v>
      </c>
      <c r="E1320">
        <v>60</v>
      </c>
      <c r="F1320">
        <v>58.272350310999997</v>
      </c>
      <c r="G1320">
        <v>1333.8286132999999</v>
      </c>
      <c r="H1320">
        <v>1332.8601074000001</v>
      </c>
      <c r="I1320">
        <v>1329.7955322</v>
      </c>
      <c r="J1320">
        <v>1329.2847899999999</v>
      </c>
      <c r="K1320">
        <v>550</v>
      </c>
      <c r="L1320">
        <v>0</v>
      </c>
      <c r="M1320">
        <v>0</v>
      </c>
      <c r="N1320">
        <v>550</v>
      </c>
    </row>
    <row r="1321" spans="1:14" x14ac:dyDescent="0.25">
      <c r="A1321">
        <v>1183.968793</v>
      </c>
      <c r="B1321" s="1">
        <f>DATE(2013,7,27) + TIME(23,15,3)</f>
        <v>41482.968784722223</v>
      </c>
      <c r="C1321">
        <v>80</v>
      </c>
      <c r="D1321">
        <v>79.938117981000005</v>
      </c>
      <c r="E1321">
        <v>60</v>
      </c>
      <c r="F1321">
        <v>58.620063782000003</v>
      </c>
      <c r="G1321">
        <v>1333.8280029</v>
      </c>
      <c r="H1321">
        <v>1332.8613281</v>
      </c>
      <c r="I1321">
        <v>1329.7902832</v>
      </c>
      <c r="J1321">
        <v>1329.2751464999999</v>
      </c>
      <c r="K1321">
        <v>550</v>
      </c>
      <c r="L1321">
        <v>0</v>
      </c>
      <c r="M1321">
        <v>0</v>
      </c>
      <c r="N1321">
        <v>550</v>
      </c>
    </row>
    <row r="1322" spans="1:14" x14ac:dyDescent="0.25">
      <c r="A1322">
        <v>1187.186273</v>
      </c>
      <c r="B1322" s="1">
        <f>DATE(2013,7,31) + TIME(4,28,14)</f>
        <v>41486.186273148145</v>
      </c>
      <c r="C1322">
        <v>80</v>
      </c>
      <c r="D1322">
        <v>79.938163756999998</v>
      </c>
      <c r="E1322">
        <v>60</v>
      </c>
      <c r="F1322">
        <v>59.021598816000001</v>
      </c>
      <c r="G1322">
        <v>1333.8273925999999</v>
      </c>
      <c r="H1322">
        <v>1332.8624268000001</v>
      </c>
      <c r="I1322">
        <v>1329.7857666</v>
      </c>
      <c r="J1322">
        <v>1329.2669678</v>
      </c>
      <c r="K1322">
        <v>550</v>
      </c>
      <c r="L1322">
        <v>0</v>
      </c>
      <c r="M1322">
        <v>0</v>
      </c>
      <c r="N1322">
        <v>550</v>
      </c>
    </row>
    <row r="1323" spans="1:14" x14ac:dyDescent="0.25">
      <c r="A1323">
        <v>1188</v>
      </c>
      <c r="B1323" s="1">
        <f>DATE(2013,8,1) + TIME(0,0,0)</f>
        <v>41487</v>
      </c>
      <c r="C1323">
        <v>80</v>
      </c>
      <c r="D1323">
        <v>79.938133239999999</v>
      </c>
      <c r="E1323">
        <v>60</v>
      </c>
      <c r="F1323">
        <v>59.212688446000001</v>
      </c>
      <c r="G1323">
        <v>1333.8269043</v>
      </c>
      <c r="H1323">
        <v>1332.8635254000001</v>
      </c>
      <c r="I1323">
        <v>1329.7829589999999</v>
      </c>
      <c r="J1323">
        <v>1329.2602539</v>
      </c>
      <c r="K1323">
        <v>550</v>
      </c>
      <c r="L1323">
        <v>0</v>
      </c>
      <c r="M1323">
        <v>0</v>
      </c>
      <c r="N1323">
        <v>550</v>
      </c>
    </row>
    <row r="1324" spans="1:14" x14ac:dyDescent="0.25">
      <c r="A1324">
        <v>1191.414644</v>
      </c>
      <c r="B1324" s="1">
        <f>DATE(2013,8,4) + TIME(9,57,5)</f>
        <v>41490.414641203701</v>
      </c>
      <c r="C1324">
        <v>80</v>
      </c>
      <c r="D1324">
        <v>79.938217163000004</v>
      </c>
      <c r="E1324">
        <v>60</v>
      </c>
      <c r="F1324">
        <v>59.627559662000003</v>
      </c>
      <c r="G1324">
        <v>1333.8267822</v>
      </c>
      <c r="H1324">
        <v>1332.8637695</v>
      </c>
      <c r="I1324">
        <v>1329.7803954999999</v>
      </c>
      <c r="J1324">
        <v>1329.2576904</v>
      </c>
      <c r="K1324">
        <v>550</v>
      </c>
      <c r="L1324">
        <v>0</v>
      </c>
      <c r="M1324">
        <v>0</v>
      </c>
      <c r="N1324">
        <v>550</v>
      </c>
    </row>
    <row r="1325" spans="1:14" x14ac:dyDescent="0.25">
      <c r="A1325">
        <v>1194.870013</v>
      </c>
      <c r="B1325" s="1">
        <f>DATE(2013,8,7) + TIME(20,52,49)</f>
        <v>41493.870011574072</v>
      </c>
      <c r="C1325">
        <v>80</v>
      </c>
      <c r="D1325">
        <v>79.938278198000006</v>
      </c>
      <c r="E1325">
        <v>60</v>
      </c>
      <c r="F1325">
        <v>60.101696013999998</v>
      </c>
      <c r="G1325">
        <v>1333.8261719</v>
      </c>
      <c r="H1325">
        <v>1332.8648682</v>
      </c>
      <c r="I1325">
        <v>1329.7775879000001</v>
      </c>
      <c r="J1325">
        <v>1329.2521973</v>
      </c>
      <c r="K1325">
        <v>550</v>
      </c>
      <c r="L1325">
        <v>0</v>
      </c>
      <c r="M1325">
        <v>0</v>
      </c>
      <c r="N1325">
        <v>550</v>
      </c>
    </row>
    <row r="1326" spans="1:14" x14ac:dyDescent="0.25">
      <c r="A1326">
        <v>1198.472235</v>
      </c>
      <c r="B1326" s="1">
        <f>DATE(2013,8,11) + TIME(11,20,1)</f>
        <v>41497.472233796296</v>
      </c>
      <c r="C1326">
        <v>80</v>
      </c>
      <c r="D1326">
        <v>79.938339232999994</v>
      </c>
      <c r="E1326">
        <v>60</v>
      </c>
      <c r="F1326">
        <v>60.608512877999999</v>
      </c>
      <c r="G1326">
        <v>1333.8256836</v>
      </c>
      <c r="H1326">
        <v>1332.8658447</v>
      </c>
      <c r="I1326">
        <v>1329.7751464999999</v>
      </c>
      <c r="J1326">
        <v>1329.2476807</v>
      </c>
      <c r="K1326">
        <v>550</v>
      </c>
      <c r="L1326">
        <v>0</v>
      </c>
      <c r="M1326">
        <v>0</v>
      </c>
      <c r="N1326">
        <v>550</v>
      </c>
    </row>
    <row r="1327" spans="1:14" x14ac:dyDescent="0.25">
      <c r="A1327">
        <v>1202.305789</v>
      </c>
      <c r="B1327" s="1">
        <f>DATE(2013,8,15) + TIME(7,20,20)</f>
        <v>41501.305787037039</v>
      </c>
      <c r="C1327">
        <v>80</v>
      </c>
      <c r="D1327">
        <v>79.938415527000004</v>
      </c>
      <c r="E1327">
        <v>60</v>
      </c>
      <c r="F1327">
        <v>61.137096405000001</v>
      </c>
      <c r="G1327">
        <v>1333.8251952999999</v>
      </c>
      <c r="H1327">
        <v>1332.8669434000001</v>
      </c>
      <c r="I1327">
        <v>1329.7731934000001</v>
      </c>
      <c r="J1327">
        <v>1329.2438964999999</v>
      </c>
      <c r="K1327">
        <v>550</v>
      </c>
      <c r="L1327">
        <v>0</v>
      </c>
      <c r="M1327">
        <v>0</v>
      </c>
      <c r="N1327">
        <v>550</v>
      </c>
    </row>
    <row r="1328" spans="1:14" x14ac:dyDescent="0.25">
      <c r="A1328">
        <v>1206.21272</v>
      </c>
      <c r="B1328" s="1">
        <f>DATE(2013,8,19) + TIME(5,6,19)</f>
        <v>41505.212719907409</v>
      </c>
      <c r="C1328">
        <v>80</v>
      </c>
      <c r="D1328">
        <v>79.938491821</v>
      </c>
      <c r="E1328">
        <v>60</v>
      </c>
      <c r="F1328">
        <v>61.669227599999999</v>
      </c>
      <c r="G1328">
        <v>1333.824707</v>
      </c>
      <c r="H1328">
        <v>1332.8680420000001</v>
      </c>
      <c r="I1328">
        <v>1329.7714844</v>
      </c>
      <c r="J1328">
        <v>1329.2407227000001</v>
      </c>
      <c r="K1328">
        <v>550</v>
      </c>
      <c r="L1328">
        <v>0</v>
      </c>
      <c r="M1328">
        <v>0</v>
      </c>
      <c r="N1328">
        <v>550</v>
      </c>
    </row>
    <row r="1329" spans="1:14" x14ac:dyDescent="0.25">
      <c r="A1329">
        <v>1210.224195</v>
      </c>
      <c r="B1329" s="1">
        <f>DATE(2013,8,23) + TIME(5,22,50)</f>
        <v>41509.224189814813</v>
      </c>
      <c r="C1329">
        <v>80</v>
      </c>
      <c r="D1329">
        <v>79.938575744999994</v>
      </c>
      <c r="E1329">
        <v>60</v>
      </c>
      <c r="F1329">
        <v>62.188461304</v>
      </c>
      <c r="G1329">
        <v>1333.8243408000001</v>
      </c>
      <c r="H1329">
        <v>1332.8690185999999</v>
      </c>
      <c r="I1329">
        <v>1329.7701416</v>
      </c>
      <c r="J1329">
        <v>1329.2382812000001</v>
      </c>
      <c r="K1329">
        <v>550</v>
      </c>
      <c r="L1329">
        <v>0</v>
      </c>
      <c r="M1329">
        <v>0</v>
      </c>
      <c r="N1329">
        <v>550</v>
      </c>
    </row>
    <row r="1330" spans="1:14" x14ac:dyDescent="0.25">
      <c r="A1330">
        <v>1214.4788719999999</v>
      </c>
      <c r="B1330" s="1">
        <f>DATE(2013,8,27) + TIME(11,29,34)</f>
        <v>41513.478865740741</v>
      </c>
      <c r="C1330">
        <v>80</v>
      </c>
      <c r="D1330">
        <v>79.938667296999995</v>
      </c>
      <c r="E1330">
        <v>60</v>
      </c>
      <c r="F1330">
        <v>62.691215515000003</v>
      </c>
      <c r="G1330">
        <v>1333.8239745999999</v>
      </c>
      <c r="H1330">
        <v>1332.8701172000001</v>
      </c>
      <c r="I1330">
        <v>1329.7691649999999</v>
      </c>
      <c r="J1330">
        <v>1329.2362060999999</v>
      </c>
      <c r="K1330">
        <v>550</v>
      </c>
      <c r="L1330">
        <v>0</v>
      </c>
      <c r="M1330">
        <v>0</v>
      </c>
      <c r="N1330">
        <v>550</v>
      </c>
    </row>
    <row r="1331" spans="1:14" x14ac:dyDescent="0.25">
      <c r="A1331">
        <v>1216.7394360000001</v>
      </c>
      <c r="B1331" s="1">
        <f>DATE(2013,8,29) + TIME(17,44,47)</f>
        <v>41515.739432870374</v>
      </c>
      <c r="C1331">
        <v>80</v>
      </c>
      <c r="D1331">
        <v>79.938690186000002</v>
      </c>
      <c r="E1331">
        <v>60</v>
      </c>
      <c r="F1331">
        <v>63.053577423</v>
      </c>
      <c r="G1331">
        <v>1333.8236084</v>
      </c>
      <c r="H1331">
        <v>1332.8710937999999</v>
      </c>
      <c r="I1331">
        <v>1329.7687988</v>
      </c>
      <c r="J1331">
        <v>1329.2346190999999</v>
      </c>
      <c r="K1331">
        <v>550</v>
      </c>
      <c r="L1331">
        <v>0</v>
      </c>
      <c r="M1331">
        <v>0</v>
      </c>
      <c r="N1331">
        <v>550</v>
      </c>
    </row>
    <row r="1332" spans="1:14" x14ac:dyDescent="0.25">
      <c r="A1332">
        <v>1219</v>
      </c>
      <c r="B1332" s="1">
        <f>DATE(2013,9,1) + TIME(0,0,0)</f>
        <v>41518</v>
      </c>
      <c r="C1332">
        <v>80</v>
      </c>
      <c r="D1332">
        <v>79.938735961999996</v>
      </c>
      <c r="E1332">
        <v>60</v>
      </c>
      <c r="F1332">
        <v>63.348178863999998</v>
      </c>
      <c r="G1332">
        <v>1333.8234863</v>
      </c>
      <c r="H1332">
        <v>1332.8717041</v>
      </c>
      <c r="I1332">
        <v>1329.7680664</v>
      </c>
      <c r="J1332">
        <v>1329.2338867000001</v>
      </c>
      <c r="K1332">
        <v>550</v>
      </c>
      <c r="L1332">
        <v>0</v>
      </c>
      <c r="M1332">
        <v>0</v>
      </c>
      <c r="N1332">
        <v>550</v>
      </c>
    </row>
    <row r="1333" spans="1:14" x14ac:dyDescent="0.25">
      <c r="A1333">
        <v>1223.5211280000001</v>
      </c>
      <c r="B1333" s="1">
        <f>DATE(2013,9,5) + TIME(12,30,25)</f>
        <v>41522.521122685182</v>
      </c>
      <c r="C1333">
        <v>80</v>
      </c>
      <c r="D1333">
        <v>79.938880920000003</v>
      </c>
      <c r="E1333">
        <v>60</v>
      </c>
      <c r="F1333">
        <v>63.688705444</v>
      </c>
      <c r="G1333">
        <v>1333.8233643000001</v>
      </c>
      <c r="H1333">
        <v>1332.8721923999999</v>
      </c>
      <c r="I1333">
        <v>1329.7672118999999</v>
      </c>
      <c r="J1333">
        <v>1329.2330322</v>
      </c>
      <c r="K1333">
        <v>550</v>
      </c>
      <c r="L1333">
        <v>0</v>
      </c>
      <c r="M1333">
        <v>0</v>
      </c>
      <c r="N1333">
        <v>550</v>
      </c>
    </row>
    <row r="1334" spans="1:14" x14ac:dyDescent="0.25">
      <c r="A1334">
        <v>1228.2399029999999</v>
      </c>
      <c r="B1334" s="1">
        <f>DATE(2013,9,10) + TIME(5,45,27)</f>
        <v>41527.239895833336</v>
      </c>
      <c r="C1334">
        <v>80</v>
      </c>
      <c r="D1334">
        <v>79.939002990999995</v>
      </c>
      <c r="E1334">
        <v>60</v>
      </c>
      <c r="F1334">
        <v>64.072608947999996</v>
      </c>
      <c r="G1334">
        <v>1333.8229980000001</v>
      </c>
      <c r="H1334">
        <v>1332.8731689000001</v>
      </c>
      <c r="I1334">
        <v>1329.7668457</v>
      </c>
      <c r="J1334">
        <v>1329.2314452999999</v>
      </c>
      <c r="K1334">
        <v>550</v>
      </c>
      <c r="L1334">
        <v>0</v>
      </c>
      <c r="M1334">
        <v>0</v>
      </c>
      <c r="N1334">
        <v>550</v>
      </c>
    </row>
    <row r="1335" spans="1:14" x14ac:dyDescent="0.25">
      <c r="A1335">
        <v>1233.320054</v>
      </c>
      <c r="B1335" s="1">
        <f>DATE(2013,9,15) + TIME(7,40,52)</f>
        <v>41532.3200462963</v>
      </c>
      <c r="C1335">
        <v>80</v>
      </c>
      <c r="D1335">
        <v>79.939132689999994</v>
      </c>
      <c r="E1335">
        <v>60</v>
      </c>
      <c r="F1335">
        <v>64.457305907999995</v>
      </c>
      <c r="G1335">
        <v>1333.8227539</v>
      </c>
      <c r="H1335">
        <v>1332.8741454999999</v>
      </c>
      <c r="I1335">
        <v>1329.7664795000001</v>
      </c>
      <c r="J1335">
        <v>1329.2301024999999</v>
      </c>
      <c r="K1335">
        <v>550</v>
      </c>
      <c r="L1335">
        <v>0</v>
      </c>
      <c r="M1335">
        <v>0</v>
      </c>
      <c r="N1335">
        <v>550</v>
      </c>
    </row>
    <row r="1336" spans="1:14" x14ac:dyDescent="0.25">
      <c r="A1336">
        <v>1238.4928809999999</v>
      </c>
      <c r="B1336" s="1">
        <f>DATE(2013,9,20) + TIME(11,49,44)</f>
        <v>41537.49287037037</v>
      </c>
      <c r="C1336">
        <v>80</v>
      </c>
      <c r="D1336">
        <v>79.939262389999996</v>
      </c>
      <c r="E1336">
        <v>60</v>
      </c>
      <c r="F1336">
        <v>64.825073242000002</v>
      </c>
      <c r="G1336">
        <v>1333.8226318</v>
      </c>
      <c r="H1336">
        <v>1332.8752440999999</v>
      </c>
      <c r="I1336">
        <v>1329.7661132999999</v>
      </c>
      <c r="J1336">
        <v>1329.2287598</v>
      </c>
      <c r="K1336">
        <v>550</v>
      </c>
      <c r="L1336">
        <v>0</v>
      </c>
      <c r="M1336">
        <v>0</v>
      </c>
      <c r="N1336">
        <v>550</v>
      </c>
    </row>
    <row r="1337" spans="1:14" x14ac:dyDescent="0.25">
      <c r="A1337">
        <v>1243.974046</v>
      </c>
      <c r="B1337" s="1">
        <f>DATE(2013,9,25) + TIME(23,22,37)</f>
        <v>41542.974039351851</v>
      </c>
      <c r="C1337">
        <v>80</v>
      </c>
      <c r="D1337">
        <v>79.939414978000002</v>
      </c>
      <c r="E1337">
        <v>60</v>
      </c>
      <c r="F1337">
        <v>65.166992187999995</v>
      </c>
      <c r="G1337">
        <v>1333.8223877</v>
      </c>
      <c r="H1337">
        <v>1332.8763428</v>
      </c>
      <c r="I1337">
        <v>1329.7657471</v>
      </c>
      <c r="J1337">
        <v>1329.2275391000001</v>
      </c>
      <c r="K1337">
        <v>550</v>
      </c>
      <c r="L1337">
        <v>0</v>
      </c>
      <c r="M1337">
        <v>0</v>
      </c>
      <c r="N1337">
        <v>550</v>
      </c>
    </row>
    <row r="1338" spans="1:14" x14ac:dyDescent="0.25">
      <c r="A1338">
        <v>1249</v>
      </c>
      <c r="B1338" s="1">
        <f>DATE(2013,10,1) + TIME(0,0,0)</f>
        <v>41548</v>
      </c>
      <c r="C1338">
        <v>80</v>
      </c>
      <c r="D1338">
        <v>79.939537048000005</v>
      </c>
      <c r="E1338">
        <v>60</v>
      </c>
      <c r="F1338">
        <v>65.473358153999996</v>
      </c>
      <c r="G1338">
        <v>1333.8222656</v>
      </c>
      <c r="H1338">
        <v>1332.8774414</v>
      </c>
      <c r="I1338">
        <v>1329.7653809000001</v>
      </c>
      <c r="J1338">
        <v>1329.2261963000001</v>
      </c>
      <c r="K1338">
        <v>550</v>
      </c>
      <c r="L1338">
        <v>0</v>
      </c>
      <c r="M1338">
        <v>0</v>
      </c>
      <c r="N1338">
        <v>550</v>
      </c>
    </row>
    <row r="1339" spans="1:14" x14ac:dyDescent="0.25">
      <c r="A1339">
        <v>1254.7351900000001</v>
      </c>
      <c r="B1339" s="1">
        <f>DATE(2013,10,6) + TIME(17,38,40)</f>
        <v>41553.735185185185</v>
      </c>
      <c r="C1339">
        <v>80</v>
      </c>
      <c r="D1339">
        <v>79.939704895000006</v>
      </c>
      <c r="E1339">
        <v>60</v>
      </c>
      <c r="F1339">
        <v>65.749671935999999</v>
      </c>
      <c r="G1339">
        <v>1333.8222656</v>
      </c>
      <c r="H1339">
        <v>1332.8782959</v>
      </c>
      <c r="I1339">
        <v>1329.7650146000001</v>
      </c>
      <c r="J1339">
        <v>1329.2250977000001</v>
      </c>
      <c r="K1339">
        <v>550</v>
      </c>
      <c r="L1339">
        <v>0</v>
      </c>
      <c r="M1339">
        <v>0</v>
      </c>
      <c r="N1339">
        <v>550</v>
      </c>
    </row>
    <row r="1340" spans="1:14" x14ac:dyDescent="0.25">
      <c r="A1340">
        <v>1261.0076610000001</v>
      </c>
      <c r="B1340" s="1">
        <f>DATE(2013,10,13) + TIME(0,11,1)</f>
        <v>41560.007650462961</v>
      </c>
      <c r="C1340">
        <v>80</v>
      </c>
      <c r="D1340">
        <v>79.939880371000001</v>
      </c>
      <c r="E1340">
        <v>60</v>
      </c>
      <c r="F1340">
        <v>66.016944885000001</v>
      </c>
      <c r="G1340">
        <v>1333.8221435999999</v>
      </c>
      <c r="H1340">
        <v>1332.8793945</v>
      </c>
      <c r="I1340">
        <v>1329.7646483999999</v>
      </c>
      <c r="J1340">
        <v>1329.2236327999999</v>
      </c>
      <c r="K1340">
        <v>550</v>
      </c>
      <c r="L1340">
        <v>0</v>
      </c>
      <c r="M1340">
        <v>0</v>
      </c>
      <c r="N1340">
        <v>550</v>
      </c>
    </row>
    <row r="1341" spans="1:14" x14ac:dyDescent="0.25">
      <c r="A1341">
        <v>1267.4973600000001</v>
      </c>
      <c r="B1341" s="1">
        <f>DATE(2013,10,19) + TIME(11,56,11)</f>
        <v>41566.497349537036</v>
      </c>
      <c r="C1341">
        <v>80</v>
      </c>
      <c r="D1341">
        <v>79.940055846999996</v>
      </c>
      <c r="E1341">
        <v>60</v>
      </c>
      <c r="F1341">
        <v>66.273223877000007</v>
      </c>
      <c r="G1341">
        <v>1333.8221435999999</v>
      </c>
      <c r="H1341">
        <v>1332.8804932</v>
      </c>
      <c r="I1341">
        <v>1329.7644043</v>
      </c>
      <c r="J1341">
        <v>1329.2222899999999</v>
      </c>
      <c r="K1341">
        <v>550</v>
      </c>
      <c r="L1341">
        <v>0</v>
      </c>
      <c r="M1341">
        <v>0</v>
      </c>
      <c r="N1341">
        <v>550</v>
      </c>
    </row>
    <row r="1342" spans="1:14" x14ac:dyDescent="0.25">
      <c r="A1342">
        <v>1274.253645</v>
      </c>
      <c r="B1342" s="1">
        <f>DATE(2013,10,26) + TIME(6,5,14)</f>
        <v>41573.253634259258</v>
      </c>
      <c r="C1342">
        <v>80</v>
      </c>
      <c r="D1342">
        <v>79.940246582</v>
      </c>
      <c r="E1342">
        <v>60</v>
      </c>
      <c r="F1342">
        <v>66.512710571</v>
      </c>
      <c r="G1342">
        <v>1333.8221435999999</v>
      </c>
      <c r="H1342">
        <v>1332.8815918</v>
      </c>
      <c r="I1342">
        <v>1329.7641602000001</v>
      </c>
      <c r="J1342">
        <v>1329.2208252</v>
      </c>
      <c r="K1342">
        <v>550</v>
      </c>
      <c r="L1342">
        <v>0</v>
      </c>
      <c r="M1342">
        <v>0</v>
      </c>
      <c r="N1342">
        <v>550</v>
      </c>
    </row>
    <row r="1343" spans="1:14" x14ac:dyDescent="0.25">
      <c r="A1343">
        <v>1280</v>
      </c>
      <c r="B1343" s="1">
        <f>DATE(2013,11,1) + TIME(0,0,0)</f>
        <v>41579</v>
      </c>
      <c r="C1343">
        <v>80</v>
      </c>
      <c r="D1343">
        <v>79.940399170000006</v>
      </c>
      <c r="E1343">
        <v>60</v>
      </c>
      <c r="F1343">
        <v>66.724845885999997</v>
      </c>
      <c r="G1343">
        <v>1333.8221435999999</v>
      </c>
      <c r="H1343">
        <v>1332.8826904</v>
      </c>
      <c r="I1343">
        <v>1329.7639160000001</v>
      </c>
      <c r="J1343">
        <v>1329.2194824000001</v>
      </c>
      <c r="K1343">
        <v>550</v>
      </c>
      <c r="L1343">
        <v>0</v>
      </c>
      <c r="M1343">
        <v>0</v>
      </c>
      <c r="N1343">
        <v>550</v>
      </c>
    </row>
    <row r="1344" spans="1:14" x14ac:dyDescent="0.25">
      <c r="A1344">
        <v>1280.0000010000001</v>
      </c>
      <c r="B1344" s="1">
        <f>DATE(2013,11,1) + TIME(0,0,0)</f>
        <v>41579</v>
      </c>
      <c r="C1344">
        <v>80</v>
      </c>
      <c r="D1344">
        <v>79.940368652000004</v>
      </c>
      <c r="E1344">
        <v>60</v>
      </c>
      <c r="F1344">
        <v>66.724876404</v>
      </c>
      <c r="G1344">
        <v>1332.6656493999999</v>
      </c>
      <c r="H1344">
        <v>1332.9213867000001</v>
      </c>
      <c r="I1344">
        <v>1330.6027832</v>
      </c>
      <c r="J1344">
        <v>1330.0001221</v>
      </c>
      <c r="K1344">
        <v>0</v>
      </c>
      <c r="L1344">
        <v>550</v>
      </c>
      <c r="M1344">
        <v>550</v>
      </c>
      <c r="N1344">
        <v>0</v>
      </c>
    </row>
    <row r="1345" spans="1:14" x14ac:dyDescent="0.25">
      <c r="A1345">
        <v>1280.000004</v>
      </c>
      <c r="B1345" s="1">
        <f>DATE(2013,11,1) + TIME(0,0,0)</f>
        <v>41579</v>
      </c>
      <c r="C1345">
        <v>80</v>
      </c>
      <c r="D1345">
        <v>79.940322875999996</v>
      </c>
      <c r="E1345">
        <v>60</v>
      </c>
      <c r="F1345">
        <v>66.724906920999999</v>
      </c>
      <c r="G1345">
        <v>1332.3793945</v>
      </c>
      <c r="H1345">
        <v>1332.6873779</v>
      </c>
      <c r="I1345">
        <v>1330.8885498</v>
      </c>
      <c r="J1345">
        <v>1330.3197021000001</v>
      </c>
      <c r="K1345">
        <v>0</v>
      </c>
      <c r="L1345">
        <v>550</v>
      </c>
      <c r="M1345">
        <v>550</v>
      </c>
      <c r="N1345">
        <v>0</v>
      </c>
    </row>
    <row r="1346" spans="1:14" x14ac:dyDescent="0.25">
      <c r="A1346">
        <v>1280.0000130000001</v>
      </c>
      <c r="B1346" s="1">
        <f>DATE(2013,11,1) + TIME(0,0,1)</f>
        <v>41579.000011574077</v>
      </c>
      <c r="C1346">
        <v>80</v>
      </c>
      <c r="D1346">
        <v>79.940284728999998</v>
      </c>
      <c r="E1346">
        <v>60</v>
      </c>
      <c r="F1346">
        <v>66.724922179999993</v>
      </c>
      <c r="G1346">
        <v>1332.0942382999999</v>
      </c>
      <c r="H1346">
        <v>1332.3952637</v>
      </c>
      <c r="I1346">
        <v>1331.2385254000001</v>
      </c>
      <c r="J1346">
        <v>1330.6624756000001</v>
      </c>
      <c r="K1346">
        <v>0</v>
      </c>
      <c r="L1346">
        <v>550</v>
      </c>
      <c r="M1346">
        <v>550</v>
      </c>
      <c r="N1346">
        <v>0</v>
      </c>
    </row>
    <row r="1347" spans="1:14" x14ac:dyDescent="0.25">
      <c r="A1347">
        <v>1280.0000399999999</v>
      </c>
      <c r="B1347" s="1">
        <f>DATE(2013,11,1) + TIME(0,0,3)</f>
        <v>41579.000034722223</v>
      </c>
      <c r="C1347">
        <v>80</v>
      </c>
      <c r="D1347">
        <v>79.940246582</v>
      </c>
      <c r="E1347">
        <v>60</v>
      </c>
      <c r="F1347">
        <v>66.724884032999995</v>
      </c>
      <c r="G1347">
        <v>1331.8299560999999</v>
      </c>
      <c r="H1347">
        <v>1332.0863036999999</v>
      </c>
      <c r="I1347">
        <v>1331.5958252</v>
      </c>
      <c r="J1347">
        <v>1331.0030518000001</v>
      </c>
      <c r="K1347">
        <v>0</v>
      </c>
      <c r="L1347">
        <v>550</v>
      </c>
      <c r="M1347">
        <v>550</v>
      </c>
      <c r="N1347">
        <v>0</v>
      </c>
    </row>
    <row r="1348" spans="1:14" x14ac:dyDescent="0.25">
      <c r="A1348">
        <v>1280.000121</v>
      </c>
      <c r="B1348" s="1">
        <f>DATE(2013,11,1) + TIME(0,0,10)</f>
        <v>41579.000115740739</v>
      </c>
      <c r="C1348">
        <v>80</v>
      </c>
      <c r="D1348">
        <v>79.940208435000002</v>
      </c>
      <c r="E1348">
        <v>60</v>
      </c>
      <c r="F1348">
        <v>66.724647521999998</v>
      </c>
      <c r="G1348">
        <v>1331.5880127</v>
      </c>
      <c r="H1348">
        <v>1331.78125</v>
      </c>
      <c r="I1348">
        <v>1331.9328613</v>
      </c>
      <c r="J1348">
        <v>1331.3193358999999</v>
      </c>
      <c r="K1348">
        <v>0</v>
      </c>
      <c r="L1348">
        <v>550</v>
      </c>
      <c r="M1348">
        <v>550</v>
      </c>
      <c r="N1348">
        <v>0</v>
      </c>
    </row>
    <row r="1349" spans="1:14" x14ac:dyDescent="0.25">
      <c r="A1349">
        <v>1280.000364</v>
      </c>
      <c r="B1349" s="1">
        <f>DATE(2013,11,1) + TIME(0,0,31)</f>
        <v>41579.000358796293</v>
      </c>
      <c r="C1349">
        <v>80</v>
      </c>
      <c r="D1349">
        <v>79.940162658999995</v>
      </c>
      <c r="E1349">
        <v>60</v>
      </c>
      <c r="F1349">
        <v>66.723815918</v>
      </c>
      <c r="G1349">
        <v>1331.3937988</v>
      </c>
      <c r="H1349">
        <v>1331.5207519999999</v>
      </c>
      <c r="I1349">
        <v>1332.2108154</v>
      </c>
      <c r="J1349">
        <v>1331.5737305</v>
      </c>
      <c r="K1349">
        <v>0</v>
      </c>
      <c r="L1349">
        <v>550</v>
      </c>
      <c r="M1349">
        <v>550</v>
      </c>
      <c r="N1349">
        <v>0</v>
      </c>
    </row>
    <row r="1350" spans="1:14" x14ac:dyDescent="0.25">
      <c r="A1350">
        <v>1280.0010930000001</v>
      </c>
      <c r="B1350" s="1">
        <f>DATE(2013,11,1) + TIME(0,1,34)</f>
        <v>41579.001087962963</v>
      </c>
      <c r="C1350">
        <v>80</v>
      </c>
      <c r="D1350">
        <v>79.940109253000003</v>
      </c>
      <c r="E1350">
        <v>60</v>
      </c>
      <c r="F1350">
        <v>66.721160889000004</v>
      </c>
      <c r="G1350">
        <v>1331.2636719</v>
      </c>
      <c r="H1350">
        <v>1331.3586425999999</v>
      </c>
      <c r="I1350">
        <v>1332.3911132999999</v>
      </c>
      <c r="J1350">
        <v>1331.7368164</v>
      </c>
      <c r="K1350">
        <v>0</v>
      </c>
      <c r="L1350">
        <v>550</v>
      </c>
      <c r="M1350">
        <v>550</v>
      </c>
      <c r="N1350">
        <v>0</v>
      </c>
    </row>
    <row r="1351" spans="1:14" x14ac:dyDescent="0.25">
      <c r="A1351">
        <v>1280.0032799999999</v>
      </c>
      <c r="B1351" s="1">
        <f>DATE(2013,11,1) + TIME(0,4,43)</f>
        <v>41579.003275462965</v>
      </c>
      <c r="C1351">
        <v>80</v>
      </c>
      <c r="D1351">
        <v>79.939971924000005</v>
      </c>
      <c r="E1351">
        <v>60</v>
      </c>
      <c r="F1351">
        <v>66.713081360000004</v>
      </c>
      <c r="G1351">
        <v>1331.1942139</v>
      </c>
      <c r="H1351">
        <v>1331.2772216999999</v>
      </c>
      <c r="I1351">
        <v>1332.4807129000001</v>
      </c>
      <c r="J1351">
        <v>1331.8188477000001</v>
      </c>
      <c r="K1351">
        <v>0</v>
      </c>
      <c r="L1351">
        <v>550</v>
      </c>
      <c r="M1351">
        <v>550</v>
      </c>
      <c r="N1351">
        <v>0</v>
      </c>
    </row>
    <row r="1352" spans="1:14" x14ac:dyDescent="0.25">
      <c r="A1352">
        <v>1280.0098410000001</v>
      </c>
      <c r="B1352" s="1">
        <f>DATE(2013,11,1) + TIME(0,14,10)</f>
        <v>41579.009837962964</v>
      </c>
      <c r="C1352">
        <v>80</v>
      </c>
      <c r="D1352">
        <v>79.939590453999998</v>
      </c>
      <c r="E1352">
        <v>60</v>
      </c>
      <c r="F1352">
        <v>66.688819885000001</v>
      </c>
      <c r="G1352">
        <v>1331.1652832</v>
      </c>
      <c r="H1352">
        <v>1331.2451172000001</v>
      </c>
      <c r="I1352">
        <v>1332.5098877</v>
      </c>
      <c r="J1352">
        <v>1331.8459473</v>
      </c>
      <c r="K1352">
        <v>0</v>
      </c>
      <c r="L1352">
        <v>550</v>
      </c>
      <c r="M1352">
        <v>550</v>
      </c>
      <c r="N1352">
        <v>0</v>
      </c>
    </row>
    <row r="1353" spans="1:14" x14ac:dyDescent="0.25">
      <c r="A1353">
        <v>1280.029524</v>
      </c>
      <c r="B1353" s="1">
        <f>DATE(2013,11,1) + TIME(0,42,30)</f>
        <v>41579.029513888891</v>
      </c>
      <c r="C1353">
        <v>80</v>
      </c>
      <c r="D1353">
        <v>79.938453674000002</v>
      </c>
      <c r="E1353">
        <v>60</v>
      </c>
      <c r="F1353">
        <v>66.616859435999999</v>
      </c>
      <c r="G1353">
        <v>1331.1574707</v>
      </c>
      <c r="H1353">
        <v>1331.2358397999999</v>
      </c>
      <c r="I1353">
        <v>1332.5131836</v>
      </c>
      <c r="J1353">
        <v>1331.8487548999999</v>
      </c>
      <c r="K1353">
        <v>0</v>
      </c>
      <c r="L1353">
        <v>550</v>
      </c>
      <c r="M1353">
        <v>550</v>
      </c>
      <c r="N1353">
        <v>0</v>
      </c>
    </row>
    <row r="1354" spans="1:14" x14ac:dyDescent="0.25">
      <c r="A1354">
        <v>1280.088573</v>
      </c>
      <c r="B1354" s="1">
        <f>DATE(2013,11,1) + TIME(2,7,32)</f>
        <v>41579.088564814818</v>
      </c>
      <c r="C1354">
        <v>80</v>
      </c>
      <c r="D1354">
        <v>79.935058593999997</v>
      </c>
      <c r="E1354">
        <v>60</v>
      </c>
      <c r="F1354">
        <v>66.408378600999995</v>
      </c>
      <c r="G1354">
        <v>1331.1555175999999</v>
      </c>
      <c r="H1354">
        <v>1331.2310791</v>
      </c>
      <c r="I1354">
        <v>1332.5119629000001</v>
      </c>
      <c r="J1354">
        <v>1331.8475341999999</v>
      </c>
      <c r="K1354">
        <v>0</v>
      </c>
      <c r="L1354">
        <v>550</v>
      </c>
      <c r="M1354">
        <v>550</v>
      </c>
      <c r="N1354">
        <v>0</v>
      </c>
    </row>
    <row r="1355" spans="1:14" x14ac:dyDescent="0.25">
      <c r="A1355">
        <v>1280.1915240000001</v>
      </c>
      <c r="B1355" s="1">
        <f>DATE(2013,11,1) + TIME(4,35,47)</f>
        <v>41579.191516203704</v>
      </c>
      <c r="C1355">
        <v>80</v>
      </c>
      <c r="D1355">
        <v>79.929145813000005</v>
      </c>
      <c r="E1355">
        <v>60</v>
      </c>
      <c r="F1355">
        <v>66.065086364999999</v>
      </c>
      <c r="G1355">
        <v>1331.152832</v>
      </c>
      <c r="H1355">
        <v>1331.2210693</v>
      </c>
      <c r="I1355">
        <v>1332.5150146000001</v>
      </c>
      <c r="J1355">
        <v>1331.8487548999999</v>
      </c>
      <c r="K1355">
        <v>0</v>
      </c>
      <c r="L1355">
        <v>550</v>
      </c>
      <c r="M1355">
        <v>550</v>
      </c>
      <c r="N1355">
        <v>0</v>
      </c>
    </row>
    <row r="1356" spans="1:14" x14ac:dyDescent="0.25">
      <c r="A1356">
        <v>1280.300219</v>
      </c>
      <c r="B1356" s="1">
        <f>DATE(2013,11,1) + TIME(7,12,18)</f>
        <v>41579.300208333334</v>
      </c>
      <c r="C1356">
        <v>80</v>
      </c>
      <c r="D1356">
        <v>79.922904967999997</v>
      </c>
      <c r="E1356">
        <v>60</v>
      </c>
      <c r="F1356">
        <v>65.722183228000006</v>
      </c>
      <c r="G1356">
        <v>1331.1486815999999</v>
      </c>
      <c r="H1356">
        <v>1331.2054443</v>
      </c>
      <c r="I1356">
        <v>1332.5266113</v>
      </c>
      <c r="J1356">
        <v>1331.8552245999999</v>
      </c>
      <c r="K1356">
        <v>0</v>
      </c>
      <c r="L1356">
        <v>550</v>
      </c>
      <c r="M1356">
        <v>550</v>
      </c>
      <c r="N1356">
        <v>0</v>
      </c>
    </row>
    <row r="1357" spans="1:14" x14ac:dyDescent="0.25">
      <c r="A1357">
        <v>1280.415125</v>
      </c>
      <c r="B1357" s="1">
        <f>DATE(2013,11,1) + TIME(9,57,46)</f>
        <v>41579.41511574074</v>
      </c>
      <c r="C1357">
        <v>80</v>
      </c>
      <c r="D1357">
        <v>79.916313170999999</v>
      </c>
      <c r="E1357">
        <v>60</v>
      </c>
      <c r="F1357">
        <v>65.380165099999999</v>
      </c>
      <c r="G1357">
        <v>1331.1446533000001</v>
      </c>
      <c r="H1357">
        <v>1331.1895752</v>
      </c>
      <c r="I1357">
        <v>1332.5394286999999</v>
      </c>
      <c r="J1357">
        <v>1331.8625488</v>
      </c>
      <c r="K1357">
        <v>0</v>
      </c>
      <c r="L1357">
        <v>550</v>
      </c>
      <c r="M1357">
        <v>550</v>
      </c>
      <c r="N1357">
        <v>0</v>
      </c>
    </row>
    <row r="1358" spans="1:14" x14ac:dyDescent="0.25">
      <c r="A1358">
        <v>1280.5368309999999</v>
      </c>
      <c r="B1358" s="1">
        <f>DATE(2013,11,1) + TIME(12,53,2)</f>
        <v>41579.536828703705</v>
      </c>
      <c r="C1358">
        <v>80</v>
      </c>
      <c r="D1358">
        <v>79.909324646000002</v>
      </c>
      <c r="E1358">
        <v>60</v>
      </c>
      <c r="F1358">
        <v>65.039398192999997</v>
      </c>
      <c r="G1358">
        <v>1331.1405029</v>
      </c>
      <c r="H1358">
        <v>1331.1733397999999</v>
      </c>
      <c r="I1358">
        <v>1332.5538329999999</v>
      </c>
      <c r="J1358">
        <v>1331.8707274999999</v>
      </c>
      <c r="K1358">
        <v>0</v>
      </c>
      <c r="L1358">
        <v>550</v>
      </c>
      <c r="M1358">
        <v>550</v>
      </c>
      <c r="N1358">
        <v>0</v>
      </c>
    </row>
    <row r="1359" spans="1:14" x14ac:dyDescent="0.25">
      <c r="A1359">
        <v>1280.6660039999999</v>
      </c>
      <c r="B1359" s="1">
        <f>DATE(2013,11,1) + TIME(15,59,2)</f>
        <v>41579.665995370371</v>
      </c>
      <c r="C1359">
        <v>80</v>
      </c>
      <c r="D1359">
        <v>79.901901245000005</v>
      </c>
      <c r="E1359">
        <v>60</v>
      </c>
      <c r="F1359">
        <v>64.700424193999993</v>
      </c>
      <c r="G1359">
        <v>1331.1362305</v>
      </c>
      <c r="H1359">
        <v>1331.1569824000001</v>
      </c>
      <c r="I1359">
        <v>1332.5695800999999</v>
      </c>
      <c r="J1359">
        <v>1331.8797606999999</v>
      </c>
      <c r="K1359">
        <v>0</v>
      </c>
      <c r="L1359">
        <v>550</v>
      </c>
      <c r="M1359">
        <v>550</v>
      </c>
      <c r="N1359">
        <v>0</v>
      </c>
    </row>
    <row r="1360" spans="1:14" x14ac:dyDescent="0.25">
      <c r="A1360">
        <v>1280.8033539999999</v>
      </c>
      <c r="B1360" s="1">
        <f>DATE(2013,11,1) + TIME(19,16,49)</f>
        <v>41579.803344907406</v>
      </c>
      <c r="C1360">
        <v>80</v>
      </c>
      <c r="D1360">
        <v>79.894012450999995</v>
      </c>
      <c r="E1360">
        <v>60</v>
      </c>
      <c r="F1360">
        <v>64.363838196000003</v>
      </c>
      <c r="G1360">
        <v>1331.1319579999999</v>
      </c>
      <c r="H1360">
        <v>1331.1401367000001</v>
      </c>
      <c r="I1360">
        <v>1332.5867920000001</v>
      </c>
      <c r="J1360">
        <v>1331.8897704999999</v>
      </c>
      <c r="K1360">
        <v>0</v>
      </c>
      <c r="L1360">
        <v>550</v>
      </c>
      <c r="M1360">
        <v>550</v>
      </c>
      <c r="N1360">
        <v>0</v>
      </c>
    </row>
    <row r="1361" spans="1:14" x14ac:dyDescent="0.25">
      <c r="A1361">
        <v>1280.9498120000001</v>
      </c>
      <c r="B1361" s="1">
        <f>DATE(2013,11,1) + TIME(22,47,43)</f>
        <v>41579.949803240743</v>
      </c>
      <c r="C1361">
        <v>80</v>
      </c>
      <c r="D1361">
        <v>79.885574340999995</v>
      </c>
      <c r="E1361">
        <v>60</v>
      </c>
      <c r="F1361">
        <v>64.030128478999998</v>
      </c>
      <c r="G1361">
        <v>1331.1257324000001</v>
      </c>
      <c r="H1361">
        <v>1331.1237793</v>
      </c>
      <c r="I1361">
        <v>1332.6057129000001</v>
      </c>
      <c r="J1361">
        <v>1331.9007568</v>
      </c>
      <c r="K1361">
        <v>0</v>
      </c>
      <c r="L1361">
        <v>550</v>
      </c>
      <c r="M1361">
        <v>550</v>
      </c>
      <c r="N1361">
        <v>0</v>
      </c>
    </row>
    <row r="1362" spans="1:14" x14ac:dyDescent="0.25">
      <c r="A1362">
        <v>1281.1064409999999</v>
      </c>
      <c r="B1362" s="1">
        <f>DATE(2013,11,2) + TIME(2,33,16)</f>
        <v>41580.106435185182</v>
      </c>
      <c r="C1362">
        <v>80</v>
      </c>
      <c r="D1362">
        <v>79.876518250000004</v>
      </c>
      <c r="E1362">
        <v>60</v>
      </c>
      <c r="F1362">
        <v>63.699935912999997</v>
      </c>
      <c r="G1362">
        <v>1331.1160889</v>
      </c>
      <c r="H1362">
        <v>1331.1083983999999</v>
      </c>
      <c r="I1362">
        <v>1332.6263428</v>
      </c>
      <c r="J1362">
        <v>1331.9127197</v>
      </c>
      <c r="K1362">
        <v>0</v>
      </c>
      <c r="L1362">
        <v>550</v>
      </c>
      <c r="M1362">
        <v>550</v>
      </c>
      <c r="N1362">
        <v>0</v>
      </c>
    </row>
    <row r="1363" spans="1:14" x14ac:dyDescent="0.25">
      <c r="A1363">
        <v>1281.2685770000001</v>
      </c>
      <c r="B1363" s="1">
        <f>DATE(2013,11,2) + TIME(6,26,45)</f>
        <v>41580.268576388888</v>
      </c>
      <c r="C1363">
        <v>80</v>
      </c>
      <c r="D1363">
        <v>79.867103576999995</v>
      </c>
      <c r="E1363">
        <v>60</v>
      </c>
      <c r="F1363">
        <v>63.384460449000002</v>
      </c>
      <c r="G1363">
        <v>1331.1063231999999</v>
      </c>
      <c r="H1363">
        <v>1331.0926514</v>
      </c>
      <c r="I1363">
        <v>1332.6490478999999</v>
      </c>
      <c r="J1363">
        <v>1331.9260254000001</v>
      </c>
      <c r="K1363">
        <v>0</v>
      </c>
      <c r="L1363">
        <v>550</v>
      </c>
      <c r="M1363">
        <v>550</v>
      </c>
      <c r="N1363">
        <v>0</v>
      </c>
    </row>
    <row r="1364" spans="1:14" x14ac:dyDescent="0.25">
      <c r="A1364">
        <v>1281.4361570000001</v>
      </c>
      <c r="B1364" s="1">
        <f>DATE(2013,11,2) + TIME(10,28,3)</f>
        <v>41580.436145833337</v>
      </c>
      <c r="C1364">
        <v>80</v>
      </c>
      <c r="D1364">
        <v>79.857330321999996</v>
      </c>
      <c r="E1364">
        <v>60</v>
      </c>
      <c r="F1364">
        <v>63.084407806000002</v>
      </c>
      <c r="G1364">
        <v>1331.0965576000001</v>
      </c>
      <c r="H1364">
        <v>1331.0771483999999</v>
      </c>
      <c r="I1364">
        <v>1332.6727295000001</v>
      </c>
      <c r="J1364">
        <v>1331.9400635</v>
      </c>
      <c r="K1364">
        <v>0</v>
      </c>
      <c r="L1364">
        <v>550</v>
      </c>
      <c r="M1364">
        <v>550</v>
      </c>
      <c r="N1364">
        <v>0</v>
      </c>
    </row>
    <row r="1365" spans="1:14" x14ac:dyDescent="0.25">
      <c r="A1365">
        <v>1281.609586</v>
      </c>
      <c r="B1365" s="1">
        <f>DATE(2013,11,2) + TIME(14,37,48)</f>
        <v>41580.609583333331</v>
      </c>
      <c r="C1365">
        <v>80</v>
      </c>
      <c r="D1365">
        <v>79.847122192</v>
      </c>
      <c r="E1365">
        <v>60</v>
      </c>
      <c r="F1365">
        <v>62.799629211000003</v>
      </c>
      <c r="G1365">
        <v>1331.0869141000001</v>
      </c>
      <c r="H1365">
        <v>1331.0616454999999</v>
      </c>
      <c r="I1365">
        <v>1332.6972656</v>
      </c>
      <c r="J1365">
        <v>1331.9545897999999</v>
      </c>
      <c r="K1365">
        <v>0</v>
      </c>
      <c r="L1365">
        <v>550</v>
      </c>
      <c r="M1365">
        <v>550</v>
      </c>
      <c r="N1365">
        <v>0</v>
      </c>
    </row>
    <row r="1366" spans="1:14" x14ac:dyDescent="0.25">
      <c r="A1366">
        <v>1281.789313</v>
      </c>
      <c r="B1366" s="1">
        <f>DATE(2013,11,2) + TIME(18,56,36)</f>
        <v>41580.789305555554</v>
      </c>
      <c r="C1366">
        <v>80</v>
      </c>
      <c r="D1366">
        <v>79.836448669000006</v>
      </c>
      <c r="E1366">
        <v>60</v>
      </c>
      <c r="F1366">
        <v>62.530006409000002</v>
      </c>
      <c r="G1366">
        <v>1331.0772704999999</v>
      </c>
      <c r="H1366">
        <v>1331.0463867000001</v>
      </c>
      <c r="I1366">
        <v>1332.7226562000001</v>
      </c>
      <c r="J1366">
        <v>1331.9697266000001</v>
      </c>
      <c r="K1366">
        <v>0</v>
      </c>
      <c r="L1366">
        <v>550</v>
      </c>
      <c r="M1366">
        <v>550</v>
      </c>
      <c r="N1366">
        <v>0</v>
      </c>
    </row>
    <row r="1367" spans="1:14" x14ac:dyDescent="0.25">
      <c r="A1367">
        <v>1281.9758380000001</v>
      </c>
      <c r="B1367" s="1">
        <f>DATE(2013,11,2) + TIME(23,25,12)</f>
        <v>41580.97583333333</v>
      </c>
      <c r="C1367">
        <v>80</v>
      </c>
      <c r="D1367">
        <v>79.825256347999996</v>
      </c>
      <c r="E1367">
        <v>60</v>
      </c>
      <c r="F1367">
        <v>62.275424956999998</v>
      </c>
      <c r="G1367">
        <v>1331.067749</v>
      </c>
      <c r="H1367">
        <v>1331.0311279</v>
      </c>
      <c r="I1367">
        <v>1332.7487793</v>
      </c>
      <c r="J1367">
        <v>1331.9852295000001</v>
      </c>
      <c r="K1367">
        <v>0</v>
      </c>
      <c r="L1367">
        <v>550</v>
      </c>
      <c r="M1367">
        <v>550</v>
      </c>
      <c r="N1367">
        <v>0</v>
      </c>
    </row>
    <row r="1368" spans="1:14" x14ac:dyDescent="0.25">
      <c r="A1368">
        <v>1282.1697260000001</v>
      </c>
      <c r="B1368" s="1">
        <f>DATE(2013,11,3) + TIME(4,4,24)</f>
        <v>41581.169722222221</v>
      </c>
      <c r="C1368">
        <v>80</v>
      </c>
      <c r="D1368">
        <v>79.813507079999994</v>
      </c>
      <c r="E1368">
        <v>60</v>
      </c>
      <c r="F1368">
        <v>62.03578186</v>
      </c>
      <c r="G1368">
        <v>1331.0581055</v>
      </c>
      <c r="H1368">
        <v>1331.0158690999999</v>
      </c>
      <c r="I1368">
        <v>1332.7755127</v>
      </c>
      <c r="J1368">
        <v>1332.0012207</v>
      </c>
      <c r="K1368">
        <v>0</v>
      </c>
      <c r="L1368">
        <v>550</v>
      </c>
      <c r="M1368">
        <v>550</v>
      </c>
      <c r="N1368">
        <v>0</v>
      </c>
    </row>
    <row r="1369" spans="1:14" x14ac:dyDescent="0.25">
      <c r="A1369">
        <v>1282.3716199999999</v>
      </c>
      <c r="B1369" s="1">
        <f>DATE(2013,11,3) + TIME(8,55,7)</f>
        <v>41581.371608796297</v>
      </c>
      <c r="C1369">
        <v>80</v>
      </c>
      <c r="D1369">
        <v>79.801155089999995</v>
      </c>
      <c r="E1369">
        <v>60</v>
      </c>
      <c r="F1369">
        <v>61.810958862</v>
      </c>
      <c r="G1369">
        <v>1331.0485839999999</v>
      </c>
      <c r="H1369">
        <v>1331.0006103999999</v>
      </c>
      <c r="I1369">
        <v>1332.8027344</v>
      </c>
      <c r="J1369">
        <v>1332.0174560999999</v>
      </c>
      <c r="K1369">
        <v>0</v>
      </c>
      <c r="L1369">
        <v>550</v>
      </c>
      <c r="M1369">
        <v>550</v>
      </c>
      <c r="N1369">
        <v>0</v>
      </c>
    </row>
    <row r="1370" spans="1:14" x14ac:dyDescent="0.25">
      <c r="A1370">
        <v>1282.5822539999999</v>
      </c>
      <c r="B1370" s="1">
        <f>DATE(2013,11,3) + TIME(13,58,26)</f>
        <v>41581.582245370373</v>
      </c>
      <c r="C1370">
        <v>80</v>
      </c>
      <c r="D1370">
        <v>79.788139342999997</v>
      </c>
      <c r="E1370">
        <v>60</v>
      </c>
      <c r="F1370">
        <v>61.600830078000001</v>
      </c>
      <c r="G1370">
        <v>1331.0389404</v>
      </c>
      <c r="H1370">
        <v>1330.9853516000001</v>
      </c>
      <c r="I1370">
        <v>1332.8304443</v>
      </c>
      <c r="J1370">
        <v>1332.0341797000001</v>
      </c>
      <c r="K1370">
        <v>0</v>
      </c>
      <c r="L1370">
        <v>550</v>
      </c>
      <c r="M1370">
        <v>550</v>
      </c>
      <c r="N1370">
        <v>0</v>
      </c>
    </row>
    <row r="1371" spans="1:14" x14ac:dyDescent="0.25">
      <c r="A1371">
        <v>1282.802443</v>
      </c>
      <c r="B1371" s="1">
        <f>DATE(2013,11,3) + TIME(19,15,31)</f>
        <v>41581.802442129629</v>
      </c>
      <c r="C1371">
        <v>80</v>
      </c>
      <c r="D1371">
        <v>79.774398804</v>
      </c>
      <c r="E1371">
        <v>60</v>
      </c>
      <c r="F1371">
        <v>61.405269623000002</v>
      </c>
      <c r="G1371">
        <v>1331.0292969</v>
      </c>
      <c r="H1371">
        <v>1330.9699707</v>
      </c>
      <c r="I1371">
        <v>1332.8585204999999</v>
      </c>
      <c r="J1371">
        <v>1332.0510254000001</v>
      </c>
      <c r="K1371">
        <v>0</v>
      </c>
      <c r="L1371">
        <v>550</v>
      </c>
      <c r="M1371">
        <v>550</v>
      </c>
      <c r="N1371">
        <v>0</v>
      </c>
    </row>
    <row r="1372" spans="1:14" x14ac:dyDescent="0.25">
      <c r="A1372">
        <v>1283.0331289999999</v>
      </c>
      <c r="B1372" s="1">
        <f>DATE(2013,11,4) + TIME(0,47,42)</f>
        <v>41582.033125000002</v>
      </c>
      <c r="C1372">
        <v>80</v>
      </c>
      <c r="D1372">
        <v>79.759857178000004</v>
      </c>
      <c r="E1372">
        <v>60</v>
      </c>
      <c r="F1372">
        <v>61.224121093999997</v>
      </c>
      <c r="G1372">
        <v>1331.0195312000001</v>
      </c>
      <c r="H1372">
        <v>1330.9545897999999</v>
      </c>
      <c r="I1372">
        <v>1332.8868408000001</v>
      </c>
      <c r="J1372">
        <v>1332.0681152</v>
      </c>
      <c r="K1372">
        <v>0</v>
      </c>
      <c r="L1372">
        <v>550</v>
      </c>
      <c r="M1372">
        <v>550</v>
      </c>
      <c r="N1372">
        <v>0</v>
      </c>
    </row>
    <row r="1373" spans="1:14" x14ac:dyDescent="0.25">
      <c r="A1373">
        <v>1283.2754560000001</v>
      </c>
      <c r="B1373" s="1">
        <f>DATE(2013,11,4) + TIME(6,36,39)</f>
        <v>41582.275451388887</v>
      </c>
      <c r="C1373">
        <v>80</v>
      </c>
      <c r="D1373">
        <v>79.744430542000003</v>
      </c>
      <c r="E1373">
        <v>60</v>
      </c>
      <c r="F1373">
        <v>61.057155608999999</v>
      </c>
      <c r="G1373">
        <v>1331.0096435999999</v>
      </c>
      <c r="H1373">
        <v>1330.9389647999999</v>
      </c>
      <c r="I1373">
        <v>1332.9151611</v>
      </c>
      <c r="J1373">
        <v>1332.0853271000001</v>
      </c>
      <c r="K1373">
        <v>0</v>
      </c>
      <c r="L1373">
        <v>550</v>
      </c>
      <c r="M1373">
        <v>550</v>
      </c>
      <c r="N1373">
        <v>0</v>
      </c>
    </row>
    <row r="1374" spans="1:14" x14ac:dyDescent="0.25">
      <c r="A1374">
        <v>1283.5307290000001</v>
      </c>
      <c r="B1374" s="1">
        <f>DATE(2013,11,4) + TIME(12,44,14)</f>
        <v>41582.530717592592</v>
      </c>
      <c r="C1374">
        <v>80</v>
      </c>
      <c r="D1374">
        <v>79.728012085000003</v>
      </c>
      <c r="E1374">
        <v>60</v>
      </c>
      <c r="F1374">
        <v>60.904148102000001</v>
      </c>
      <c r="G1374">
        <v>1330.9995117000001</v>
      </c>
      <c r="H1374">
        <v>1330.9230957</v>
      </c>
      <c r="I1374">
        <v>1332.9436035000001</v>
      </c>
      <c r="J1374">
        <v>1332.1025391000001</v>
      </c>
      <c r="K1374">
        <v>0</v>
      </c>
      <c r="L1374">
        <v>550</v>
      </c>
      <c r="M1374">
        <v>550</v>
      </c>
      <c r="N1374">
        <v>0</v>
      </c>
    </row>
    <row r="1375" spans="1:14" x14ac:dyDescent="0.25">
      <c r="A1375">
        <v>1283.8004800000001</v>
      </c>
      <c r="B1375" s="1">
        <f>DATE(2013,11,4) + TIME(19,12,41)</f>
        <v>41582.800474537034</v>
      </c>
      <c r="C1375">
        <v>80</v>
      </c>
      <c r="D1375">
        <v>79.710487365999995</v>
      </c>
      <c r="E1375">
        <v>60</v>
      </c>
      <c r="F1375">
        <v>60.764812468999999</v>
      </c>
      <c r="G1375">
        <v>1330.9892577999999</v>
      </c>
      <c r="H1375">
        <v>1330.9069824000001</v>
      </c>
      <c r="I1375">
        <v>1332.9719238</v>
      </c>
      <c r="J1375">
        <v>1332.119751</v>
      </c>
      <c r="K1375">
        <v>0</v>
      </c>
      <c r="L1375">
        <v>550</v>
      </c>
      <c r="M1375">
        <v>550</v>
      </c>
      <c r="N1375">
        <v>0</v>
      </c>
    </row>
    <row r="1376" spans="1:14" x14ac:dyDescent="0.25">
      <c r="A1376">
        <v>1284.0865220000001</v>
      </c>
      <c r="B1376" s="1">
        <f>DATE(2013,11,5) + TIME(2,4,35)</f>
        <v>41583.086516203701</v>
      </c>
      <c r="C1376">
        <v>80</v>
      </c>
      <c r="D1376">
        <v>79.691627502000003</v>
      </c>
      <c r="E1376">
        <v>60</v>
      </c>
      <c r="F1376">
        <v>60.638832092000001</v>
      </c>
      <c r="G1376">
        <v>1330.9787598</v>
      </c>
      <c r="H1376">
        <v>1330.8905029</v>
      </c>
      <c r="I1376">
        <v>1333.0001221</v>
      </c>
      <c r="J1376">
        <v>1332.1369629000001</v>
      </c>
      <c r="K1376">
        <v>0</v>
      </c>
      <c r="L1376">
        <v>550</v>
      </c>
      <c r="M1376">
        <v>550</v>
      </c>
      <c r="N1376">
        <v>0</v>
      </c>
    </row>
    <row r="1377" spans="1:14" x14ac:dyDescent="0.25">
      <c r="A1377">
        <v>1284.391038</v>
      </c>
      <c r="B1377" s="1">
        <f>DATE(2013,11,5) + TIME(9,23,5)</f>
        <v>41583.391030092593</v>
      </c>
      <c r="C1377">
        <v>80</v>
      </c>
      <c r="D1377">
        <v>79.671264648000005</v>
      </c>
      <c r="E1377">
        <v>60</v>
      </c>
      <c r="F1377">
        <v>60.525829315000003</v>
      </c>
      <c r="G1377">
        <v>1330.9678954999999</v>
      </c>
      <c r="H1377">
        <v>1330.8736572</v>
      </c>
      <c r="I1377">
        <v>1333.0279541</v>
      </c>
      <c r="J1377">
        <v>1332.1539307</v>
      </c>
      <c r="K1377">
        <v>0</v>
      </c>
      <c r="L1377">
        <v>550</v>
      </c>
      <c r="M1377">
        <v>550</v>
      </c>
      <c r="N1377">
        <v>0</v>
      </c>
    </row>
    <row r="1378" spans="1:14" x14ac:dyDescent="0.25">
      <c r="A1378">
        <v>1284.7166850000001</v>
      </c>
      <c r="B1378" s="1">
        <f>DATE(2013,11,5) + TIME(17,12,1)</f>
        <v>41583.716678240744</v>
      </c>
      <c r="C1378">
        <v>80</v>
      </c>
      <c r="D1378">
        <v>79.649185181000007</v>
      </c>
      <c r="E1378">
        <v>60</v>
      </c>
      <c r="F1378">
        <v>60.425434113000001</v>
      </c>
      <c r="G1378">
        <v>1330.9566649999999</v>
      </c>
      <c r="H1378">
        <v>1330.8563231999999</v>
      </c>
      <c r="I1378">
        <v>1333.0528564000001</v>
      </c>
      <c r="J1378">
        <v>1332.1691894999999</v>
      </c>
      <c r="K1378">
        <v>0</v>
      </c>
      <c r="L1378">
        <v>550</v>
      </c>
      <c r="M1378">
        <v>550</v>
      </c>
      <c r="N1378">
        <v>0</v>
      </c>
    </row>
    <row r="1379" spans="1:14" x14ac:dyDescent="0.25">
      <c r="A1379">
        <v>1285.067419</v>
      </c>
      <c r="B1379" s="1">
        <f>DATE(2013,11,6) + TIME(1,37,4)</f>
        <v>41584.067407407405</v>
      </c>
      <c r="C1379">
        <v>80</v>
      </c>
      <c r="D1379">
        <v>79.625068665000001</v>
      </c>
      <c r="E1379">
        <v>60</v>
      </c>
      <c r="F1379">
        <v>60.336982726999999</v>
      </c>
      <c r="G1379">
        <v>1330.9449463000001</v>
      </c>
      <c r="H1379">
        <v>1330.838501</v>
      </c>
      <c r="I1379">
        <v>1333.0771483999999</v>
      </c>
      <c r="J1379">
        <v>1332.184082</v>
      </c>
      <c r="K1379">
        <v>0</v>
      </c>
      <c r="L1379">
        <v>550</v>
      </c>
      <c r="M1379">
        <v>550</v>
      </c>
      <c r="N1379">
        <v>0</v>
      </c>
    </row>
    <row r="1380" spans="1:14" x14ac:dyDescent="0.25">
      <c r="A1380">
        <v>1285.4474729999999</v>
      </c>
      <c r="B1380" s="1">
        <f>DATE(2013,11,6) + TIME(10,44,21)</f>
        <v>41584.447465277779</v>
      </c>
      <c r="C1380">
        <v>80</v>
      </c>
      <c r="D1380">
        <v>79.598571777000004</v>
      </c>
      <c r="E1380">
        <v>60</v>
      </c>
      <c r="F1380">
        <v>60.259971618999998</v>
      </c>
      <c r="G1380">
        <v>1330.9326172000001</v>
      </c>
      <c r="H1380">
        <v>1330.8198242000001</v>
      </c>
      <c r="I1380">
        <v>1333.0992432</v>
      </c>
      <c r="J1380">
        <v>1332.1976318</v>
      </c>
      <c r="K1380">
        <v>0</v>
      </c>
      <c r="L1380">
        <v>550</v>
      </c>
      <c r="M1380">
        <v>550</v>
      </c>
      <c r="N1380">
        <v>0</v>
      </c>
    </row>
    <row r="1381" spans="1:14" x14ac:dyDescent="0.25">
      <c r="A1381">
        <v>1285.8627240000001</v>
      </c>
      <c r="B1381" s="1">
        <f>DATE(2013,11,6) + TIME(20,42,19)</f>
        <v>41584.862719907411</v>
      </c>
      <c r="C1381">
        <v>80</v>
      </c>
      <c r="D1381">
        <v>79.569221497000001</v>
      </c>
      <c r="E1381">
        <v>60</v>
      </c>
      <c r="F1381">
        <v>60.193763732999997</v>
      </c>
      <c r="G1381">
        <v>1330.9196777</v>
      </c>
      <c r="H1381">
        <v>1330.800293</v>
      </c>
      <c r="I1381">
        <v>1333.1187743999999</v>
      </c>
      <c r="J1381">
        <v>1332.2095947</v>
      </c>
      <c r="K1381">
        <v>0</v>
      </c>
      <c r="L1381">
        <v>550</v>
      </c>
      <c r="M1381">
        <v>550</v>
      </c>
      <c r="N1381">
        <v>0</v>
      </c>
    </row>
    <row r="1382" spans="1:14" x14ac:dyDescent="0.25">
      <c r="A1382">
        <v>1286.3210670000001</v>
      </c>
      <c r="B1382" s="1">
        <f>DATE(2013,11,7) + TIME(7,42,20)</f>
        <v>41585.321064814816</v>
      </c>
      <c r="C1382">
        <v>80</v>
      </c>
      <c r="D1382">
        <v>79.536376953000001</v>
      </c>
      <c r="E1382">
        <v>60</v>
      </c>
      <c r="F1382">
        <v>60.137615203999999</v>
      </c>
      <c r="G1382">
        <v>1330.9060059000001</v>
      </c>
      <c r="H1382">
        <v>1330.7797852000001</v>
      </c>
      <c r="I1382">
        <v>1333.1376952999999</v>
      </c>
      <c r="J1382">
        <v>1332.2213135</v>
      </c>
      <c r="K1382">
        <v>0</v>
      </c>
      <c r="L1382">
        <v>550</v>
      </c>
      <c r="M1382">
        <v>550</v>
      </c>
      <c r="N1382">
        <v>0</v>
      </c>
    </row>
    <row r="1383" spans="1:14" x14ac:dyDescent="0.25">
      <c r="A1383">
        <v>1286.7918850000001</v>
      </c>
      <c r="B1383" s="1">
        <f>DATE(2013,11,7) + TIME(19,0,18)</f>
        <v>41585.791875000003</v>
      </c>
      <c r="C1383">
        <v>80</v>
      </c>
      <c r="D1383">
        <v>79.502044678000004</v>
      </c>
      <c r="E1383">
        <v>60</v>
      </c>
      <c r="F1383">
        <v>60.093662262000002</v>
      </c>
      <c r="G1383">
        <v>1330.8914795000001</v>
      </c>
      <c r="H1383">
        <v>1330.7581786999999</v>
      </c>
      <c r="I1383">
        <v>1333.1555175999999</v>
      </c>
      <c r="J1383">
        <v>1332.2324219</v>
      </c>
      <c r="K1383">
        <v>0</v>
      </c>
      <c r="L1383">
        <v>550</v>
      </c>
      <c r="M1383">
        <v>550</v>
      </c>
      <c r="N1383">
        <v>0</v>
      </c>
    </row>
    <row r="1384" spans="1:14" x14ac:dyDescent="0.25">
      <c r="A1384">
        <v>1287.2748839999999</v>
      </c>
      <c r="B1384" s="1">
        <f>DATE(2013,11,8) + TIME(6,35,49)</f>
        <v>41586.274872685186</v>
      </c>
      <c r="C1384">
        <v>80</v>
      </c>
      <c r="D1384">
        <v>79.466194153000004</v>
      </c>
      <c r="E1384">
        <v>60</v>
      </c>
      <c r="F1384">
        <v>60.059585571</v>
      </c>
      <c r="G1384">
        <v>1330.8767089999999</v>
      </c>
      <c r="H1384">
        <v>1330.7364502</v>
      </c>
      <c r="I1384">
        <v>1333.1682129000001</v>
      </c>
      <c r="J1384">
        <v>1332.2402344</v>
      </c>
      <c r="K1384">
        <v>0</v>
      </c>
      <c r="L1384">
        <v>550</v>
      </c>
      <c r="M1384">
        <v>550</v>
      </c>
      <c r="N1384">
        <v>0</v>
      </c>
    </row>
    <row r="1385" spans="1:14" x14ac:dyDescent="0.25">
      <c r="A1385">
        <v>1287.7754749999999</v>
      </c>
      <c r="B1385" s="1">
        <f>DATE(2013,11,8) + TIME(18,36,41)</f>
        <v>41586.77547453704</v>
      </c>
      <c r="C1385">
        <v>80</v>
      </c>
      <c r="D1385">
        <v>79.428390503000003</v>
      </c>
      <c r="E1385">
        <v>60</v>
      </c>
      <c r="F1385">
        <v>60.033153534</v>
      </c>
      <c r="G1385">
        <v>1330.8620605000001</v>
      </c>
      <c r="H1385">
        <v>1330.7149658000001</v>
      </c>
      <c r="I1385">
        <v>1333.1793213000001</v>
      </c>
      <c r="J1385">
        <v>1332.2473144999999</v>
      </c>
      <c r="K1385">
        <v>0</v>
      </c>
      <c r="L1385">
        <v>550</v>
      </c>
      <c r="M1385">
        <v>550</v>
      </c>
      <c r="N1385">
        <v>0</v>
      </c>
    </row>
    <row r="1386" spans="1:14" x14ac:dyDescent="0.25">
      <c r="A1386">
        <v>1288.29802</v>
      </c>
      <c r="B1386" s="1">
        <f>DATE(2013,11,9) + TIME(7,9,8)</f>
        <v>41587.298009259262</v>
      </c>
      <c r="C1386">
        <v>80</v>
      </c>
      <c r="D1386">
        <v>79.388252257999994</v>
      </c>
      <c r="E1386">
        <v>60</v>
      </c>
      <c r="F1386">
        <v>60.012741089000002</v>
      </c>
      <c r="G1386">
        <v>1330.847168</v>
      </c>
      <c r="H1386">
        <v>1330.6932373</v>
      </c>
      <c r="I1386">
        <v>1333.1892089999999</v>
      </c>
      <c r="J1386">
        <v>1332.2535399999999</v>
      </c>
      <c r="K1386">
        <v>0</v>
      </c>
      <c r="L1386">
        <v>550</v>
      </c>
      <c r="M1386">
        <v>550</v>
      </c>
      <c r="N1386">
        <v>0</v>
      </c>
    </row>
    <row r="1387" spans="1:14" x14ac:dyDescent="0.25">
      <c r="A1387">
        <v>1288.8476900000001</v>
      </c>
      <c r="B1387" s="1">
        <f>DATE(2013,11,9) + TIME(20,20,40)</f>
        <v>41587.847685185188</v>
      </c>
      <c r="C1387">
        <v>80</v>
      </c>
      <c r="D1387">
        <v>79.345314025999997</v>
      </c>
      <c r="E1387">
        <v>60</v>
      </c>
      <c r="F1387">
        <v>59.997058868000003</v>
      </c>
      <c r="G1387">
        <v>1330.8320312000001</v>
      </c>
      <c r="H1387">
        <v>1330.6712646000001</v>
      </c>
      <c r="I1387">
        <v>1333.1979980000001</v>
      </c>
      <c r="J1387">
        <v>1332.2591553</v>
      </c>
      <c r="K1387">
        <v>0</v>
      </c>
      <c r="L1387">
        <v>550</v>
      </c>
      <c r="M1387">
        <v>550</v>
      </c>
      <c r="N1387">
        <v>0</v>
      </c>
    </row>
    <row r="1388" spans="1:14" x14ac:dyDescent="0.25">
      <c r="A1388">
        <v>1289.428171</v>
      </c>
      <c r="B1388" s="1">
        <f>DATE(2013,11,10) + TIME(10,16,33)</f>
        <v>41588.428159722222</v>
      </c>
      <c r="C1388">
        <v>80</v>
      </c>
      <c r="D1388">
        <v>79.299186707000004</v>
      </c>
      <c r="E1388">
        <v>60</v>
      </c>
      <c r="F1388">
        <v>59.985134125000002</v>
      </c>
      <c r="G1388">
        <v>1330.8166504000001</v>
      </c>
      <c r="H1388">
        <v>1330.6488036999999</v>
      </c>
      <c r="I1388">
        <v>1333.2055664</v>
      </c>
      <c r="J1388">
        <v>1332.2641602000001</v>
      </c>
      <c r="K1388">
        <v>0</v>
      </c>
      <c r="L1388">
        <v>550</v>
      </c>
      <c r="M1388">
        <v>550</v>
      </c>
      <c r="N1388">
        <v>0</v>
      </c>
    </row>
    <row r="1389" spans="1:14" x14ac:dyDescent="0.25">
      <c r="A1389">
        <v>1290.020145</v>
      </c>
      <c r="B1389" s="1">
        <f>DATE(2013,11,11) + TIME(0,29,0)</f>
        <v>41589.020138888889</v>
      </c>
      <c r="C1389">
        <v>80</v>
      </c>
      <c r="D1389">
        <v>79.251174926999994</v>
      </c>
      <c r="E1389">
        <v>60</v>
      </c>
      <c r="F1389">
        <v>59.976413727000001</v>
      </c>
      <c r="G1389">
        <v>1330.8007812000001</v>
      </c>
      <c r="H1389">
        <v>1330.6258545000001</v>
      </c>
      <c r="I1389">
        <v>1333.2122803</v>
      </c>
      <c r="J1389">
        <v>1332.2685547000001</v>
      </c>
      <c r="K1389">
        <v>0</v>
      </c>
      <c r="L1389">
        <v>550</v>
      </c>
      <c r="M1389">
        <v>550</v>
      </c>
      <c r="N1389">
        <v>0</v>
      </c>
    </row>
    <row r="1390" spans="1:14" x14ac:dyDescent="0.25">
      <c r="A1390">
        <v>1290.627448</v>
      </c>
      <c r="B1390" s="1">
        <f>DATE(2013,11,11) + TIME(15,3,31)</f>
        <v>41589.627442129633</v>
      </c>
      <c r="C1390">
        <v>80</v>
      </c>
      <c r="D1390">
        <v>79.200920104999994</v>
      </c>
      <c r="E1390">
        <v>60</v>
      </c>
      <c r="F1390">
        <v>59.970035553000002</v>
      </c>
      <c r="G1390">
        <v>1330.7849120999999</v>
      </c>
      <c r="H1390">
        <v>1330.6031493999999</v>
      </c>
      <c r="I1390">
        <v>1333.2174072</v>
      </c>
      <c r="J1390">
        <v>1332.2720947</v>
      </c>
      <c r="K1390">
        <v>0</v>
      </c>
      <c r="L1390">
        <v>550</v>
      </c>
      <c r="M1390">
        <v>550</v>
      </c>
      <c r="N1390">
        <v>0</v>
      </c>
    </row>
    <row r="1391" spans="1:14" x14ac:dyDescent="0.25">
      <c r="A1391">
        <v>1291.253021</v>
      </c>
      <c r="B1391" s="1">
        <f>DATE(2013,11,12) + TIME(6,4,20)</f>
        <v>41590.253009259257</v>
      </c>
      <c r="C1391">
        <v>80</v>
      </c>
      <c r="D1391">
        <v>79.148101807000003</v>
      </c>
      <c r="E1391">
        <v>60</v>
      </c>
      <c r="F1391">
        <v>59.965370178000001</v>
      </c>
      <c r="G1391">
        <v>1330.769043</v>
      </c>
      <c r="H1391">
        <v>1330.5803223</v>
      </c>
      <c r="I1391">
        <v>1333.2200928</v>
      </c>
      <c r="J1391">
        <v>1332.2740478999999</v>
      </c>
      <c r="K1391">
        <v>0</v>
      </c>
      <c r="L1391">
        <v>550</v>
      </c>
      <c r="M1391">
        <v>550</v>
      </c>
      <c r="N1391">
        <v>0</v>
      </c>
    </row>
    <row r="1392" spans="1:14" x14ac:dyDescent="0.25">
      <c r="A1392">
        <v>1291.9017429999999</v>
      </c>
      <c r="B1392" s="1">
        <f>DATE(2013,11,12) + TIME(21,38,30)</f>
        <v>41590.901736111111</v>
      </c>
      <c r="C1392">
        <v>80</v>
      </c>
      <c r="D1392">
        <v>79.092231749999996</v>
      </c>
      <c r="E1392">
        <v>60</v>
      </c>
      <c r="F1392">
        <v>59.961948395</v>
      </c>
      <c r="G1392">
        <v>1330.7530518000001</v>
      </c>
      <c r="H1392">
        <v>1330.5574951000001</v>
      </c>
      <c r="I1392">
        <v>1333.2222899999999</v>
      </c>
      <c r="J1392">
        <v>1332.2757568</v>
      </c>
      <c r="K1392">
        <v>0</v>
      </c>
      <c r="L1392">
        <v>550</v>
      </c>
      <c r="M1392">
        <v>550</v>
      </c>
      <c r="N1392">
        <v>0</v>
      </c>
    </row>
    <row r="1393" spans="1:14" x14ac:dyDescent="0.25">
      <c r="A1393">
        <v>1292.5771609999999</v>
      </c>
      <c r="B1393" s="1">
        <f>DATE(2013,11,13) + TIME(13,51,6)</f>
        <v>41591.577152777776</v>
      </c>
      <c r="C1393">
        <v>80</v>
      </c>
      <c r="D1393">
        <v>79.032890320000007</v>
      </c>
      <c r="E1393">
        <v>60</v>
      </c>
      <c r="F1393">
        <v>59.959445952999999</v>
      </c>
      <c r="G1393">
        <v>1330.7369385</v>
      </c>
      <c r="H1393">
        <v>1330.5344238</v>
      </c>
      <c r="I1393">
        <v>1333.223999</v>
      </c>
      <c r="J1393">
        <v>1332.2772216999999</v>
      </c>
      <c r="K1393">
        <v>0</v>
      </c>
      <c r="L1393">
        <v>550</v>
      </c>
      <c r="M1393">
        <v>550</v>
      </c>
      <c r="N1393">
        <v>0</v>
      </c>
    </row>
    <row r="1394" spans="1:14" x14ac:dyDescent="0.25">
      <c r="A1394">
        <v>1293.2790729999999</v>
      </c>
      <c r="B1394" s="1">
        <f>DATE(2013,11,14) + TIME(6,41,51)</f>
        <v>41592.279062499998</v>
      </c>
      <c r="C1394">
        <v>80</v>
      </c>
      <c r="D1394">
        <v>78.969940186000002</v>
      </c>
      <c r="E1394">
        <v>60</v>
      </c>
      <c r="F1394">
        <v>59.957622528000002</v>
      </c>
      <c r="G1394">
        <v>1330.7205810999999</v>
      </c>
      <c r="H1394">
        <v>1330.5112305</v>
      </c>
      <c r="I1394">
        <v>1333.2253418</v>
      </c>
      <c r="J1394">
        <v>1332.2784423999999</v>
      </c>
      <c r="K1394">
        <v>0</v>
      </c>
      <c r="L1394">
        <v>550</v>
      </c>
      <c r="M1394">
        <v>550</v>
      </c>
      <c r="N1394">
        <v>0</v>
      </c>
    </row>
    <row r="1395" spans="1:14" x14ac:dyDescent="0.25">
      <c r="A1395">
        <v>1294.0153</v>
      </c>
      <c r="B1395" s="1">
        <f>DATE(2013,11,15) + TIME(0,22,1)</f>
        <v>41593.015289351853</v>
      </c>
      <c r="C1395">
        <v>80</v>
      </c>
      <c r="D1395">
        <v>78.902572632000002</v>
      </c>
      <c r="E1395">
        <v>60</v>
      </c>
      <c r="F1395">
        <v>59.956287383999999</v>
      </c>
      <c r="G1395">
        <v>1330.7038574000001</v>
      </c>
      <c r="H1395">
        <v>1330.4876709</v>
      </c>
      <c r="I1395">
        <v>1333.2263184000001</v>
      </c>
      <c r="J1395">
        <v>1332.2795410000001</v>
      </c>
      <c r="K1395">
        <v>0</v>
      </c>
      <c r="L1395">
        <v>550</v>
      </c>
      <c r="M1395">
        <v>550</v>
      </c>
      <c r="N1395">
        <v>0</v>
      </c>
    </row>
    <row r="1396" spans="1:14" x14ac:dyDescent="0.25">
      <c r="A1396">
        <v>1294.7924660000001</v>
      </c>
      <c r="B1396" s="1">
        <f>DATE(2013,11,15) + TIME(19,1,9)</f>
        <v>41593.79246527778</v>
      </c>
      <c r="C1396">
        <v>80</v>
      </c>
      <c r="D1396">
        <v>78.830047606999997</v>
      </c>
      <c r="E1396">
        <v>60</v>
      </c>
      <c r="F1396">
        <v>59.955303192000002</v>
      </c>
      <c r="G1396">
        <v>1330.6870117000001</v>
      </c>
      <c r="H1396">
        <v>1330.4636230000001</v>
      </c>
      <c r="I1396">
        <v>1333.2270507999999</v>
      </c>
      <c r="J1396">
        <v>1332.2803954999999</v>
      </c>
      <c r="K1396">
        <v>0</v>
      </c>
      <c r="L1396">
        <v>550</v>
      </c>
      <c r="M1396">
        <v>550</v>
      </c>
      <c r="N1396">
        <v>0</v>
      </c>
    </row>
    <row r="1397" spans="1:14" x14ac:dyDescent="0.25">
      <c r="A1397">
        <v>1295.6178709999999</v>
      </c>
      <c r="B1397" s="1">
        <f>DATE(2013,11,16) + TIME(14,49,44)</f>
        <v>41594.61787037037</v>
      </c>
      <c r="C1397">
        <v>80</v>
      </c>
      <c r="D1397">
        <v>78.751510620000005</v>
      </c>
      <c r="E1397">
        <v>60</v>
      </c>
      <c r="F1397">
        <v>59.954574585000003</v>
      </c>
      <c r="G1397">
        <v>1330.6695557</v>
      </c>
      <c r="H1397">
        <v>1330.4392089999999</v>
      </c>
      <c r="I1397">
        <v>1333.2274170000001</v>
      </c>
      <c r="J1397">
        <v>1332.28125</v>
      </c>
      <c r="K1397">
        <v>0</v>
      </c>
      <c r="L1397">
        <v>550</v>
      </c>
      <c r="M1397">
        <v>550</v>
      </c>
      <c r="N1397">
        <v>0</v>
      </c>
    </row>
    <row r="1398" spans="1:14" x14ac:dyDescent="0.25">
      <c r="A1398">
        <v>1296.500569</v>
      </c>
      <c r="B1398" s="1">
        <f>DATE(2013,11,17) + TIME(12,0,49)</f>
        <v>41595.500567129631</v>
      </c>
      <c r="C1398">
        <v>80</v>
      </c>
      <c r="D1398">
        <v>78.665908813000001</v>
      </c>
      <c r="E1398">
        <v>60</v>
      </c>
      <c r="F1398">
        <v>59.954032898000001</v>
      </c>
      <c r="G1398">
        <v>1330.6516113</v>
      </c>
      <c r="H1398">
        <v>1330.4139404</v>
      </c>
      <c r="I1398">
        <v>1333.2275391000001</v>
      </c>
      <c r="J1398">
        <v>1332.2818603999999</v>
      </c>
      <c r="K1398">
        <v>0</v>
      </c>
      <c r="L1398">
        <v>550</v>
      </c>
      <c r="M1398">
        <v>550</v>
      </c>
      <c r="N1398">
        <v>0</v>
      </c>
    </row>
    <row r="1399" spans="1:14" x14ac:dyDescent="0.25">
      <c r="A1399">
        <v>1297.4408510000001</v>
      </c>
      <c r="B1399" s="1">
        <f>DATE(2013,11,18) + TIME(10,34,49)</f>
        <v>41596.440844907411</v>
      </c>
      <c r="C1399">
        <v>80</v>
      </c>
      <c r="D1399">
        <v>78.572830199999999</v>
      </c>
      <c r="E1399">
        <v>60</v>
      </c>
      <c r="F1399">
        <v>59.953624724999997</v>
      </c>
      <c r="G1399">
        <v>1330.6330565999999</v>
      </c>
      <c r="H1399">
        <v>1330.3879394999999</v>
      </c>
      <c r="I1399">
        <v>1333.2275391000001</v>
      </c>
      <c r="J1399">
        <v>1332.2823486</v>
      </c>
      <c r="K1399">
        <v>0</v>
      </c>
      <c r="L1399">
        <v>550</v>
      </c>
      <c r="M1399">
        <v>550</v>
      </c>
      <c r="N1399">
        <v>0</v>
      </c>
    </row>
    <row r="1400" spans="1:14" x14ac:dyDescent="0.25">
      <c r="A1400">
        <v>1298.4178999999999</v>
      </c>
      <c r="B1400" s="1">
        <f>DATE(2013,11,19) + TIME(10,1,46)</f>
        <v>41597.417893518519</v>
      </c>
      <c r="C1400">
        <v>80</v>
      </c>
      <c r="D1400">
        <v>78.473594665999997</v>
      </c>
      <c r="E1400">
        <v>60</v>
      </c>
      <c r="F1400">
        <v>59.953323363999999</v>
      </c>
      <c r="G1400">
        <v>1330.6138916</v>
      </c>
      <c r="H1400">
        <v>1330.3612060999999</v>
      </c>
      <c r="I1400">
        <v>1333.2272949000001</v>
      </c>
      <c r="J1400">
        <v>1332.2828368999999</v>
      </c>
      <c r="K1400">
        <v>0</v>
      </c>
      <c r="L1400">
        <v>550</v>
      </c>
      <c r="M1400">
        <v>550</v>
      </c>
      <c r="N1400">
        <v>0</v>
      </c>
    </row>
    <row r="1401" spans="1:14" x14ac:dyDescent="0.25">
      <c r="A1401">
        <v>1299.438224</v>
      </c>
      <c r="B1401" s="1">
        <f>DATE(2013,11,20) + TIME(10,31,2)</f>
        <v>41598.438217592593</v>
      </c>
      <c r="C1401">
        <v>80</v>
      </c>
      <c r="D1401">
        <v>78.367424010999997</v>
      </c>
      <c r="E1401">
        <v>60</v>
      </c>
      <c r="F1401">
        <v>59.953090668000002</v>
      </c>
      <c r="G1401">
        <v>1330.5943603999999</v>
      </c>
      <c r="H1401">
        <v>1330.3342285000001</v>
      </c>
      <c r="I1401">
        <v>1333.2269286999999</v>
      </c>
      <c r="J1401">
        <v>1332.2833252</v>
      </c>
      <c r="K1401">
        <v>0</v>
      </c>
      <c r="L1401">
        <v>550</v>
      </c>
      <c r="M1401">
        <v>550</v>
      </c>
      <c r="N1401">
        <v>0</v>
      </c>
    </row>
    <row r="1402" spans="1:14" x14ac:dyDescent="0.25">
      <c r="A1402">
        <v>1300.507975</v>
      </c>
      <c r="B1402" s="1">
        <f>DATE(2013,11,21) + TIME(12,11,29)</f>
        <v>41599.507974537039</v>
      </c>
      <c r="C1402">
        <v>80</v>
      </c>
      <c r="D1402">
        <v>78.253547667999996</v>
      </c>
      <c r="E1402">
        <v>60</v>
      </c>
      <c r="F1402">
        <v>59.952911377</v>
      </c>
      <c r="G1402">
        <v>1330.574707</v>
      </c>
      <c r="H1402">
        <v>1330.3068848</v>
      </c>
      <c r="I1402">
        <v>1333.2264404</v>
      </c>
      <c r="J1402">
        <v>1332.2836914</v>
      </c>
      <c r="K1402">
        <v>0</v>
      </c>
      <c r="L1402">
        <v>550</v>
      </c>
      <c r="M1402">
        <v>550</v>
      </c>
      <c r="N1402">
        <v>0</v>
      </c>
    </row>
    <row r="1403" spans="1:14" x14ac:dyDescent="0.25">
      <c r="A1403">
        <v>1301.612128</v>
      </c>
      <c r="B1403" s="1">
        <f>DATE(2013,11,22) + TIME(14,41,27)</f>
        <v>41600.612118055556</v>
      </c>
      <c r="C1403">
        <v>80</v>
      </c>
      <c r="D1403">
        <v>78.132934570000003</v>
      </c>
      <c r="E1403">
        <v>60</v>
      </c>
      <c r="F1403">
        <v>59.952770233000003</v>
      </c>
      <c r="G1403">
        <v>1330.5546875</v>
      </c>
      <c r="H1403">
        <v>1330.2790527</v>
      </c>
      <c r="I1403">
        <v>1333.2258300999999</v>
      </c>
      <c r="J1403">
        <v>1332.2840576000001</v>
      </c>
      <c r="K1403">
        <v>0</v>
      </c>
      <c r="L1403">
        <v>550</v>
      </c>
      <c r="M1403">
        <v>550</v>
      </c>
      <c r="N1403">
        <v>0</v>
      </c>
    </row>
    <row r="1404" spans="1:14" x14ac:dyDescent="0.25">
      <c r="A1404">
        <v>1302.7303750000001</v>
      </c>
      <c r="B1404" s="1">
        <f>DATE(2013,11,23) + TIME(17,31,44)</f>
        <v>41601.730370370373</v>
      </c>
      <c r="C1404">
        <v>80</v>
      </c>
      <c r="D1404">
        <v>78.007247925000001</v>
      </c>
      <c r="E1404">
        <v>60</v>
      </c>
      <c r="F1404">
        <v>59.952659607000001</v>
      </c>
      <c r="G1404">
        <v>1330.5345459</v>
      </c>
      <c r="H1404">
        <v>1330.2513428</v>
      </c>
      <c r="I1404">
        <v>1333.2250977000001</v>
      </c>
      <c r="J1404">
        <v>1332.2843018000001</v>
      </c>
      <c r="K1404">
        <v>0</v>
      </c>
      <c r="L1404">
        <v>550</v>
      </c>
      <c r="M1404">
        <v>550</v>
      </c>
      <c r="N1404">
        <v>0</v>
      </c>
    </row>
    <row r="1405" spans="1:14" x14ac:dyDescent="0.25">
      <c r="A1405">
        <v>1303.870741</v>
      </c>
      <c r="B1405" s="1">
        <f>DATE(2013,11,24) + TIME(20,53,52)</f>
        <v>41602.870740740742</v>
      </c>
      <c r="C1405">
        <v>80</v>
      </c>
      <c r="D1405">
        <v>77.875930785999998</v>
      </c>
      <c r="E1405">
        <v>60</v>
      </c>
      <c r="F1405">
        <v>59.952568053999997</v>
      </c>
      <c r="G1405">
        <v>1330.5146483999999</v>
      </c>
      <c r="H1405">
        <v>1330.2238769999999</v>
      </c>
      <c r="I1405">
        <v>1333.2243652</v>
      </c>
      <c r="J1405">
        <v>1332.284668</v>
      </c>
      <c r="K1405">
        <v>0</v>
      </c>
      <c r="L1405">
        <v>550</v>
      </c>
      <c r="M1405">
        <v>550</v>
      </c>
      <c r="N1405">
        <v>0</v>
      </c>
    </row>
    <row r="1406" spans="1:14" x14ac:dyDescent="0.25">
      <c r="A1406">
        <v>1305.0407279999999</v>
      </c>
      <c r="B1406" s="1">
        <f>DATE(2013,11,26) + TIME(0,58,38)</f>
        <v>41604.040717592594</v>
      </c>
      <c r="C1406">
        <v>80</v>
      </c>
      <c r="D1406">
        <v>77.738410950000002</v>
      </c>
      <c r="E1406">
        <v>60</v>
      </c>
      <c r="F1406">
        <v>59.952487945999998</v>
      </c>
      <c r="G1406">
        <v>1330.4949951000001</v>
      </c>
      <c r="H1406">
        <v>1330.1966553</v>
      </c>
      <c r="I1406">
        <v>1333.2236327999999</v>
      </c>
      <c r="J1406">
        <v>1332.2849120999999</v>
      </c>
      <c r="K1406">
        <v>0</v>
      </c>
      <c r="L1406">
        <v>550</v>
      </c>
      <c r="M1406">
        <v>550</v>
      </c>
      <c r="N1406">
        <v>0</v>
      </c>
    </row>
    <row r="1407" spans="1:14" x14ac:dyDescent="0.25">
      <c r="A1407">
        <v>1306.2545190000001</v>
      </c>
      <c r="B1407" s="1">
        <f>DATE(2013,11,27) + TIME(6,6,30)</f>
        <v>41605.254513888889</v>
      </c>
      <c r="C1407">
        <v>80</v>
      </c>
      <c r="D1407">
        <v>77.593475342000005</v>
      </c>
      <c r="E1407">
        <v>60</v>
      </c>
      <c r="F1407">
        <v>59.952423095999997</v>
      </c>
      <c r="G1407">
        <v>1330.4753418</v>
      </c>
      <c r="H1407">
        <v>1330.1696777</v>
      </c>
      <c r="I1407">
        <v>1333.2229004000001</v>
      </c>
      <c r="J1407">
        <v>1332.2851562000001</v>
      </c>
      <c r="K1407">
        <v>0</v>
      </c>
      <c r="L1407">
        <v>550</v>
      </c>
      <c r="M1407">
        <v>550</v>
      </c>
      <c r="N1407">
        <v>0</v>
      </c>
    </row>
    <row r="1408" spans="1:14" x14ac:dyDescent="0.25">
      <c r="A1408">
        <v>1307.5314860000001</v>
      </c>
      <c r="B1408" s="1">
        <f>DATE(2013,11,28) + TIME(12,45,20)</f>
        <v>41606.531481481485</v>
      </c>
      <c r="C1408">
        <v>80</v>
      </c>
      <c r="D1408">
        <v>77.439323424999998</v>
      </c>
      <c r="E1408">
        <v>60</v>
      </c>
      <c r="F1408">
        <v>59.952362061000002</v>
      </c>
      <c r="G1408">
        <v>1330.4555664</v>
      </c>
      <c r="H1408">
        <v>1330.1425781</v>
      </c>
      <c r="I1408">
        <v>1333.222168</v>
      </c>
      <c r="J1408">
        <v>1332.2855225000001</v>
      </c>
      <c r="K1408">
        <v>0</v>
      </c>
      <c r="L1408">
        <v>550</v>
      </c>
      <c r="M1408">
        <v>550</v>
      </c>
      <c r="N1408">
        <v>0</v>
      </c>
    </row>
    <row r="1409" spans="1:14" x14ac:dyDescent="0.25">
      <c r="A1409">
        <v>1308.886207</v>
      </c>
      <c r="B1409" s="1">
        <f>DATE(2013,11,29) + TIME(21,16,8)</f>
        <v>41607.886203703703</v>
      </c>
      <c r="C1409">
        <v>80</v>
      </c>
      <c r="D1409">
        <v>77.274436950999998</v>
      </c>
      <c r="E1409">
        <v>60</v>
      </c>
      <c r="F1409">
        <v>59.952304839999996</v>
      </c>
      <c r="G1409">
        <v>1330.4355469</v>
      </c>
      <c r="H1409">
        <v>1330.1151123</v>
      </c>
      <c r="I1409">
        <v>1333.2213135</v>
      </c>
      <c r="J1409">
        <v>1332.2857666</v>
      </c>
      <c r="K1409">
        <v>0</v>
      </c>
      <c r="L1409">
        <v>550</v>
      </c>
      <c r="M1409">
        <v>550</v>
      </c>
      <c r="N1409">
        <v>0</v>
      </c>
    </row>
    <row r="1410" spans="1:14" x14ac:dyDescent="0.25">
      <c r="A1410">
        <v>1310</v>
      </c>
      <c r="B1410" s="1">
        <f>DATE(2013,12,1) + TIME(0,0,0)</f>
        <v>41609</v>
      </c>
      <c r="C1410">
        <v>80</v>
      </c>
      <c r="D1410">
        <v>77.127479553000001</v>
      </c>
      <c r="E1410">
        <v>60</v>
      </c>
      <c r="F1410">
        <v>59.952259064000003</v>
      </c>
      <c r="G1410">
        <v>1330.4151611</v>
      </c>
      <c r="H1410">
        <v>1330.0875243999999</v>
      </c>
      <c r="I1410">
        <v>1333.2205810999999</v>
      </c>
      <c r="J1410">
        <v>1332.2862548999999</v>
      </c>
      <c r="K1410">
        <v>0</v>
      </c>
      <c r="L1410">
        <v>550</v>
      </c>
      <c r="M1410">
        <v>550</v>
      </c>
      <c r="N1410">
        <v>0</v>
      </c>
    </row>
    <row r="1411" spans="1:14" x14ac:dyDescent="0.25">
      <c r="A1411">
        <v>1311.4511480000001</v>
      </c>
      <c r="B1411" s="1">
        <f>DATE(2013,12,2) + TIME(10,49,39)</f>
        <v>41610.451145833336</v>
      </c>
      <c r="C1411">
        <v>80</v>
      </c>
      <c r="D1411">
        <v>76.949203491000006</v>
      </c>
      <c r="E1411">
        <v>60</v>
      </c>
      <c r="F1411">
        <v>59.952213286999999</v>
      </c>
      <c r="G1411">
        <v>1330.3979492000001</v>
      </c>
      <c r="H1411">
        <v>1330.0635986</v>
      </c>
      <c r="I1411">
        <v>1333.2199707</v>
      </c>
      <c r="J1411">
        <v>1332.286499</v>
      </c>
      <c r="K1411">
        <v>0</v>
      </c>
      <c r="L1411">
        <v>550</v>
      </c>
      <c r="M1411">
        <v>550</v>
      </c>
      <c r="N1411">
        <v>0</v>
      </c>
    </row>
    <row r="1412" spans="1:14" x14ac:dyDescent="0.25">
      <c r="A1412">
        <v>1313.1368460000001</v>
      </c>
      <c r="B1412" s="1">
        <f>DATE(2013,12,4) + TIME(3,17,3)</f>
        <v>41612.136840277781</v>
      </c>
      <c r="C1412">
        <v>80</v>
      </c>
      <c r="D1412">
        <v>76.746543884000005</v>
      </c>
      <c r="E1412">
        <v>60</v>
      </c>
      <c r="F1412">
        <v>59.952167510999999</v>
      </c>
      <c r="G1412">
        <v>1330.3774414</v>
      </c>
      <c r="H1412">
        <v>1330.0358887</v>
      </c>
      <c r="I1412">
        <v>1333.2192382999999</v>
      </c>
      <c r="J1412">
        <v>1332.2869873</v>
      </c>
      <c r="K1412">
        <v>0</v>
      </c>
      <c r="L1412">
        <v>550</v>
      </c>
      <c r="M1412">
        <v>550</v>
      </c>
      <c r="N1412">
        <v>0</v>
      </c>
    </row>
    <row r="1413" spans="1:14" x14ac:dyDescent="0.25">
      <c r="A1413">
        <v>1314.96561</v>
      </c>
      <c r="B1413" s="1">
        <f>DATE(2013,12,5) + TIME(23,10,28)</f>
        <v>41613.965601851851</v>
      </c>
      <c r="C1413">
        <v>80</v>
      </c>
      <c r="D1413">
        <v>76.524169921999999</v>
      </c>
      <c r="E1413">
        <v>60</v>
      </c>
      <c r="F1413">
        <v>59.952117919999999</v>
      </c>
      <c r="G1413">
        <v>1330.3551024999999</v>
      </c>
      <c r="H1413">
        <v>1330.0059814000001</v>
      </c>
      <c r="I1413">
        <v>1333.2183838000001</v>
      </c>
      <c r="J1413">
        <v>1332.2875977000001</v>
      </c>
      <c r="K1413">
        <v>0</v>
      </c>
      <c r="L1413">
        <v>550</v>
      </c>
      <c r="M1413">
        <v>550</v>
      </c>
      <c r="N1413">
        <v>0</v>
      </c>
    </row>
    <row r="1414" spans="1:14" x14ac:dyDescent="0.25">
      <c r="A1414">
        <v>1316.7950699999999</v>
      </c>
      <c r="B1414" s="1">
        <f>DATE(2013,12,7) + TIME(19,4,54)</f>
        <v>41615.795069444444</v>
      </c>
      <c r="C1414">
        <v>80</v>
      </c>
      <c r="D1414">
        <v>76.292419433999996</v>
      </c>
      <c r="E1414">
        <v>60</v>
      </c>
      <c r="F1414">
        <v>59.952072143999999</v>
      </c>
      <c r="G1414">
        <v>1330.3316649999999</v>
      </c>
      <c r="H1414">
        <v>1329.9747314000001</v>
      </c>
      <c r="I1414">
        <v>1333.2176514</v>
      </c>
      <c r="J1414">
        <v>1332.2882079999999</v>
      </c>
      <c r="K1414">
        <v>0</v>
      </c>
      <c r="L1414">
        <v>550</v>
      </c>
      <c r="M1414">
        <v>550</v>
      </c>
      <c r="N1414">
        <v>0</v>
      </c>
    </row>
    <row r="1415" spans="1:14" x14ac:dyDescent="0.25">
      <c r="A1415">
        <v>1318.642544</v>
      </c>
      <c r="B1415" s="1">
        <f>DATE(2013,12,9) + TIME(15,25,15)</f>
        <v>41617.642534722225</v>
      </c>
      <c r="C1415">
        <v>80</v>
      </c>
      <c r="D1415">
        <v>76.052986145000006</v>
      </c>
      <c r="E1415">
        <v>60</v>
      </c>
      <c r="F1415">
        <v>59.952026367000002</v>
      </c>
      <c r="G1415">
        <v>1330.3087158000001</v>
      </c>
      <c r="H1415">
        <v>1329.9438477000001</v>
      </c>
      <c r="I1415">
        <v>1333.2169189000001</v>
      </c>
      <c r="J1415">
        <v>1332.2889404</v>
      </c>
      <c r="K1415">
        <v>0</v>
      </c>
      <c r="L1415">
        <v>550</v>
      </c>
      <c r="M1415">
        <v>550</v>
      </c>
      <c r="N1415">
        <v>0</v>
      </c>
    </row>
    <row r="1416" spans="1:14" x14ac:dyDescent="0.25">
      <c r="A1416">
        <v>1320.5492039999999</v>
      </c>
      <c r="B1416" s="1">
        <f>DATE(2013,12,11) + TIME(13,10,51)</f>
        <v>41619.549201388887</v>
      </c>
      <c r="C1416">
        <v>80</v>
      </c>
      <c r="D1416">
        <v>75.804367064999994</v>
      </c>
      <c r="E1416">
        <v>60</v>
      </c>
      <c r="F1416">
        <v>59.951980591000002</v>
      </c>
      <c r="G1416">
        <v>1330.2861327999999</v>
      </c>
      <c r="H1416">
        <v>1329.9134521000001</v>
      </c>
      <c r="I1416">
        <v>1333.2163086</v>
      </c>
      <c r="J1416">
        <v>1332.2895507999999</v>
      </c>
      <c r="K1416">
        <v>0</v>
      </c>
      <c r="L1416">
        <v>550</v>
      </c>
      <c r="M1416">
        <v>550</v>
      </c>
      <c r="N1416">
        <v>0</v>
      </c>
    </row>
    <row r="1417" spans="1:14" x14ac:dyDescent="0.25">
      <c r="A1417">
        <v>1322.5225840000001</v>
      </c>
      <c r="B1417" s="1">
        <f>DATE(2013,12,13) + TIME(12,32,31)</f>
        <v>41621.522581018522</v>
      </c>
      <c r="C1417">
        <v>80</v>
      </c>
      <c r="D1417">
        <v>75.546348571999999</v>
      </c>
      <c r="E1417">
        <v>60</v>
      </c>
      <c r="F1417">
        <v>59.951934813999998</v>
      </c>
      <c r="G1417">
        <v>1330.2636719</v>
      </c>
      <c r="H1417">
        <v>1329.8833007999999</v>
      </c>
      <c r="I1417">
        <v>1333.2156981999999</v>
      </c>
      <c r="J1417">
        <v>1332.2904053</v>
      </c>
      <c r="K1417">
        <v>0</v>
      </c>
      <c r="L1417">
        <v>550</v>
      </c>
      <c r="M1417">
        <v>550</v>
      </c>
      <c r="N1417">
        <v>0</v>
      </c>
    </row>
    <row r="1418" spans="1:14" x14ac:dyDescent="0.25">
      <c r="A1418">
        <v>1324.566433</v>
      </c>
      <c r="B1418" s="1">
        <f>DATE(2013,12,15) + TIME(13,35,39)</f>
        <v>41623.566423611112</v>
      </c>
      <c r="C1418">
        <v>80</v>
      </c>
      <c r="D1418">
        <v>75.278907775999997</v>
      </c>
      <c r="E1418">
        <v>60</v>
      </c>
      <c r="F1418">
        <v>59.951892852999997</v>
      </c>
      <c r="G1418">
        <v>1330.2414550999999</v>
      </c>
      <c r="H1418">
        <v>1329.8533935999999</v>
      </c>
      <c r="I1418">
        <v>1333.2152100000001</v>
      </c>
      <c r="J1418">
        <v>1332.2911377</v>
      </c>
      <c r="K1418">
        <v>0</v>
      </c>
      <c r="L1418">
        <v>550</v>
      </c>
      <c r="M1418">
        <v>550</v>
      </c>
      <c r="N1418">
        <v>0</v>
      </c>
    </row>
    <row r="1419" spans="1:14" x14ac:dyDescent="0.25">
      <c r="A1419">
        <v>1326.7013770000001</v>
      </c>
      <c r="B1419" s="1">
        <f>DATE(2013,12,17) + TIME(16,49,58)</f>
        <v>41625.701365740744</v>
      </c>
      <c r="C1419">
        <v>80</v>
      </c>
      <c r="D1419">
        <v>75.000793457</v>
      </c>
      <c r="E1419">
        <v>60</v>
      </c>
      <c r="F1419">
        <v>59.951850890999999</v>
      </c>
      <c r="G1419">
        <v>1330.2192382999999</v>
      </c>
      <c r="H1419">
        <v>1329.8237305</v>
      </c>
      <c r="I1419">
        <v>1333.2147216999999</v>
      </c>
      <c r="J1419">
        <v>1332.2919922000001</v>
      </c>
      <c r="K1419">
        <v>0</v>
      </c>
      <c r="L1419">
        <v>550</v>
      </c>
      <c r="M1419">
        <v>550</v>
      </c>
      <c r="N1419">
        <v>0</v>
      </c>
    </row>
    <row r="1420" spans="1:14" x14ac:dyDescent="0.25">
      <c r="A1420">
        <v>1328.9909520000001</v>
      </c>
      <c r="B1420" s="1">
        <f>DATE(2013,12,19) + TIME(23,46,58)</f>
        <v>41627.990949074076</v>
      </c>
      <c r="C1420">
        <v>80</v>
      </c>
      <c r="D1420">
        <v>74.707107543999996</v>
      </c>
      <c r="E1420">
        <v>60</v>
      </c>
      <c r="F1420">
        <v>59.951808929000002</v>
      </c>
      <c r="G1420">
        <v>1330.1971435999999</v>
      </c>
      <c r="H1420">
        <v>1329.7941894999999</v>
      </c>
      <c r="I1420">
        <v>1333.2142334</v>
      </c>
      <c r="J1420">
        <v>1332.2929687999999</v>
      </c>
      <c r="K1420">
        <v>0</v>
      </c>
      <c r="L1420">
        <v>550</v>
      </c>
      <c r="M1420">
        <v>550</v>
      </c>
      <c r="N1420">
        <v>0</v>
      </c>
    </row>
    <row r="1421" spans="1:14" x14ac:dyDescent="0.25">
      <c r="A1421">
        <v>1331.472655</v>
      </c>
      <c r="B1421" s="1">
        <f>DATE(2013,12,22) + TIME(11,20,37)</f>
        <v>41630.472650462965</v>
      </c>
      <c r="C1421">
        <v>80</v>
      </c>
      <c r="D1421">
        <v>74.394126892000003</v>
      </c>
      <c r="E1421">
        <v>60</v>
      </c>
      <c r="F1421">
        <v>59.951766968000001</v>
      </c>
      <c r="G1421">
        <v>1330.1744385</v>
      </c>
      <c r="H1421">
        <v>1329.7641602000001</v>
      </c>
      <c r="I1421">
        <v>1333.2137451000001</v>
      </c>
      <c r="J1421">
        <v>1332.2939452999999</v>
      </c>
      <c r="K1421">
        <v>0</v>
      </c>
      <c r="L1421">
        <v>550</v>
      </c>
      <c r="M1421">
        <v>550</v>
      </c>
      <c r="N1421">
        <v>0</v>
      </c>
    </row>
    <row r="1422" spans="1:14" x14ac:dyDescent="0.25">
      <c r="A1422">
        <v>1334.1916249999999</v>
      </c>
      <c r="B1422" s="1">
        <f>DATE(2013,12,25) + TIME(4,35,56)</f>
        <v>41633.191620370373</v>
      </c>
      <c r="C1422">
        <v>80</v>
      </c>
      <c r="D1422">
        <v>74.057418823000006</v>
      </c>
      <c r="E1422">
        <v>60</v>
      </c>
      <c r="F1422">
        <v>59.951725005999997</v>
      </c>
      <c r="G1422">
        <v>1330.1512451000001</v>
      </c>
      <c r="H1422">
        <v>1329.7333983999999</v>
      </c>
      <c r="I1422">
        <v>1333.2133789</v>
      </c>
      <c r="J1422">
        <v>1332.2950439000001</v>
      </c>
      <c r="K1422">
        <v>0</v>
      </c>
      <c r="L1422">
        <v>550</v>
      </c>
      <c r="M1422">
        <v>550</v>
      </c>
      <c r="N1422">
        <v>0</v>
      </c>
    </row>
    <row r="1423" spans="1:14" x14ac:dyDescent="0.25">
      <c r="A1423">
        <v>1337.1044690000001</v>
      </c>
      <c r="B1423" s="1">
        <f>DATE(2013,12,28) + TIME(2,30,26)</f>
        <v>41636.104467592595</v>
      </c>
      <c r="C1423">
        <v>80</v>
      </c>
      <c r="D1423">
        <v>73.697341918999996</v>
      </c>
      <c r="E1423">
        <v>60</v>
      </c>
      <c r="F1423">
        <v>59.951683043999999</v>
      </c>
      <c r="G1423">
        <v>1330.1271973</v>
      </c>
      <c r="H1423">
        <v>1329.7017822</v>
      </c>
      <c r="I1423">
        <v>1333.2130127</v>
      </c>
      <c r="J1423">
        <v>1332.2962646000001</v>
      </c>
      <c r="K1423">
        <v>0</v>
      </c>
      <c r="L1423">
        <v>550</v>
      </c>
      <c r="M1423">
        <v>550</v>
      </c>
      <c r="N1423">
        <v>0</v>
      </c>
    </row>
    <row r="1424" spans="1:14" x14ac:dyDescent="0.25">
      <c r="A1424">
        <v>1340.0609810000001</v>
      </c>
      <c r="B1424" s="1">
        <f>DATE(2013,12,31) + TIME(1,27,48)</f>
        <v>41639.060972222222</v>
      </c>
      <c r="C1424">
        <v>80</v>
      </c>
      <c r="D1424">
        <v>73.323127747000001</v>
      </c>
      <c r="E1424">
        <v>60</v>
      </c>
      <c r="F1424">
        <v>59.951637267999999</v>
      </c>
      <c r="G1424">
        <v>1330.1025391000001</v>
      </c>
      <c r="H1424">
        <v>1329.6695557</v>
      </c>
      <c r="I1424">
        <v>1333.2127685999999</v>
      </c>
      <c r="J1424">
        <v>1332.2976074000001</v>
      </c>
      <c r="K1424">
        <v>0</v>
      </c>
      <c r="L1424">
        <v>550</v>
      </c>
      <c r="M1424">
        <v>550</v>
      </c>
      <c r="N1424">
        <v>0</v>
      </c>
    </row>
    <row r="1425" spans="1:14" x14ac:dyDescent="0.25">
      <c r="A1425">
        <v>1341</v>
      </c>
      <c r="B1425" s="1">
        <f>DATE(2014,1,1) + TIME(0,0,0)</f>
        <v>41640</v>
      </c>
      <c r="C1425">
        <v>80</v>
      </c>
      <c r="D1425">
        <v>73.130615234000004</v>
      </c>
      <c r="E1425">
        <v>60</v>
      </c>
      <c r="F1425">
        <v>59.951602936</v>
      </c>
      <c r="G1425">
        <v>1330.0787353999999</v>
      </c>
      <c r="H1425">
        <v>1329.6385498</v>
      </c>
      <c r="I1425">
        <v>1333.2125243999999</v>
      </c>
      <c r="J1425">
        <v>1332.2989502</v>
      </c>
      <c r="K1425">
        <v>0</v>
      </c>
      <c r="L1425">
        <v>550</v>
      </c>
      <c r="M1425">
        <v>550</v>
      </c>
      <c r="N1425">
        <v>0</v>
      </c>
    </row>
    <row r="1426" spans="1:14" x14ac:dyDescent="0.25">
      <c r="A1426">
        <v>1344.041383</v>
      </c>
      <c r="B1426" s="1">
        <f>DATE(2014,1,4) + TIME(0,59,35)</f>
        <v>41643.041377314818</v>
      </c>
      <c r="C1426">
        <v>80</v>
      </c>
      <c r="D1426">
        <v>72.784950256000002</v>
      </c>
      <c r="E1426">
        <v>60</v>
      </c>
      <c r="F1426">
        <v>59.951576232999997</v>
      </c>
      <c r="G1426">
        <v>1330.0682373</v>
      </c>
      <c r="H1426">
        <v>1329.6226807</v>
      </c>
      <c r="I1426">
        <v>1333.2124022999999</v>
      </c>
      <c r="J1426">
        <v>1332.2993164</v>
      </c>
      <c r="K1426">
        <v>0</v>
      </c>
      <c r="L1426">
        <v>550</v>
      </c>
      <c r="M1426">
        <v>550</v>
      </c>
      <c r="N1426">
        <v>0</v>
      </c>
    </row>
    <row r="1427" spans="1:14" x14ac:dyDescent="0.25">
      <c r="A1427">
        <v>1347.263962</v>
      </c>
      <c r="B1427" s="1">
        <f>DATE(2014,1,7) + TIME(6,20,6)</f>
        <v>41646.263958333337</v>
      </c>
      <c r="C1427">
        <v>80</v>
      </c>
      <c r="D1427">
        <v>72.404975891000007</v>
      </c>
      <c r="E1427">
        <v>60</v>
      </c>
      <c r="F1427">
        <v>59.951541900999999</v>
      </c>
      <c r="G1427">
        <v>1330.0461425999999</v>
      </c>
      <c r="H1427">
        <v>1329.5942382999999</v>
      </c>
      <c r="I1427">
        <v>1333.2122803</v>
      </c>
      <c r="J1427">
        <v>1332.3006591999999</v>
      </c>
      <c r="K1427">
        <v>0</v>
      </c>
      <c r="L1427">
        <v>550</v>
      </c>
      <c r="M1427">
        <v>550</v>
      </c>
      <c r="N1427">
        <v>0</v>
      </c>
    </row>
    <row r="1428" spans="1:14" x14ac:dyDescent="0.25">
      <c r="A1428">
        <v>1350.7315209999999</v>
      </c>
      <c r="B1428" s="1">
        <f>DATE(2014,1,10) + TIME(17,33,23)</f>
        <v>41649.731516203705</v>
      </c>
      <c r="C1428">
        <v>80</v>
      </c>
      <c r="D1428">
        <v>71.996528624999996</v>
      </c>
      <c r="E1428">
        <v>60</v>
      </c>
      <c r="F1428">
        <v>59.951503754000001</v>
      </c>
      <c r="G1428">
        <v>1330.0234375</v>
      </c>
      <c r="H1428">
        <v>1329.5645752</v>
      </c>
      <c r="I1428">
        <v>1333.2121582</v>
      </c>
      <c r="J1428">
        <v>1332.302124</v>
      </c>
      <c r="K1428">
        <v>0</v>
      </c>
      <c r="L1428">
        <v>550</v>
      </c>
      <c r="M1428">
        <v>550</v>
      </c>
      <c r="N1428">
        <v>0</v>
      </c>
    </row>
    <row r="1429" spans="1:14" x14ac:dyDescent="0.25">
      <c r="A1429">
        <v>1354.4347230000001</v>
      </c>
      <c r="B1429" s="1">
        <f>DATE(2014,1,14) + TIME(10,26,0)</f>
        <v>41653.43472222222</v>
      </c>
      <c r="C1429">
        <v>80</v>
      </c>
      <c r="D1429">
        <v>71.562004088999998</v>
      </c>
      <c r="E1429">
        <v>60</v>
      </c>
      <c r="F1429">
        <v>59.951465607000003</v>
      </c>
      <c r="G1429">
        <v>1330</v>
      </c>
      <c r="H1429">
        <v>1329.5341797000001</v>
      </c>
      <c r="I1429">
        <v>1333.2121582</v>
      </c>
      <c r="J1429">
        <v>1332.3037108999999</v>
      </c>
      <c r="K1429">
        <v>0</v>
      </c>
      <c r="L1429">
        <v>550</v>
      </c>
      <c r="M1429">
        <v>550</v>
      </c>
      <c r="N1429">
        <v>0</v>
      </c>
    </row>
    <row r="1430" spans="1:14" x14ac:dyDescent="0.25">
      <c r="A1430">
        <v>1358.392331</v>
      </c>
      <c r="B1430" s="1">
        <f>DATE(2014,1,18) + TIME(9,24,57)</f>
        <v>41657.392326388886</v>
      </c>
      <c r="C1430">
        <v>80</v>
      </c>
      <c r="D1430">
        <v>71.102470397999994</v>
      </c>
      <c r="E1430">
        <v>60</v>
      </c>
      <c r="F1430">
        <v>59.951431274000001</v>
      </c>
      <c r="G1430">
        <v>1329.9763184000001</v>
      </c>
      <c r="H1430">
        <v>1329.5032959</v>
      </c>
      <c r="I1430">
        <v>1333.2121582</v>
      </c>
      <c r="J1430">
        <v>1332.3052978999999</v>
      </c>
      <c r="K1430">
        <v>0</v>
      </c>
      <c r="L1430">
        <v>550</v>
      </c>
      <c r="M1430">
        <v>550</v>
      </c>
      <c r="N1430">
        <v>0</v>
      </c>
    </row>
    <row r="1431" spans="1:14" x14ac:dyDescent="0.25">
      <c r="A1431">
        <v>1362.4757790000001</v>
      </c>
      <c r="B1431" s="1">
        <f>DATE(2014,1,22) + TIME(11,25,7)</f>
        <v>41661.475775462961</v>
      </c>
      <c r="C1431">
        <v>80</v>
      </c>
      <c r="D1431">
        <v>70.623825073000006</v>
      </c>
      <c r="E1431">
        <v>60</v>
      </c>
      <c r="F1431">
        <v>59.951393127000003</v>
      </c>
      <c r="G1431">
        <v>1329.9522704999999</v>
      </c>
      <c r="H1431">
        <v>1329.4720459</v>
      </c>
      <c r="I1431">
        <v>1333.2119141000001</v>
      </c>
      <c r="J1431">
        <v>1332.3068848</v>
      </c>
      <c r="K1431">
        <v>0</v>
      </c>
      <c r="L1431">
        <v>550</v>
      </c>
      <c r="M1431">
        <v>550</v>
      </c>
      <c r="N1431">
        <v>0</v>
      </c>
    </row>
    <row r="1432" spans="1:14" x14ac:dyDescent="0.25">
      <c r="A1432">
        <v>1366.6542039999999</v>
      </c>
      <c r="B1432" s="1">
        <f>DATE(2014,1,26) + TIME(15,42,3)</f>
        <v>41665.65420138889</v>
      </c>
      <c r="C1432">
        <v>80</v>
      </c>
      <c r="D1432">
        <v>70.134117126000007</v>
      </c>
      <c r="E1432">
        <v>60</v>
      </c>
      <c r="F1432">
        <v>59.951351166000002</v>
      </c>
      <c r="G1432">
        <v>1329.9287108999999</v>
      </c>
      <c r="H1432">
        <v>1329.4411620999999</v>
      </c>
      <c r="I1432">
        <v>1333.2115478999999</v>
      </c>
      <c r="J1432">
        <v>1332.3082274999999</v>
      </c>
      <c r="K1432">
        <v>0</v>
      </c>
      <c r="L1432">
        <v>550</v>
      </c>
      <c r="M1432">
        <v>550</v>
      </c>
      <c r="N1432">
        <v>0</v>
      </c>
    </row>
    <row r="1433" spans="1:14" x14ac:dyDescent="0.25">
      <c r="A1433">
        <v>1371.0350699999999</v>
      </c>
      <c r="B1433" s="1">
        <f>DATE(2014,1,31) + TIME(0,50,30)</f>
        <v>41670.035069444442</v>
      </c>
      <c r="C1433">
        <v>80</v>
      </c>
      <c r="D1433">
        <v>69.632720946999996</v>
      </c>
      <c r="E1433">
        <v>60</v>
      </c>
      <c r="F1433">
        <v>59.951316833</v>
      </c>
      <c r="G1433">
        <v>1329.9057617000001</v>
      </c>
      <c r="H1433">
        <v>1329.4111327999999</v>
      </c>
      <c r="I1433">
        <v>1333.2113036999999</v>
      </c>
      <c r="J1433">
        <v>1332.3098144999999</v>
      </c>
      <c r="K1433">
        <v>0</v>
      </c>
      <c r="L1433">
        <v>550</v>
      </c>
      <c r="M1433">
        <v>550</v>
      </c>
      <c r="N1433">
        <v>0</v>
      </c>
    </row>
    <row r="1434" spans="1:14" x14ac:dyDescent="0.25">
      <c r="A1434">
        <v>1372</v>
      </c>
      <c r="B1434" s="1">
        <f>DATE(2014,2,1) + TIME(0,0,0)</f>
        <v>41671</v>
      </c>
      <c r="C1434">
        <v>80</v>
      </c>
      <c r="D1434">
        <v>69.402160644999995</v>
      </c>
      <c r="E1434">
        <v>60</v>
      </c>
      <c r="F1434">
        <v>59.951282501000001</v>
      </c>
      <c r="G1434">
        <v>1329.8833007999999</v>
      </c>
      <c r="H1434">
        <v>1329.3829346</v>
      </c>
      <c r="I1434">
        <v>1333.2111815999999</v>
      </c>
      <c r="J1434">
        <v>1332.3112793</v>
      </c>
      <c r="K1434">
        <v>0</v>
      </c>
      <c r="L1434">
        <v>550</v>
      </c>
      <c r="M1434">
        <v>550</v>
      </c>
      <c r="N1434">
        <v>0</v>
      </c>
    </row>
    <row r="1435" spans="1:14" x14ac:dyDescent="0.25">
      <c r="A1435">
        <v>1376.705207</v>
      </c>
      <c r="B1435" s="1">
        <f>DATE(2014,2,5) + TIME(16,55,29)</f>
        <v>41675.705196759256</v>
      </c>
      <c r="C1435">
        <v>80</v>
      </c>
      <c r="D1435">
        <v>68.959701538000004</v>
      </c>
      <c r="E1435">
        <v>60</v>
      </c>
      <c r="F1435">
        <v>59.951274871999999</v>
      </c>
      <c r="G1435">
        <v>1329.8757324000001</v>
      </c>
      <c r="H1435">
        <v>1329.3701172000001</v>
      </c>
      <c r="I1435">
        <v>1333.2111815999999</v>
      </c>
      <c r="J1435">
        <v>1332.3116454999999</v>
      </c>
      <c r="K1435">
        <v>0</v>
      </c>
      <c r="L1435">
        <v>550</v>
      </c>
      <c r="M1435">
        <v>550</v>
      </c>
      <c r="N1435">
        <v>0</v>
      </c>
    </row>
    <row r="1436" spans="1:14" x14ac:dyDescent="0.25">
      <c r="A1436">
        <v>1381.767098</v>
      </c>
      <c r="B1436" s="1">
        <f>DATE(2014,2,10) + TIME(18,24,37)</f>
        <v>41680.767094907409</v>
      </c>
      <c r="C1436">
        <v>80</v>
      </c>
      <c r="D1436">
        <v>68.437652588000006</v>
      </c>
      <c r="E1436">
        <v>60</v>
      </c>
      <c r="F1436">
        <v>59.951251984000002</v>
      </c>
      <c r="G1436">
        <v>1329.8554687999999</v>
      </c>
      <c r="H1436">
        <v>1329.3447266000001</v>
      </c>
      <c r="I1436">
        <v>1333.2111815999999</v>
      </c>
      <c r="J1436">
        <v>1332.3133545000001</v>
      </c>
      <c r="K1436">
        <v>0</v>
      </c>
      <c r="L1436">
        <v>550</v>
      </c>
      <c r="M1436">
        <v>550</v>
      </c>
      <c r="N1436">
        <v>0</v>
      </c>
    </row>
    <row r="1437" spans="1:14" x14ac:dyDescent="0.25">
      <c r="A1437">
        <v>1387.2662170000001</v>
      </c>
      <c r="B1437" s="1">
        <f>DATE(2014,2,16) + TIME(6,23,21)</f>
        <v>41686.266215277778</v>
      </c>
      <c r="C1437">
        <v>80</v>
      </c>
      <c r="D1437">
        <v>67.866806030000006</v>
      </c>
      <c r="E1437">
        <v>60</v>
      </c>
      <c r="F1437">
        <v>59.951232910000002</v>
      </c>
      <c r="G1437">
        <v>1329.8339844</v>
      </c>
      <c r="H1437">
        <v>1329.3172606999999</v>
      </c>
      <c r="I1437">
        <v>1333.2111815999999</v>
      </c>
      <c r="J1437">
        <v>1332.3151855000001</v>
      </c>
      <c r="K1437">
        <v>0</v>
      </c>
      <c r="L1437">
        <v>550</v>
      </c>
      <c r="M1437">
        <v>550</v>
      </c>
      <c r="N1437">
        <v>0</v>
      </c>
    </row>
    <row r="1438" spans="1:14" x14ac:dyDescent="0.25">
      <c r="A1438">
        <v>1393.3463099999999</v>
      </c>
      <c r="B1438" s="1">
        <f>DATE(2014,2,22) + TIME(8,18,41)</f>
        <v>41692.346307870372</v>
      </c>
      <c r="C1438">
        <v>80</v>
      </c>
      <c r="D1438">
        <v>67.250236510999997</v>
      </c>
      <c r="E1438">
        <v>60</v>
      </c>
      <c r="F1438">
        <v>59.951217651</v>
      </c>
      <c r="G1438">
        <v>1329.8120117000001</v>
      </c>
      <c r="H1438">
        <v>1329.2890625</v>
      </c>
      <c r="I1438">
        <v>1333.2114257999999</v>
      </c>
      <c r="J1438">
        <v>1332.3170166</v>
      </c>
      <c r="K1438">
        <v>0</v>
      </c>
      <c r="L1438">
        <v>550</v>
      </c>
      <c r="M1438">
        <v>550</v>
      </c>
      <c r="N1438">
        <v>0</v>
      </c>
    </row>
    <row r="1439" spans="1:14" x14ac:dyDescent="0.25">
      <c r="A1439">
        <v>1400</v>
      </c>
      <c r="B1439" s="1">
        <f>DATE(2014,3,1) + TIME(0,0,0)</f>
        <v>41699</v>
      </c>
      <c r="C1439">
        <v>80</v>
      </c>
      <c r="D1439">
        <v>66.584381104000002</v>
      </c>
      <c r="E1439">
        <v>60</v>
      </c>
      <c r="F1439">
        <v>59.951210021999998</v>
      </c>
      <c r="G1439">
        <v>1329.7896728999999</v>
      </c>
      <c r="H1439">
        <v>1329.2602539</v>
      </c>
      <c r="I1439">
        <v>1333.2115478999999</v>
      </c>
      <c r="J1439">
        <v>1332.3190918</v>
      </c>
      <c r="K1439">
        <v>0</v>
      </c>
      <c r="L1439">
        <v>550</v>
      </c>
      <c r="M1439">
        <v>550</v>
      </c>
      <c r="N1439">
        <v>0</v>
      </c>
    </row>
    <row r="1440" spans="1:14" x14ac:dyDescent="0.25">
      <c r="A1440">
        <v>1406.6414990000001</v>
      </c>
      <c r="B1440" s="1">
        <f>DATE(2014,3,7) + TIME(15,23,45)</f>
        <v>41705.641493055555</v>
      </c>
      <c r="C1440">
        <v>80</v>
      </c>
      <c r="D1440">
        <v>65.886474609000004</v>
      </c>
      <c r="E1440">
        <v>60</v>
      </c>
      <c r="F1440">
        <v>59.951198578000003</v>
      </c>
      <c r="G1440">
        <v>1329.7672118999999</v>
      </c>
      <c r="H1440">
        <v>1329.2314452999999</v>
      </c>
      <c r="I1440">
        <v>1333.2119141000001</v>
      </c>
      <c r="J1440">
        <v>1332.3211670000001</v>
      </c>
      <c r="K1440">
        <v>0</v>
      </c>
      <c r="L1440">
        <v>550</v>
      </c>
      <c r="M1440">
        <v>550</v>
      </c>
      <c r="N1440">
        <v>0</v>
      </c>
    </row>
    <row r="1441" spans="1:14" x14ac:dyDescent="0.25">
      <c r="A1441">
        <v>1413.937457</v>
      </c>
      <c r="B1441" s="1">
        <f>DATE(2014,3,14) + TIME(22,29,56)</f>
        <v>41712.9374537037</v>
      </c>
      <c r="C1441">
        <v>80</v>
      </c>
      <c r="D1441">
        <v>65.177795410000002</v>
      </c>
      <c r="E1441">
        <v>60</v>
      </c>
      <c r="F1441">
        <v>59.951198578000003</v>
      </c>
      <c r="G1441">
        <v>1329.7459716999999</v>
      </c>
      <c r="H1441">
        <v>1329.2034911999999</v>
      </c>
      <c r="I1441">
        <v>1333.2121582</v>
      </c>
      <c r="J1441">
        <v>1332.3232422000001</v>
      </c>
      <c r="K1441">
        <v>0</v>
      </c>
      <c r="L1441">
        <v>550</v>
      </c>
      <c r="M1441">
        <v>550</v>
      </c>
      <c r="N1441">
        <v>0</v>
      </c>
    </row>
    <row r="1442" spans="1:14" x14ac:dyDescent="0.25">
      <c r="A1442">
        <v>1421.525138</v>
      </c>
      <c r="B1442" s="1">
        <f>DATE(2014,3,22) + TIME(12,36,11)</f>
        <v>41720.525127314817</v>
      </c>
      <c r="C1442">
        <v>80</v>
      </c>
      <c r="D1442">
        <v>64.442092896000005</v>
      </c>
      <c r="E1442">
        <v>60</v>
      </c>
      <c r="F1442">
        <v>59.951206206999998</v>
      </c>
      <c r="G1442">
        <v>1329.7255858999999</v>
      </c>
      <c r="H1442">
        <v>1329.1770019999999</v>
      </c>
      <c r="I1442">
        <v>1333.2126464999999</v>
      </c>
      <c r="J1442">
        <v>1332.3254394999999</v>
      </c>
      <c r="K1442">
        <v>0</v>
      </c>
      <c r="L1442">
        <v>550</v>
      </c>
      <c r="M1442">
        <v>550</v>
      </c>
      <c r="N1442">
        <v>0</v>
      </c>
    </row>
    <row r="1443" spans="1:14" x14ac:dyDescent="0.25">
      <c r="A1443">
        <v>1429.761896</v>
      </c>
      <c r="B1443" s="1">
        <f>DATE(2014,3,30) + TIME(18,17,7)</f>
        <v>41728.761886574073</v>
      </c>
      <c r="C1443">
        <v>80</v>
      </c>
      <c r="D1443">
        <v>63.693977355999998</v>
      </c>
      <c r="E1443">
        <v>60</v>
      </c>
      <c r="F1443">
        <v>59.951221466</v>
      </c>
      <c r="G1443">
        <v>1329.7062988</v>
      </c>
      <c r="H1443">
        <v>1329.1516113</v>
      </c>
      <c r="I1443">
        <v>1333.2130127</v>
      </c>
      <c r="J1443">
        <v>1332.3275146000001</v>
      </c>
      <c r="K1443">
        <v>0</v>
      </c>
      <c r="L1443">
        <v>550</v>
      </c>
      <c r="M1443">
        <v>550</v>
      </c>
      <c r="N1443">
        <v>0</v>
      </c>
    </row>
    <row r="1444" spans="1:14" x14ac:dyDescent="0.25">
      <c r="A1444">
        <v>1431</v>
      </c>
      <c r="B1444" s="1">
        <f>DATE(2014,4,1) + TIME(0,0,0)</f>
        <v>41730</v>
      </c>
      <c r="C1444">
        <v>80</v>
      </c>
      <c r="D1444">
        <v>63.352321625000002</v>
      </c>
      <c r="E1444">
        <v>60</v>
      </c>
      <c r="F1444">
        <v>59.951187134000001</v>
      </c>
      <c r="G1444">
        <v>1329.6871338000001</v>
      </c>
      <c r="H1444">
        <v>1329.1287841999999</v>
      </c>
      <c r="I1444">
        <v>1333.2133789</v>
      </c>
      <c r="J1444">
        <v>1332.3297118999999</v>
      </c>
      <c r="K1444">
        <v>0</v>
      </c>
      <c r="L1444">
        <v>550</v>
      </c>
      <c r="M1444">
        <v>550</v>
      </c>
      <c r="N1444">
        <v>0</v>
      </c>
    </row>
    <row r="1445" spans="1:14" x14ac:dyDescent="0.25">
      <c r="A1445">
        <v>1439.236758</v>
      </c>
      <c r="B1445" s="1">
        <f>DATE(2014,4,9) + TIME(5,40,55)</f>
        <v>41738.236747685187</v>
      </c>
      <c r="C1445">
        <v>80</v>
      </c>
      <c r="D1445">
        <v>62.778652190999999</v>
      </c>
      <c r="E1445">
        <v>60</v>
      </c>
      <c r="F1445">
        <v>59.951236725000001</v>
      </c>
      <c r="G1445">
        <v>1329.6826172000001</v>
      </c>
      <c r="H1445">
        <v>1329.1187743999999</v>
      </c>
      <c r="I1445">
        <v>1333.213501</v>
      </c>
      <c r="J1445">
        <v>1332.3300781</v>
      </c>
      <c r="K1445">
        <v>0</v>
      </c>
      <c r="L1445">
        <v>550</v>
      </c>
      <c r="M1445">
        <v>550</v>
      </c>
      <c r="N1445">
        <v>0</v>
      </c>
    </row>
    <row r="1446" spans="1:14" x14ac:dyDescent="0.25">
      <c r="A1446">
        <v>1447.473516</v>
      </c>
      <c r="B1446" s="1">
        <f>DATE(2014,4,17) + TIME(11,21,51)</f>
        <v>41746.473506944443</v>
      </c>
      <c r="C1446">
        <v>80</v>
      </c>
      <c r="D1446">
        <v>62.102268219000003</v>
      </c>
      <c r="E1446">
        <v>60</v>
      </c>
      <c r="F1446">
        <v>59.951263427999997</v>
      </c>
      <c r="G1446">
        <v>1329.6683350000001</v>
      </c>
      <c r="H1446">
        <v>1329.1015625</v>
      </c>
      <c r="I1446">
        <v>1333.2139893000001</v>
      </c>
      <c r="J1446">
        <v>1332.3321533000001</v>
      </c>
      <c r="K1446">
        <v>0</v>
      </c>
      <c r="L1446">
        <v>550</v>
      </c>
      <c r="M1446">
        <v>550</v>
      </c>
      <c r="N1446">
        <v>0</v>
      </c>
    </row>
    <row r="1447" spans="1:14" x14ac:dyDescent="0.25">
      <c r="A1447">
        <v>1456.0757269999999</v>
      </c>
      <c r="B1447" s="1">
        <f>DATE(2014,4,26) + TIME(1,49,2)</f>
        <v>41755.07571759259</v>
      </c>
      <c r="C1447">
        <v>80</v>
      </c>
      <c r="D1447">
        <v>61.444168091000002</v>
      </c>
      <c r="E1447">
        <v>60</v>
      </c>
      <c r="F1447">
        <v>59.951297760000003</v>
      </c>
      <c r="G1447">
        <v>1329.6545410000001</v>
      </c>
      <c r="H1447">
        <v>1329.083374</v>
      </c>
      <c r="I1447">
        <v>1333.2143555</v>
      </c>
      <c r="J1447">
        <v>1332.3341064000001</v>
      </c>
      <c r="K1447">
        <v>0</v>
      </c>
      <c r="L1447">
        <v>550</v>
      </c>
      <c r="M1447">
        <v>550</v>
      </c>
      <c r="N1447">
        <v>0</v>
      </c>
    </row>
    <row r="1448" spans="1:14" x14ac:dyDescent="0.25">
      <c r="A1448">
        <v>1461</v>
      </c>
      <c r="B1448" s="1">
        <f>DATE(2014,5,1) + TIME(0,0,0)</f>
        <v>41760</v>
      </c>
      <c r="C1448">
        <v>80</v>
      </c>
      <c r="D1448">
        <v>60.904823303000001</v>
      </c>
      <c r="E1448">
        <v>60</v>
      </c>
      <c r="F1448">
        <v>59.951290131</v>
      </c>
      <c r="G1448">
        <v>1329.6418457</v>
      </c>
      <c r="H1448">
        <v>1329.0671387</v>
      </c>
      <c r="I1448">
        <v>1333.2148437999999</v>
      </c>
      <c r="J1448">
        <v>1332.3360596</v>
      </c>
      <c r="K1448">
        <v>0</v>
      </c>
      <c r="L1448">
        <v>550</v>
      </c>
      <c r="M1448">
        <v>550</v>
      </c>
      <c r="N1448">
        <v>0</v>
      </c>
    </row>
    <row r="1449" spans="1:14" x14ac:dyDescent="0.25">
      <c r="A1449">
        <v>1461.0000010000001</v>
      </c>
      <c r="B1449" s="1">
        <f>DATE(2014,5,1) + TIME(0,0,0)</f>
        <v>41760</v>
      </c>
      <c r="C1449">
        <v>80</v>
      </c>
      <c r="D1449">
        <v>60.904861449999999</v>
      </c>
      <c r="E1449">
        <v>60</v>
      </c>
      <c r="F1449">
        <v>59.951267242</v>
      </c>
      <c r="G1449">
        <v>1330.4705810999999</v>
      </c>
      <c r="H1449">
        <v>1329.8695068</v>
      </c>
      <c r="I1449">
        <v>1332.1604004000001</v>
      </c>
      <c r="J1449">
        <v>1332.1229248</v>
      </c>
      <c r="K1449">
        <v>550</v>
      </c>
      <c r="L1449">
        <v>0</v>
      </c>
      <c r="M1449">
        <v>0</v>
      </c>
      <c r="N1449">
        <v>550</v>
      </c>
    </row>
    <row r="1450" spans="1:14" x14ac:dyDescent="0.25">
      <c r="A1450">
        <v>1461.000004</v>
      </c>
      <c r="B1450" s="1">
        <f>DATE(2014,5,1) + TIME(0,0,0)</f>
        <v>41760</v>
      </c>
      <c r="C1450">
        <v>80</v>
      </c>
      <c r="D1450">
        <v>60.904930114999999</v>
      </c>
      <c r="E1450">
        <v>60</v>
      </c>
      <c r="F1450">
        <v>59.951232910000002</v>
      </c>
      <c r="G1450">
        <v>1330.7602539</v>
      </c>
      <c r="H1450">
        <v>1330.190918</v>
      </c>
      <c r="I1450">
        <v>1331.9031981999999</v>
      </c>
      <c r="J1450">
        <v>1331.8704834</v>
      </c>
      <c r="K1450">
        <v>550</v>
      </c>
      <c r="L1450">
        <v>0</v>
      </c>
      <c r="M1450">
        <v>0</v>
      </c>
      <c r="N1450">
        <v>550</v>
      </c>
    </row>
    <row r="1451" spans="1:14" x14ac:dyDescent="0.25">
      <c r="A1451">
        <v>1461.0000130000001</v>
      </c>
      <c r="B1451" s="1">
        <f>DATE(2014,5,1) + TIME(0,0,1)</f>
        <v>41760.000011574077</v>
      </c>
      <c r="C1451">
        <v>80</v>
      </c>
      <c r="D1451">
        <v>60.905048370000003</v>
      </c>
      <c r="E1451">
        <v>60</v>
      </c>
      <c r="F1451">
        <v>59.951194762999997</v>
      </c>
      <c r="G1451">
        <v>1331.1184082</v>
      </c>
      <c r="H1451">
        <v>1330.5423584</v>
      </c>
      <c r="I1451">
        <v>1331.6168213000001</v>
      </c>
      <c r="J1451">
        <v>1331.5725098</v>
      </c>
      <c r="K1451">
        <v>550</v>
      </c>
      <c r="L1451">
        <v>0</v>
      </c>
      <c r="M1451">
        <v>0</v>
      </c>
      <c r="N1451">
        <v>550</v>
      </c>
    </row>
    <row r="1452" spans="1:14" x14ac:dyDescent="0.25">
      <c r="A1452">
        <v>1461.0000399999999</v>
      </c>
      <c r="B1452" s="1">
        <f>DATE(2014,5,1) + TIME(0,0,3)</f>
        <v>41760.000034722223</v>
      </c>
      <c r="C1452">
        <v>80</v>
      </c>
      <c r="D1452">
        <v>60.905323029000002</v>
      </c>
      <c r="E1452">
        <v>60</v>
      </c>
      <c r="F1452">
        <v>59.951156615999999</v>
      </c>
      <c r="G1452">
        <v>1331.4842529</v>
      </c>
      <c r="H1452">
        <v>1330.8903809000001</v>
      </c>
      <c r="I1452">
        <v>1331.3282471</v>
      </c>
      <c r="J1452">
        <v>1331.2673339999999</v>
      </c>
      <c r="K1452">
        <v>550</v>
      </c>
      <c r="L1452">
        <v>0</v>
      </c>
      <c r="M1452">
        <v>0</v>
      </c>
      <c r="N1452">
        <v>550</v>
      </c>
    </row>
    <row r="1453" spans="1:14" x14ac:dyDescent="0.25">
      <c r="A1453">
        <v>1461.000121</v>
      </c>
      <c r="B1453" s="1">
        <f>DATE(2014,5,1) + TIME(0,0,10)</f>
        <v>41760.000115740739</v>
      </c>
      <c r="C1453">
        <v>80</v>
      </c>
      <c r="D1453">
        <v>60.906070708999998</v>
      </c>
      <c r="E1453">
        <v>60</v>
      </c>
      <c r="F1453">
        <v>59.951118469000001</v>
      </c>
      <c r="G1453">
        <v>1331.8299560999999</v>
      </c>
      <c r="H1453">
        <v>1331.2172852000001</v>
      </c>
      <c r="I1453">
        <v>1331.0469971</v>
      </c>
      <c r="J1453">
        <v>1330.9669189000001</v>
      </c>
      <c r="K1453">
        <v>550</v>
      </c>
      <c r="L1453">
        <v>0</v>
      </c>
      <c r="M1453">
        <v>0</v>
      </c>
      <c r="N1453">
        <v>550</v>
      </c>
    </row>
    <row r="1454" spans="1:14" x14ac:dyDescent="0.25">
      <c r="A1454">
        <v>1461.000364</v>
      </c>
      <c r="B1454" s="1">
        <f>DATE(2014,5,1) + TIME(0,0,31)</f>
        <v>41760.000358796293</v>
      </c>
      <c r="C1454">
        <v>80</v>
      </c>
      <c r="D1454">
        <v>60.908290862999998</v>
      </c>
      <c r="E1454">
        <v>60</v>
      </c>
      <c r="F1454">
        <v>59.951076508</v>
      </c>
      <c r="G1454">
        <v>1332.1151123</v>
      </c>
      <c r="H1454">
        <v>1331.4816894999999</v>
      </c>
      <c r="I1454">
        <v>1330.8076172000001</v>
      </c>
      <c r="J1454">
        <v>1330.7077637</v>
      </c>
      <c r="K1454">
        <v>550</v>
      </c>
      <c r="L1454">
        <v>0</v>
      </c>
      <c r="M1454">
        <v>0</v>
      </c>
      <c r="N1454">
        <v>550</v>
      </c>
    </row>
    <row r="1455" spans="1:14" x14ac:dyDescent="0.25">
      <c r="A1455">
        <v>1461.0010930000001</v>
      </c>
      <c r="B1455" s="1">
        <f>DATE(2014,5,1) + TIME(0,1,34)</f>
        <v>41760.001087962963</v>
      </c>
      <c r="C1455">
        <v>80</v>
      </c>
      <c r="D1455">
        <v>60.915019989000001</v>
      </c>
      <c r="E1455">
        <v>60</v>
      </c>
      <c r="F1455">
        <v>59.951023102000001</v>
      </c>
      <c r="G1455">
        <v>1332.2973632999999</v>
      </c>
      <c r="H1455">
        <v>1331.6490478999999</v>
      </c>
      <c r="I1455">
        <v>1330.6470947</v>
      </c>
      <c r="J1455">
        <v>1330.5341797000001</v>
      </c>
      <c r="K1455">
        <v>550</v>
      </c>
      <c r="L1455">
        <v>0</v>
      </c>
      <c r="M1455">
        <v>0</v>
      </c>
      <c r="N1455">
        <v>550</v>
      </c>
    </row>
    <row r="1456" spans="1:14" x14ac:dyDescent="0.25">
      <c r="A1456">
        <v>1461.0032799999999</v>
      </c>
      <c r="B1456" s="1">
        <f>DATE(2014,5,1) + TIME(0,4,43)</f>
        <v>41760.003275462965</v>
      </c>
      <c r="C1456">
        <v>80</v>
      </c>
      <c r="D1456">
        <v>60.935329437</v>
      </c>
      <c r="E1456">
        <v>60</v>
      </c>
      <c r="F1456">
        <v>59.950920105000002</v>
      </c>
      <c r="G1456">
        <v>1332.3867187999999</v>
      </c>
      <c r="H1456">
        <v>1331.7321777</v>
      </c>
      <c r="I1456">
        <v>1330.5634766000001</v>
      </c>
      <c r="J1456">
        <v>1330.4453125</v>
      </c>
      <c r="K1456">
        <v>550</v>
      </c>
      <c r="L1456">
        <v>0</v>
      </c>
      <c r="M1456">
        <v>0</v>
      </c>
      <c r="N1456">
        <v>550</v>
      </c>
    </row>
    <row r="1457" spans="1:14" x14ac:dyDescent="0.25">
      <c r="A1457">
        <v>1461.0098410000001</v>
      </c>
      <c r="B1457" s="1">
        <f>DATE(2014,5,1) + TIME(0,14,10)</f>
        <v>41760.009837962964</v>
      </c>
      <c r="C1457">
        <v>80</v>
      </c>
      <c r="D1457">
        <v>60.996212006</v>
      </c>
      <c r="E1457">
        <v>60</v>
      </c>
      <c r="F1457">
        <v>59.950637817</v>
      </c>
      <c r="G1457">
        <v>1332.4207764</v>
      </c>
      <c r="H1457">
        <v>1331.7650146000001</v>
      </c>
      <c r="I1457">
        <v>1330.5349120999999</v>
      </c>
      <c r="J1457">
        <v>1330.4154053</v>
      </c>
      <c r="K1457">
        <v>550</v>
      </c>
      <c r="L1457">
        <v>0</v>
      </c>
      <c r="M1457">
        <v>0</v>
      </c>
      <c r="N1457">
        <v>550</v>
      </c>
    </row>
    <row r="1458" spans="1:14" x14ac:dyDescent="0.25">
      <c r="A1458">
        <v>1461.029524</v>
      </c>
      <c r="B1458" s="1">
        <f>DATE(2014,5,1) + TIME(0,42,30)</f>
        <v>41760.029513888891</v>
      </c>
      <c r="C1458">
        <v>80</v>
      </c>
      <c r="D1458">
        <v>61.177402495999999</v>
      </c>
      <c r="E1458">
        <v>60</v>
      </c>
      <c r="F1458">
        <v>59.949794769</v>
      </c>
      <c r="G1458">
        <v>1332.4298096</v>
      </c>
      <c r="H1458">
        <v>1331.7744141000001</v>
      </c>
      <c r="I1458">
        <v>1330.53125</v>
      </c>
      <c r="J1458">
        <v>1330.4112548999999</v>
      </c>
      <c r="K1458">
        <v>550</v>
      </c>
      <c r="L1458">
        <v>0</v>
      </c>
      <c r="M1458">
        <v>0</v>
      </c>
      <c r="N1458">
        <v>550</v>
      </c>
    </row>
    <row r="1459" spans="1:14" x14ac:dyDescent="0.25">
      <c r="A1459">
        <v>1461.088573</v>
      </c>
      <c r="B1459" s="1">
        <f>DATE(2014,5,1) + TIME(2,7,32)</f>
        <v>41760.088564814818</v>
      </c>
      <c r="C1459">
        <v>80</v>
      </c>
      <c r="D1459">
        <v>61.707786560000002</v>
      </c>
      <c r="E1459">
        <v>60</v>
      </c>
      <c r="F1459">
        <v>59.947284697999997</v>
      </c>
      <c r="G1459">
        <v>1332.4326172000001</v>
      </c>
      <c r="H1459">
        <v>1331.7790527</v>
      </c>
      <c r="I1459">
        <v>1330.5305175999999</v>
      </c>
      <c r="J1459">
        <v>1330.4099120999999</v>
      </c>
      <c r="K1459">
        <v>550</v>
      </c>
      <c r="L1459">
        <v>0</v>
      </c>
      <c r="M1459">
        <v>0</v>
      </c>
      <c r="N1459">
        <v>550</v>
      </c>
    </row>
    <row r="1460" spans="1:14" x14ac:dyDescent="0.25">
      <c r="A1460">
        <v>1461.1667440000001</v>
      </c>
      <c r="B1460" s="1">
        <f>DATE(2014,5,1) + TIME(4,0,6)</f>
        <v>41760.16673611111</v>
      </c>
      <c r="C1460">
        <v>80</v>
      </c>
      <c r="D1460">
        <v>62.398014068999998</v>
      </c>
      <c r="E1460">
        <v>60</v>
      </c>
      <c r="F1460">
        <v>59.943958281999997</v>
      </c>
      <c r="G1460">
        <v>1332.4589844</v>
      </c>
      <c r="H1460">
        <v>1331.7974853999999</v>
      </c>
      <c r="I1460">
        <v>1330.5285644999999</v>
      </c>
      <c r="J1460">
        <v>1330.40625</v>
      </c>
      <c r="K1460">
        <v>550</v>
      </c>
      <c r="L1460">
        <v>0</v>
      </c>
      <c r="M1460">
        <v>0</v>
      </c>
      <c r="N1460">
        <v>550</v>
      </c>
    </row>
    <row r="1461" spans="1:14" x14ac:dyDescent="0.25">
      <c r="A1461">
        <v>1461.2465890000001</v>
      </c>
      <c r="B1461" s="1">
        <f>DATE(2014,5,1) + TIME(5,55,5)</f>
        <v>41760.24658564815</v>
      </c>
      <c r="C1461">
        <v>80</v>
      </c>
      <c r="D1461">
        <v>63.095806121999999</v>
      </c>
      <c r="E1461">
        <v>60</v>
      </c>
      <c r="F1461">
        <v>59.940551757999998</v>
      </c>
      <c r="G1461">
        <v>1332.4990233999999</v>
      </c>
      <c r="H1461">
        <v>1331.8237305</v>
      </c>
      <c r="I1461">
        <v>1330.5261230000001</v>
      </c>
      <c r="J1461">
        <v>1330.4017334</v>
      </c>
      <c r="K1461">
        <v>550</v>
      </c>
      <c r="L1461">
        <v>0</v>
      </c>
      <c r="M1461">
        <v>0</v>
      </c>
      <c r="N1461">
        <v>550</v>
      </c>
    </row>
    <row r="1462" spans="1:14" x14ac:dyDescent="0.25">
      <c r="A1462">
        <v>1461.328219</v>
      </c>
      <c r="B1462" s="1">
        <f>DATE(2014,5,1) + TIME(7,52,38)</f>
        <v>41760.328217592592</v>
      </c>
      <c r="C1462">
        <v>80</v>
      </c>
      <c r="D1462">
        <v>63.800659179999997</v>
      </c>
      <c r="E1462">
        <v>60</v>
      </c>
      <c r="F1462">
        <v>59.937057494999998</v>
      </c>
      <c r="G1462">
        <v>1332.5408935999999</v>
      </c>
      <c r="H1462">
        <v>1331.8513184000001</v>
      </c>
      <c r="I1462">
        <v>1330.5238036999999</v>
      </c>
      <c r="J1462">
        <v>1330.3972168</v>
      </c>
      <c r="K1462">
        <v>550</v>
      </c>
      <c r="L1462">
        <v>0</v>
      </c>
      <c r="M1462">
        <v>0</v>
      </c>
      <c r="N1462">
        <v>550</v>
      </c>
    </row>
    <row r="1463" spans="1:14" x14ac:dyDescent="0.25">
      <c r="A1463">
        <v>1461.411709</v>
      </c>
      <c r="B1463" s="1">
        <f>DATE(2014,5,1) + TIME(9,52,51)</f>
        <v>41760.41170138889</v>
      </c>
      <c r="C1463">
        <v>80</v>
      </c>
      <c r="D1463">
        <v>64.511550903</v>
      </c>
      <c r="E1463">
        <v>60</v>
      </c>
      <c r="F1463">
        <v>59.933475494</v>
      </c>
      <c r="G1463">
        <v>1332.5844727000001</v>
      </c>
      <c r="H1463">
        <v>1331.8798827999999</v>
      </c>
      <c r="I1463">
        <v>1330.5213623</v>
      </c>
      <c r="J1463">
        <v>1330.3927002</v>
      </c>
      <c r="K1463">
        <v>550</v>
      </c>
      <c r="L1463">
        <v>0</v>
      </c>
      <c r="M1463">
        <v>0</v>
      </c>
      <c r="N1463">
        <v>550</v>
      </c>
    </row>
    <row r="1464" spans="1:14" x14ac:dyDescent="0.25">
      <c r="A1464">
        <v>1461.4971459999999</v>
      </c>
      <c r="B1464" s="1">
        <f>DATE(2014,5,1) + TIME(11,55,53)</f>
        <v>41760.497141203705</v>
      </c>
      <c r="C1464">
        <v>80</v>
      </c>
      <c r="D1464">
        <v>65.227371215999995</v>
      </c>
      <c r="E1464">
        <v>60</v>
      </c>
      <c r="F1464">
        <v>59.929798126000001</v>
      </c>
      <c r="G1464">
        <v>1332.6295166</v>
      </c>
      <c r="H1464">
        <v>1331.9095459</v>
      </c>
      <c r="I1464">
        <v>1330.5189209</v>
      </c>
      <c r="J1464">
        <v>1330.3880615</v>
      </c>
      <c r="K1464">
        <v>550</v>
      </c>
      <c r="L1464">
        <v>0</v>
      </c>
      <c r="M1464">
        <v>0</v>
      </c>
      <c r="N1464">
        <v>550</v>
      </c>
    </row>
    <row r="1465" spans="1:14" x14ac:dyDescent="0.25">
      <c r="A1465">
        <v>1461.5846240000001</v>
      </c>
      <c r="B1465" s="1">
        <f>DATE(2014,5,1) + TIME(14,1,51)</f>
        <v>41760.584618055553</v>
      </c>
      <c r="C1465">
        <v>80</v>
      </c>
      <c r="D1465">
        <v>65.946823120000005</v>
      </c>
      <c r="E1465">
        <v>60</v>
      </c>
      <c r="F1465">
        <v>59.926021575999997</v>
      </c>
      <c r="G1465">
        <v>1332.6760254000001</v>
      </c>
      <c r="H1465">
        <v>1331.9403076000001</v>
      </c>
      <c r="I1465">
        <v>1330.5166016000001</v>
      </c>
      <c r="J1465">
        <v>1330.3835449000001</v>
      </c>
      <c r="K1465">
        <v>550</v>
      </c>
      <c r="L1465">
        <v>0</v>
      </c>
      <c r="M1465">
        <v>0</v>
      </c>
      <c r="N1465">
        <v>550</v>
      </c>
    </row>
    <row r="1466" spans="1:14" x14ac:dyDescent="0.25">
      <c r="A1466">
        <v>1461.6742340000001</v>
      </c>
      <c r="B1466" s="1">
        <f>DATE(2014,5,1) + TIME(16,10,53)</f>
        <v>41760.674224537041</v>
      </c>
      <c r="C1466">
        <v>80</v>
      </c>
      <c r="D1466">
        <v>66.668159485000004</v>
      </c>
      <c r="E1466">
        <v>60</v>
      </c>
      <c r="F1466">
        <v>59.922145843999999</v>
      </c>
      <c r="G1466">
        <v>1332.723999</v>
      </c>
      <c r="H1466">
        <v>1331.9719238</v>
      </c>
      <c r="I1466">
        <v>1330.5142822</v>
      </c>
      <c r="J1466">
        <v>1330.3789062000001</v>
      </c>
      <c r="K1466">
        <v>550</v>
      </c>
      <c r="L1466">
        <v>0</v>
      </c>
      <c r="M1466">
        <v>0</v>
      </c>
      <c r="N1466">
        <v>550</v>
      </c>
    </row>
    <row r="1467" spans="1:14" x14ac:dyDescent="0.25">
      <c r="A1467">
        <v>1461.7660860000001</v>
      </c>
      <c r="B1467" s="1">
        <f>DATE(2014,5,1) + TIME(18,23,9)</f>
        <v>41760.766076388885</v>
      </c>
      <c r="C1467">
        <v>80</v>
      </c>
      <c r="D1467">
        <v>67.389656067000004</v>
      </c>
      <c r="E1467">
        <v>60</v>
      </c>
      <c r="F1467">
        <v>59.918159484999997</v>
      </c>
      <c r="G1467">
        <v>1332.7731934000001</v>
      </c>
      <c r="H1467">
        <v>1332.0045166</v>
      </c>
      <c r="I1467">
        <v>1330.5118408000001</v>
      </c>
      <c r="J1467">
        <v>1330.3742675999999</v>
      </c>
      <c r="K1467">
        <v>550</v>
      </c>
      <c r="L1467">
        <v>0</v>
      </c>
      <c r="M1467">
        <v>0</v>
      </c>
      <c r="N1467">
        <v>550</v>
      </c>
    </row>
    <row r="1468" spans="1:14" x14ac:dyDescent="0.25">
      <c r="A1468">
        <v>1461.8603109999999</v>
      </c>
      <c r="B1468" s="1">
        <f>DATE(2014,5,1) + TIME(20,38,50)</f>
        <v>41760.860300925924</v>
      </c>
      <c r="C1468">
        <v>80</v>
      </c>
      <c r="D1468">
        <v>68.109466553000004</v>
      </c>
      <c r="E1468">
        <v>60</v>
      </c>
      <c r="F1468">
        <v>59.9140625</v>
      </c>
      <c r="G1468">
        <v>1332.8236084</v>
      </c>
      <c r="H1468">
        <v>1332.0378418</v>
      </c>
      <c r="I1468">
        <v>1330.5095214999999</v>
      </c>
      <c r="J1468">
        <v>1330.3696289</v>
      </c>
      <c r="K1468">
        <v>550</v>
      </c>
      <c r="L1468">
        <v>0</v>
      </c>
      <c r="M1468">
        <v>0</v>
      </c>
      <c r="N1468">
        <v>550</v>
      </c>
    </row>
    <row r="1469" spans="1:14" x14ac:dyDescent="0.25">
      <c r="A1469">
        <v>1461.9570430000001</v>
      </c>
      <c r="B1469" s="1">
        <f>DATE(2014,5,1) + TIME(22,58,8)</f>
        <v>41760.957037037035</v>
      </c>
      <c r="C1469">
        <v>80</v>
      </c>
      <c r="D1469">
        <v>68.825531006000006</v>
      </c>
      <c r="E1469">
        <v>60</v>
      </c>
      <c r="F1469">
        <v>59.909847259999999</v>
      </c>
      <c r="G1469">
        <v>1332.8748779</v>
      </c>
      <c r="H1469">
        <v>1332.0718993999999</v>
      </c>
      <c r="I1469">
        <v>1330.5070800999999</v>
      </c>
      <c r="J1469">
        <v>1330.3649902</v>
      </c>
      <c r="K1469">
        <v>550</v>
      </c>
      <c r="L1469">
        <v>0</v>
      </c>
      <c r="M1469">
        <v>0</v>
      </c>
      <c r="N1469">
        <v>550</v>
      </c>
    </row>
    <row r="1470" spans="1:14" x14ac:dyDescent="0.25">
      <c r="A1470">
        <v>1462.056427</v>
      </c>
      <c r="B1470" s="1">
        <f>DATE(2014,5,2) + TIME(1,21,15)</f>
        <v>41761.056423611109</v>
      </c>
      <c r="C1470">
        <v>80</v>
      </c>
      <c r="D1470">
        <v>69.535621642999999</v>
      </c>
      <c r="E1470">
        <v>60</v>
      </c>
      <c r="F1470">
        <v>59.905506133999999</v>
      </c>
      <c r="G1470">
        <v>1332.9272461</v>
      </c>
      <c r="H1470">
        <v>1332.1065673999999</v>
      </c>
      <c r="I1470">
        <v>1330.5047606999999</v>
      </c>
      <c r="J1470">
        <v>1330.3603516000001</v>
      </c>
      <c r="K1470">
        <v>550</v>
      </c>
      <c r="L1470">
        <v>0</v>
      </c>
      <c r="M1470">
        <v>0</v>
      </c>
      <c r="N1470">
        <v>550</v>
      </c>
    </row>
    <row r="1471" spans="1:14" x14ac:dyDescent="0.25">
      <c r="A1471">
        <v>1462.158625</v>
      </c>
      <c r="B1471" s="1">
        <f>DATE(2014,5,2) + TIME(3,48,25)</f>
        <v>41761.158622685187</v>
      </c>
      <c r="C1471">
        <v>80</v>
      </c>
      <c r="D1471">
        <v>70.237213135000005</v>
      </c>
      <c r="E1471">
        <v>60</v>
      </c>
      <c r="F1471">
        <v>59.901031494000001</v>
      </c>
      <c r="G1471">
        <v>1332.9802245999999</v>
      </c>
      <c r="H1471">
        <v>1332.1418457</v>
      </c>
      <c r="I1471">
        <v>1330.5023193</v>
      </c>
      <c r="J1471">
        <v>1330.3555908000001</v>
      </c>
      <c r="K1471">
        <v>550</v>
      </c>
      <c r="L1471">
        <v>0</v>
      </c>
      <c r="M1471">
        <v>0</v>
      </c>
      <c r="N1471">
        <v>550</v>
      </c>
    </row>
    <row r="1472" spans="1:14" x14ac:dyDescent="0.25">
      <c r="A1472">
        <v>1462.2638099999999</v>
      </c>
      <c r="B1472" s="1">
        <f>DATE(2014,5,2) + TIME(6,19,53)</f>
        <v>41761.263807870368</v>
      </c>
      <c r="C1472">
        <v>80</v>
      </c>
      <c r="D1472">
        <v>70.927688599000007</v>
      </c>
      <c r="E1472">
        <v>60</v>
      </c>
      <c r="F1472">
        <v>59.896419524999999</v>
      </c>
      <c r="G1472">
        <v>1333.0339355000001</v>
      </c>
      <c r="H1472">
        <v>1332.1776123</v>
      </c>
      <c r="I1472">
        <v>1330.4998779</v>
      </c>
      <c r="J1472">
        <v>1330.3508300999999</v>
      </c>
      <c r="K1472">
        <v>550</v>
      </c>
      <c r="L1472">
        <v>0</v>
      </c>
      <c r="M1472">
        <v>0</v>
      </c>
      <c r="N1472">
        <v>550</v>
      </c>
    </row>
    <row r="1473" spans="1:14" x14ac:dyDescent="0.25">
      <c r="A1473">
        <v>1462.372177</v>
      </c>
      <c r="B1473" s="1">
        <f>DATE(2014,5,2) + TIME(8,55,56)</f>
        <v>41761.372175925928</v>
      </c>
      <c r="C1473">
        <v>80</v>
      </c>
      <c r="D1473">
        <v>71.604850768999995</v>
      </c>
      <c r="E1473">
        <v>60</v>
      </c>
      <c r="F1473">
        <v>59.891658782999997</v>
      </c>
      <c r="G1473">
        <v>1333.0880127</v>
      </c>
      <c r="H1473">
        <v>1332.2137451000001</v>
      </c>
      <c r="I1473">
        <v>1330.4974365</v>
      </c>
      <c r="J1473">
        <v>1330.3459473</v>
      </c>
      <c r="K1473">
        <v>550</v>
      </c>
      <c r="L1473">
        <v>0</v>
      </c>
      <c r="M1473">
        <v>0</v>
      </c>
      <c r="N1473">
        <v>550</v>
      </c>
    </row>
    <row r="1474" spans="1:14" x14ac:dyDescent="0.25">
      <c r="A1474">
        <v>1462.4839380000001</v>
      </c>
      <c r="B1474" s="1">
        <f>DATE(2014,5,2) + TIME(11,36,52)</f>
        <v>41761.483935185184</v>
      </c>
      <c r="C1474">
        <v>80</v>
      </c>
      <c r="D1474">
        <v>72.266159058</v>
      </c>
      <c r="E1474">
        <v>60</v>
      </c>
      <c r="F1474">
        <v>59.886741637999997</v>
      </c>
      <c r="G1474">
        <v>1333.1424560999999</v>
      </c>
      <c r="H1474">
        <v>1332.25</v>
      </c>
      <c r="I1474">
        <v>1330.4949951000001</v>
      </c>
      <c r="J1474">
        <v>1330.3410644999999</v>
      </c>
      <c r="K1474">
        <v>550</v>
      </c>
      <c r="L1474">
        <v>0</v>
      </c>
      <c r="M1474">
        <v>0</v>
      </c>
      <c r="N1474">
        <v>550</v>
      </c>
    </row>
    <row r="1475" spans="1:14" x14ac:dyDescent="0.25">
      <c r="A1475">
        <v>1462.5993269999999</v>
      </c>
      <c r="B1475" s="1">
        <f>DATE(2014,5,2) + TIME(14,23,1)</f>
        <v>41761.599317129629</v>
      </c>
      <c r="C1475">
        <v>80</v>
      </c>
      <c r="D1475">
        <v>72.909065247000001</v>
      </c>
      <c r="E1475">
        <v>60</v>
      </c>
      <c r="F1475">
        <v>59.881656647</v>
      </c>
      <c r="G1475">
        <v>1333.1970214999999</v>
      </c>
      <c r="H1475">
        <v>1332.2866211</v>
      </c>
      <c r="I1475">
        <v>1330.4925536999999</v>
      </c>
      <c r="J1475">
        <v>1330.3361815999999</v>
      </c>
      <c r="K1475">
        <v>550</v>
      </c>
      <c r="L1475">
        <v>0</v>
      </c>
      <c r="M1475">
        <v>0</v>
      </c>
      <c r="N1475">
        <v>550</v>
      </c>
    </row>
    <row r="1476" spans="1:14" x14ac:dyDescent="0.25">
      <c r="A1476">
        <v>1462.7186099999999</v>
      </c>
      <c r="B1476" s="1">
        <f>DATE(2014,5,2) + TIME(17,14,47)</f>
        <v>41761.718599537038</v>
      </c>
      <c r="C1476">
        <v>80</v>
      </c>
      <c r="D1476">
        <v>73.531112671000002</v>
      </c>
      <c r="E1476">
        <v>60</v>
      </c>
      <c r="F1476">
        <v>59.876392365000001</v>
      </c>
      <c r="G1476">
        <v>1333.2515868999999</v>
      </c>
      <c r="H1476">
        <v>1332.3231201000001</v>
      </c>
      <c r="I1476">
        <v>1330.4899902</v>
      </c>
      <c r="J1476">
        <v>1330.3311768000001</v>
      </c>
      <c r="K1476">
        <v>550</v>
      </c>
      <c r="L1476">
        <v>0</v>
      </c>
      <c r="M1476">
        <v>0</v>
      </c>
      <c r="N1476">
        <v>550</v>
      </c>
    </row>
    <row r="1477" spans="1:14" x14ac:dyDescent="0.25">
      <c r="A1477">
        <v>1462.8421149999999</v>
      </c>
      <c r="B1477" s="1">
        <f>DATE(2014,5,2) + TIME(20,12,38)</f>
        <v>41761.842106481483</v>
      </c>
      <c r="C1477">
        <v>80</v>
      </c>
      <c r="D1477">
        <v>74.130073546999995</v>
      </c>
      <c r="E1477">
        <v>60</v>
      </c>
      <c r="F1477">
        <v>59.870937347000002</v>
      </c>
      <c r="G1477">
        <v>1333.3059082</v>
      </c>
      <c r="H1477">
        <v>1332.3594971</v>
      </c>
      <c r="I1477">
        <v>1330.4874268000001</v>
      </c>
      <c r="J1477">
        <v>1330.3261719</v>
      </c>
      <c r="K1477">
        <v>550</v>
      </c>
      <c r="L1477">
        <v>0</v>
      </c>
      <c r="M1477">
        <v>0</v>
      </c>
      <c r="N1477">
        <v>550</v>
      </c>
    </row>
    <row r="1478" spans="1:14" x14ac:dyDescent="0.25">
      <c r="A1478">
        <v>1462.97012</v>
      </c>
      <c r="B1478" s="1">
        <f>DATE(2014,5,2) + TIME(23,16,58)</f>
        <v>41761.97011574074</v>
      </c>
      <c r="C1478">
        <v>80</v>
      </c>
      <c r="D1478">
        <v>74.703475952000005</v>
      </c>
      <c r="E1478">
        <v>60</v>
      </c>
      <c r="F1478">
        <v>59.865276336999997</v>
      </c>
      <c r="G1478">
        <v>1333.3598632999999</v>
      </c>
      <c r="H1478">
        <v>1332.3957519999999</v>
      </c>
      <c r="I1478">
        <v>1330.4847411999999</v>
      </c>
      <c r="J1478">
        <v>1330.3210449000001</v>
      </c>
      <c r="K1478">
        <v>550</v>
      </c>
      <c r="L1478">
        <v>0</v>
      </c>
      <c r="M1478">
        <v>0</v>
      </c>
      <c r="N1478">
        <v>550</v>
      </c>
    </row>
    <row r="1479" spans="1:14" x14ac:dyDescent="0.25">
      <c r="A1479">
        <v>1463.1029779999999</v>
      </c>
      <c r="B1479" s="1">
        <f>DATE(2014,5,3) + TIME(2,28,17)</f>
        <v>41762.10297453704</v>
      </c>
      <c r="C1479">
        <v>80</v>
      </c>
      <c r="D1479">
        <v>75.249038696</v>
      </c>
      <c r="E1479">
        <v>60</v>
      </c>
      <c r="F1479">
        <v>59.859397887999997</v>
      </c>
      <c r="G1479">
        <v>1333.4132079999999</v>
      </c>
      <c r="H1479">
        <v>1332.4315185999999</v>
      </c>
      <c r="I1479">
        <v>1330.4820557</v>
      </c>
      <c r="J1479">
        <v>1330.3157959</v>
      </c>
      <c r="K1479">
        <v>550</v>
      </c>
      <c r="L1479">
        <v>0</v>
      </c>
      <c r="M1479">
        <v>0</v>
      </c>
      <c r="N1479">
        <v>550</v>
      </c>
    </row>
    <row r="1480" spans="1:14" x14ac:dyDescent="0.25">
      <c r="A1480">
        <v>1463.241088</v>
      </c>
      <c r="B1480" s="1">
        <f>DATE(2014,5,3) + TIME(5,47,10)</f>
        <v>41762.241087962961</v>
      </c>
      <c r="C1480">
        <v>80</v>
      </c>
      <c r="D1480">
        <v>75.764839171999995</v>
      </c>
      <c r="E1480">
        <v>60</v>
      </c>
      <c r="F1480">
        <v>59.853282927999999</v>
      </c>
      <c r="G1480">
        <v>1333.4655762</v>
      </c>
      <c r="H1480">
        <v>1332.4667969</v>
      </c>
      <c r="I1480">
        <v>1330.4792480000001</v>
      </c>
      <c r="J1480">
        <v>1330.3105469</v>
      </c>
      <c r="K1480">
        <v>550</v>
      </c>
      <c r="L1480">
        <v>0</v>
      </c>
      <c r="M1480">
        <v>0</v>
      </c>
      <c r="N1480">
        <v>550</v>
      </c>
    </row>
    <row r="1481" spans="1:14" x14ac:dyDescent="0.25">
      <c r="A1481">
        <v>1463.3849250000001</v>
      </c>
      <c r="B1481" s="1">
        <f>DATE(2014,5,3) + TIME(9,14,17)</f>
        <v>41762.384918981479</v>
      </c>
      <c r="C1481">
        <v>80</v>
      </c>
      <c r="D1481">
        <v>76.249267578000001</v>
      </c>
      <c r="E1481">
        <v>60</v>
      </c>
      <c r="F1481">
        <v>59.846912383999999</v>
      </c>
      <c r="G1481">
        <v>1333.5144043</v>
      </c>
      <c r="H1481">
        <v>1332.4996338000001</v>
      </c>
      <c r="I1481">
        <v>1330.4763184000001</v>
      </c>
      <c r="J1481">
        <v>1330.3050536999999</v>
      </c>
      <c r="K1481">
        <v>550</v>
      </c>
      <c r="L1481">
        <v>0</v>
      </c>
      <c r="M1481">
        <v>0</v>
      </c>
      <c r="N1481">
        <v>550</v>
      </c>
    </row>
    <row r="1482" spans="1:14" x14ac:dyDescent="0.25">
      <c r="A1482">
        <v>1463.535306</v>
      </c>
      <c r="B1482" s="1">
        <f>DATE(2014,5,3) + TIME(12,50,50)</f>
        <v>41762.535300925927</v>
      </c>
      <c r="C1482">
        <v>80</v>
      </c>
      <c r="D1482">
        <v>76.701858521000005</v>
      </c>
      <c r="E1482">
        <v>60</v>
      </c>
      <c r="F1482">
        <v>59.840255737</v>
      </c>
      <c r="G1482">
        <v>1333.5611572</v>
      </c>
      <c r="H1482">
        <v>1332.5311279</v>
      </c>
      <c r="I1482">
        <v>1330.4732666</v>
      </c>
      <c r="J1482">
        <v>1330.2995605000001</v>
      </c>
      <c r="K1482">
        <v>550</v>
      </c>
      <c r="L1482">
        <v>0</v>
      </c>
      <c r="M1482">
        <v>0</v>
      </c>
      <c r="N1482">
        <v>550</v>
      </c>
    </row>
    <row r="1483" spans="1:14" x14ac:dyDescent="0.25">
      <c r="A1483">
        <v>1463.6929560000001</v>
      </c>
      <c r="B1483" s="1">
        <f>DATE(2014,5,3) + TIME(16,37,51)</f>
        <v>41762.69295138889</v>
      </c>
      <c r="C1483">
        <v>80</v>
      </c>
      <c r="D1483">
        <v>77.121582031000003</v>
      </c>
      <c r="E1483">
        <v>60</v>
      </c>
      <c r="F1483">
        <v>59.833278655999997</v>
      </c>
      <c r="G1483">
        <v>1333.6040039</v>
      </c>
      <c r="H1483">
        <v>1332.5599365</v>
      </c>
      <c r="I1483">
        <v>1330.4699707</v>
      </c>
      <c r="J1483">
        <v>1330.2938231999999</v>
      </c>
      <c r="K1483">
        <v>550</v>
      </c>
      <c r="L1483">
        <v>0</v>
      </c>
      <c r="M1483">
        <v>0</v>
      </c>
      <c r="N1483">
        <v>550</v>
      </c>
    </row>
    <row r="1484" spans="1:14" x14ac:dyDescent="0.25">
      <c r="A1484">
        <v>1463.858956</v>
      </c>
      <c r="B1484" s="1">
        <f>DATE(2014,5,3) + TIME(20,36,53)</f>
        <v>41762.858946759261</v>
      </c>
      <c r="C1484">
        <v>80</v>
      </c>
      <c r="D1484">
        <v>77.508522033999995</v>
      </c>
      <c r="E1484">
        <v>60</v>
      </c>
      <c r="F1484">
        <v>59.825942992999998</v>
      </c>
      <c r="G1484">
        <v>1333.6450195</v>
      </c>
      <c r="H1484">
        <v>1332.5875243999999</v>
      </c>
      <c r="I1484">
        <v>1330.4665527</v>
      </c>
      <c r="J1484">
        <v>1330.2879639</v>
      </c>
      <c r="K1484">
        <v>550</v>
      </c>
      <c r="L1484">
        <v>0</v>
      </c>
      <c r="M1484">
        <v>0</v>
      </c>
      <c r="N1484">
        <v>550</v>
      </c>
    </row>
    <row r="1485" spans="1:14" x14ac:dyDescent="0.25">
      <c r="A1485">
        <v>1464.0342390000001</v>
      </c>
      <c r="B1485" s="1">
        <f>DATE(2014,5,4) + TIME(0,49,18)</f>
        <v>41763.034236111111</v>
      </c>
      <c r="C1485">
        <v>80</v>
      </c>
      <c r="D1485">
        <v>77.862014771000005</v>
      </c>
      <c r="E1485">
        <v>60</v>
      </c>
      <c r="F1485">
        <v>59.818206787000001</v>
      </c>
      <c r="G1485">
        <v>1333.6811522999999</v>
      </c>
      <c r="H1485">
        <v>1332.6119385</v>
      </c>
      <c r="I1485">
        <v>1330.4630127</v>
      </c>
      <c r="J1485">
        <v>1330.2818603999999</v>
      </c>
      <c r="K1485">
        <v>550</v>
      </c>
      <c r="L1485">
        <v>0</v>
      </c>
      <c r="M1485">
        <v>0</v>
      </c>
      <c r="N1485">
        <v>550</v>
      </c>
    </row>
    <row r="1486" spans="1:14" x14ac:dyDescent="0.25">
      <c r="A1486">
        <v>1464.2203950000001</v>
      </c>
      <c r="B1486" s="1">
        <f>DATE(2014,5,4) + TIME(5,17,22)</f>
        <v>41763.220393518517</v>
      </c>
      <c r="C1486">
        <v>80</v>
      </c>
      <c r="D1486">
        <v>78.182975768999995</v>
      </c>
      <c r="E1486">
        <v>60</v>
      </c>
      <c r="F1486">
        <v>59.810009002999998</v>
      </c>
      <c r="G1486">
        <v>1333.7159423999999</v>
      </c>
      <c r="H1486">
        <v>1332.6354980000001</v>
      </c>
      <c r="I1486">
        <v>1330.4592285000001</v>
      </c>
      <c r="J1486">
        <v>1330.2756348</v>
      </c>
      <c r="K1486">
        <v>550</v>
      </c>
      <c r="L1486">
        <v>0</v>
      </c>
      <c r="M1486">
        <v>0</v>
      </c>
      <c r="N1486">
        <v>550</v>
      </c>
    </row>
    <row r="1487" spans="1:14" x14ac:dyDescent="0.25">
      <c r="A1487">
        <v>1464.4187099999999</v>
      </c>
      <c r="B1487" s="1">
        <f>DATE(2014,5,4) + TIME(10,2,56)</f>
        <v>41763.418703703705</v>
      </c>
      <c r="C1487">
        <v>80</v>
      </c>
      <c r="D1487">
        <v>78.471313476999995</v>
      </c>
      <c r="E1487">
        <v>60</v>
      </c>
      <c r="F1487">
        <v>59.801292418999999</v>
      </c>
      <c r="G1487">
        <v>1333.7464600000001</v>
      </c>
      <c r="H1487">
        <v>1332.6563721</v>
      </c>
      <c r="I1487">
        <v>1330.4553223</v>
      </c>
      <c r="J1487">
        <v>1330.269043</v>
      </c>
      <c r="K1487">
        <v>550</v>
      </c>
      <c r="L1487">
        <v>0</v>
      </c>
      <c r="M1487">
        <v>0</v>
      </c>
      <c r="N1487">
        <v>550</v>
      </c>
    </row>
    <row r="1488" spans="1:14" x14ac:dyDescent="0.25">
      <c r="A1488">
        <v>1464.631208</v>
      </c>
      <c r="B1488" s="1">
        <f>DATE(2014,5,4) + TIME(15,8,56)</f>
        <v>41763.631203703706</v>
      </c>
      <c r="C1488">
        <v>80</v>
      </c>
      <c r="D1488">
        <v>78.728027343999997</v>
      </c>
      <c r="E1488">
        <v>60</v>
      </c>
      <c r="F1488">
        <v>59.791984558000003</v>
      </c>
      <c r="G1488">
        <v>1333.7738036999999</v>
      </c>
      <c r="H1488">
        <v>1332.6750488</v>
      </c>
      <c r="I1488">
        <v>1330.4510498</v>
      </c>
      <c r="J1488">
        <v>1330.2623291</v>
      </c>
      <c r="K1488">
        <v>550</v>
      </c>
      <c r="L1488">
        <v>0</v>
      </c>
      <c r="M1488">
        <v>0</v>
      </c>
      <c r="N1488">
        <v>550</v>
      </c>
    </row>
    <row r="1489" spans="1:14" x14ac:dyDescent="0.25">
      <c r="A1489">
        <v>1464.8600899999999</v>
      </c>
      <c r="B1489" s="1">
        <f>DATE(2014,5,4) + TIME(20,38,31)</f>
        <v>41763.860081018516</v>
      </c>
      <c r="C1489">
        <v>80</v>
      </c>
      <c r="D1489">
        <v>78.954193114999995</v>
      </c>
      <c r="E1489">
        <v>60</v>
      </c>
      <c r="F1489">
        <v>59.781997681</v>
      </c>
      <c r="G1489">
        <v>1333.7998047000001</v>
      </c>
      <c r="H1489">
        <v>1332.6928711</v>
      </c>
      <c r="I1489">
        <v>1330.4466553</v>
      </c>
      <c r="J1489">
        <v>1330.255249</v>
      </c>
      <c r="K1489">
        <v>550</v>
      </c>
      <c r="L1489">
        <v>0</v>
      </c>
      <c r="M1489">
        <v>0</v>
      </c>
      <c r="N1489">
        <v>550</v>
      </c>
    </row>
    <row r="1490" spans="1:14" x14ac:dyDescent="0.25">
      <c r="A1490">
        <v>1465.1074900000001</v>
      </c>
      <c r="B1490" s="1">
        <f>DATE(2014,5,5) + TIME(2,34,47)</f>
        <v>41764.107488425929</v>
      </c>
      <c r="C1490">
        <v>80</v>
      </c>
      <c r="D1490">
        <v>79.150764464999995</v>
      </c>
      <c r="E1490">
        <v>60</v>
      </c>
      <c r="F1490">
        <v>59.771244049000003</v>
      </c>
      <c r="G1490">
        <v>1333.8243408000001</v>
      </c>
      <c r="H1490">
        <v>1332.7099608999999</v>
      </c>
      <c r="I1490">
        <v>1330.4420166</v>
      </c>
      <c r="J1490">
        <v>1330.2478027</v>
      </c>
      <c r="K1490">
        <v>550</v>
      </c>
      <c r="L1490">
        <v>0</v>
      </c>
      <c r="M1490">
        <v>0</v>
      </c>
      <c r="N1490">
        <v>550</v>
      </c>
    </row>
    <row r="1491" spans="1:14" x14ac:dyDescent="0.25">
      <c r="A1491">
        <v>1465.3726899999999</v>
      </c>
      <c r="B1491" s="1">
        <f>DATE(2014,5,5) + TIME(8,56,40)</f>
        <v>41764.372685185182</v>
      </c>
      <c r="C1491">
        <v>80</v>
      </c>
      <c r="D1491">
        <v>79.317283630000006</v>
      </c>
      <c r="E1491">
        <v>60</v>
      </c>
      <c r="F1491">
        <v>59.759773254000002</v>
      </c>
      <c r="G1491">
        <v>1333.8431396000001</v>
      </c>
      <c r="H1491">
        <v>1332.7233887</v>
      </c>
      <c r="I1491">
        <v>1330.4371338000001</v>
      </c>
      <c r="J1491">
        <v>1330.2399902</v>
      </c>
      <c r="K1491">
        <v>550</v>
      </c>
      <c r="L1491">
        <v>0</v>
      </c>
      <c r="M1491">
        <v>0</v>
      </c>
      <c r="N1491">
        <v>550</v>
      </c>
    </row>
    <row r="1492" spans="1:14" x14ac:dyDescent="0.25">
      <c r="A1492">
        <v>1465.64014</v>
      </c>
      <c r="B1492" s="1">
        <f>DATE(2014,5,5) + TIME(15,21,48)</f>
        <v>41764.640138888892</v>
      </c>
      <c r="C1492">
        <v>80</v>
      </c>
      <c r="D1492">
        <v>79.449615479000002</v>
      </c>
      <c r="E1492">
        <v>60</v>
      </c>
      <c r="F1492">
        <v>59.748241425000003</v>
      </c>
      <c r="G1492">
        <v>1333.8598632999999</v>
      </c>
      <c r="H1492">
        <v>1332.7354736</v>
      </c>
      <c r="I1492">
        <v>1330.4318848</v>
      </c>
      <c r="J1492">
        <v>1330.2319336</v>
      </c>
      <c r="K1492">
        <v>550</v>
      </c>
      <c r="L1492">
        <v>0</v>
      </c>
      <c r="M1492">
        <v>0</v>
      </c>
      <c r="N1492">
        <v>550</v>
      </c>
    </row>
    <row r="1493" spans="1:14" x14ac:dyDescent="0.25">
      <c r="A1493">
        <v>1465.9119439999999</v>
      </c>
      <c r="B1493" s="1">
        <f>DATE(2014,5,5) + TIME(21,53,11)</f>
        <v>41764.911932870367</v>
      </c>
      <c r="C1493">
        <v>80</v>
      </c>
      <c r="D1493">
        <v>79.555130004999995</v>
      </c>
      <c r="E1493">
        <v>60</v>
      </c>
      <c r="F1493">
        <v>59.736557007000002</v>
      </c>
      <c r="G1493">
        <v>1333.8741454999999</v>
      </c>
      <c r="H1493">
        <v>1332.7460937999999</v>
      </c>
      <c r="I1493">
        <v>1330.4268798999999</v>
      </c>
      <c r="J1493">
        <v>1330.223999</v>
      </c>
      <c r="K1493">
        <v>550</v>
      </c>
      <c r="L1493">
        <v>0</v>
      </c>
      <c r="M1493">
        <v>0</v>
      </c>
      <c r="N1493">
        <v>550</v>
      </c>
    </row>
    <row r="1494" spans="1:14" x14ac:dyDescent="0.25">
      <c r="A1494">
        <v>1466.189222</v>
      </c>
      <c r="B1494" s="1">
        <f>DATE(2014,5,6) + TIME(4,32,28)</f>
        <v>41765.189212962963</v>
      </c>
      <c r="C1494">
        <v>80</v>
      </c>
      <c r="D1494">
        <v>79.639175414999997</v>
      </c>
      <c r="E1494">
        <v>60</v>
      </c>
      <c r="F1494">
        <v>59.724681854000004</v>
      </c>
      <c r="G1494">
        <v>1333.8863524999999</v>
      </c>
      <c r="H1494">
        <v>1332.7553711</v>
      </c>
      <c r="I1494">
        <v>1330.4217529</v>
      </c>
      <c r="J1494">
        <v>1330.2160644999999</v>
      </c>
      <c r="K1494">
        <v>550</v>
      </c>
      <c r="L1494">
        <v>0</v>
      </c>
      <c r="M1494">
        <v>0</v>
      </c>
      <c r="N1494">
        <v>550</v>
      </c>
    </row>
    <row r="1495" spans="1:14" x14ac:dyDescent="0.25">
      <c r="A1495">
        <v>1466.4731670000001</v>
      </c>
      <c r="B1495" s="1">
        <f>DATE(2014,5,6) + TIME(11,21,21)</f>
        <v>41765.47315972222</v>
      </c>
      <c r="C1495">
        <v>80</v>
      </c>
      <c r="D1495">
        <v>79.706039429</v>
      </c>
      <c r="E1495">
        <v>60</v>
      </c>
      <c r="F1495">
        <v>59.712574005</v>
      </c>
      <c r="G1495">
        <v>1333.8967285000001</v>
      </c>
      <c r="H1495">
        <v>1332.7636719</v>
      </c>
      <c r="I1495">
        <v>1330.416626</v>
      </c>
      <c r="J1495">
        <v>1330.2082519999999</v>
      </c>
      <c r="K1495">
        <v>550</v>
      </c>
      <c r="L1495">
        <v>0</v>
      </c>
      <c r="M1495">
        <v>0</v>
      </c>
      <c r="N1495">
        <v>550</v>
      </c>
    </row>
    <row r="1496" spans="1:14" x14ac:dyDescent="0.25">
      <c r="A1496">
        <v>1466.76521</v>
      </c>
      <c r="B1496" s="1">
        <f>DATE(2014,5,6) + TIME(18,21,54)</f>
        <v>41765.765208333331</v>
      </c>
      <c r="C1496">
        <v>80</v>
      </c>
      <c r="D1496">
        <v>79.759155273000005</v>
      </c>
      <c r="E1496">
        <v>60</v>
      </c>
      <c r="F1496">
        <v>59.700172424000002</v>
      </c>
      <c r="G1496">
        <v>1333.9056396000001</v>
      </c>
      <c r="H1496">
        <v>1332.7711182</v>
      </c>
      <c r="I1496">
        <v>1330.4116211</v>
      </c>
      <c r="J1496">
        <v>1330.2003173999999</v>
      </c>
      <c r="K1496">
        <v>550</v>
      </c>
      <c r="L1496">
        <v>0</v>
      </c>
      <c r="M1496">
        <v>0</v>
      </c>
      <c r="N1496">
        <v>550</v>
      </c>
    </row>
    <row r="1497" spans="1:14" x14ac:dyDescent="0.25">
      <c r="A1497">
        <v>1467.0666040000001</v>
      </c>
      <c r="B1497" s="1">
        <f>DATE(2014,5,7) + TIME(1,35,54)</f>
        <v>41766.06659722222</v>
      </c>
      <c r="C1497">
        <v>80</v>
      </c>
      <c r="D1497">
        <v>79.801231384000005</v>
      </c>
      <c r="E1497">
        <v>60</v>
      </c>
      <c r="F1497">
        <v>59.687442779999998</v>
      </c>
      <c r="G1497">
        <v>1333.9132079999999</v>
      </c>
      <c r="H1497">
        <v>1332.7777100000001</v>
      </c>
      <c r="I1497">
        <v>1330.4063721</v>
      </c>
      <c r="J1497">
        <v>1330.1923827999999</v>
      </c>
      <c r="K1497">
        <v>550</v>
      </c>
      <c r="L1497">
        <v>0</v>
      </c>
      <c r="M1497">
        <v>0</v>
      </c>
      <c r="N1497">
        <v>550</v>
      </c>
    </row>
    <row r="1498" spans="1:14" x14ac:dyDescent="0.25">
      <c r="A1498">
        <v>1467.3805319999999</v>
      </c>
      <c r="B1498" s="1">
        <f>DATE(2014,5,7) + TIME(9,7,57)</f>
        <v>41766.380520833336</v>
      </c>
      <c r="C1498">
        <v>80</v>
      </c>
      <c r="D1498">
        <v>79.834609985</v>
      </c>
      <c r="E1498">
        <v>60</v>
      </c>
      <c r="F1498">
        <v>59.674251556000002</v>
      </c>
      <c r="G1498">
        <v>1333.9194336</v>
      </c>
      <c r="H1498">
        <v>1332.7835693</v>
      </c>
      <c r="I1498">
        <v>1330.4012451000001</v>
      </c>
      <c r="J1498">
        <v>1330.1844481999999</v>
      </c>
      <c r="K1498">
        <v>550</v>
      </c>
      <c r="L1498">
        <v>0</v>
      </c>
      <c r="M1498">
        <v>0</v>
      </c>
      <c r="N1498">
        <v>550</v>
      </c>
    </row>
    <row r="1499" spans="1:14" x14ac:dyDescent="0.25">
      <c r="A1499">
        <v>1467.7037849999999</v>
      </c>
      <c r="B1499" s="1">
        <f>DATE(2014,5,7) + TIME(16,53,27)</f>
        <v>41766.703784722224</v>
      </c>
      <c r="C1499">
        <v>80</v>
      </c>
      <c r="D1499">
        <v>79.860649108999993</v>
      </c>
      <c r="E1499">
        <v>60</v>
      </c>
      <c r="F1499">
        <v>59.660743713000002</v>
      </c>
      <c r="G1499">
        <v>1333.9246826000001</v>
      </c>
      <c r="H1499">
        <v>1332.7889404</v>
      </c>
      <c r="I1499">
        <v>1330.3959961</v>
      </c>
      <c r="J1499">
        <v>1330.1762695</v>
      </c>
      <c r="K1499">
        <v>550</v>
      </c>
      <c r="L1499">
        <v>0</v>
      </c>
      <c r="M1499">
        <v>0</v>
      </c>
      <c r="N1499">
        <v>550</v>
      </c>
    </row>
    <row r="1500" spans="1:14" x14ac:dyDescent="0.25">
      <c r="A1500">
        <v>1468.0380680000001</v>
      </c>
      <c r="B1500" s="1">
        <f>DATE(2014,5,8) + TIME(0,54,49)</f>
        <v>41767.03806712963</v>
      </c>
      <c r="C1500">
        <v>80</v>
      </c>
      <c r="D1500">
        <v>79.880935668999996</v>
      </c>
      <c r="E1500">
        <v>60</v>
      </c>
      <c r="F1500">
        <v>59.646854400999999</v>
      </c>
      <c r="G1500">
        <v>1333.9288329999999</v>
      </c>
      <c r="H1500">
        <v>1332.7935791</v>
      </c>
      <c r="I1500">
        <v>1330.390625</v>
      </c>
      <c r="J1500">
        <v>1330.1680908000001</v>
      </c>
      <c r="K1500">
        <v>550</v>
      </c>
      <c r="L1500">
        <v>0</v>
      </c>
      <c r="M1500">
        <v>0</v>
      </c>
      <c r="N1500">
        <v>550</v>
      </c>
    </row>
    <row r="1501" spans="1:14" x14ac:dyDescent="0.25">
      <c r="A1501">
        <v>1468.3848849999999</v>
      </c>
      <c r="B1501" s="1">
        <f>DATE(2014,5,8) + TIME(9,14,14)</f>
        <v>41767.384884259256</v>
      </c>
      <c r="C1501">
        <v>80</v>
      </c>
      <c r="D1501">
        <v>79.896705627000003</v>
      </c>
      <c r="E1501">
        <v>60</v>
      </c>
      <c r="F1501">
        <v>59.632534026999998</v>
      </c>
      <c r="G1501">
        <v>1333.9321289</v>
      </c>
      <c r="H1501">
        <v>1332.7977295000001</v>
      </c>
      <c r="I1501">
        <v>1330.3851318</v>
      </c>
      <c r="J1501">
        <v>1330.1597899999999</v>
      </c>
      <c r="K1501">
        <v>550</v>
      </c>
      <c r="L1501">
        <v>0</v>
      </c>
      <c r="M1501">
        <v>0</v>
      </c>
      <c r="N1501">
        <v>550</v>
      </c>
    </row>
    <row r="1502" spans="1:14" x14ac:dyDescent="0.25">
      <c r="A1502">
        <v>1468.7460579999999</v>
      </c>
      <c r="B1502" s="1">
        <f>DATE(2014,5,8) + TIME(17,54,19)</f>
        <v>41767.746053240742</v>
      </c>
      <c r="C1502">
        <v>80</v>
      </c>
      <c r="D1502">
        <v>79.908927917</v>
      </c>
      <c r="E1502">
        <v>60</v>
      </c>
      <c r="F1502">
        <v>59.617713928000001</v>
      </c>
      <c r="G1502">
        <v>1333.9345702999999</v>
      </c>
      <c r="H1502">
        <v>1332.8015137</v>
      </c>
      <c r="I1502">
        <v>1330.3796387</v>
      </c>
      <c r="J1502">
        <v>1330.1513672000001</v>
      </c>
      <c r="K1502">
        <v>550</v>
      </c>
      <c r="L1502">
        <v>0</v>
      </c>
      <c r="M1502">
        <v>0</v>
      </c>
      <c r="N1502">
        <v>550</v>
      </c>
    </row>
    <row r="1503" spans="1:14" x14ac:dyDescent="0.25">
      <c r="A1503">
        <v>1469.1236670000001</v>
      </c>
      <c r="B1503" s="1">
        <f>DATE(2014,5,9) + TIME(2,58,4)</f>
        <v>41768.123657407406</v>
      </c>
      <c r="C1503">
        <v>80</v>
      </c>
      <c r="D1503">
        <v>79.918365479000002</v>
      </c>
      <c r="E1503">
        <v>60</v>
      </c>
      <c r="F1503">
        <v>59.602333068999997</v>
      </c>
      <c r="G1503">
        <v>1333.9354248</v>
      </c>
      <c r="H1503">
        <v>1332.8043213000001</v>
      </c>
      <c r="I1503">
        <v>1330.3740233999999</v>
      </c>
      <c r="J1503">
        <v>1330.1428223</v>
      </c>
      <c r="K1503">
        <v>550</v>
      </c>
      <c r="L1503">
        <v>0</v>
      </c>
      <c r="M1503">
        <v>0</v>
      </c>
      <c r="N1503">
        <v>550</v>
      </c>
    </row>
    <row r="1504" spans="1:14" x14ac:dyDescent="0.25">
      <c r="A1504">
        <v>1469.522631</v>
      </c>
      <c r="B1504" s="1">
        <f>DATE(2014,5,9) + TIME(12,32,35)</f>
        <v>41768.522627314815</v>
      </c>
      <c r="C1504">
        <v>80</v>
      </c>
      <c r="D1504">
        <v>79.925651549999998</v>
      </c>
      <c r="E1504">
        <v>60</v>
      </c>
      <c r="F1504">
        <v>59.586208343999999</v>
      </c>
      <c r="G1504">
        <v>1333.9355469</v>
      </c>
      <c r="H1504">
        <v>1332.8068848</v>
      </c>
      <c r="I1504">
        <v>1330.3682861</v>
      </c>
      <c r="J1504">
        <v>1330.1340332</v>
      </c>
      <c r="K1504">
        <v>550</v>
      </c>
      <c r="L1504">
        <v>0</v>
      </c>
      <c r="M1504">
        <v>0</v>
      </c>
      <c r="N1504">
        <v>550</v>
      </c>
    </row>
    <row r="1505" spans="1:14" x14ac:dyDescent="0.25">
      <c r="A1505">
        <v>1469.9488240000001</v>
      </c>
      <c r="B1505" s="1">
        <f>DATE(2014,5,9) + TIME(22,46,18)</f>
        <v>41768.948819444442</v>
      </c>
      <c r="C1505">
        <v>80</v>
      </c>
      <c r="D1505">
        <v>79.931289672999995</v>
      </c>
      <c r="E1505">
        <v>60</v>
      </c>
      <c r="F1505">
        <v>59.569137572999999</v>
      </c>
      <c r="G1505">
        <v>1333.9353027</v>
      </c>
      <c r="H1505">
        <v>1332.8092041</v>
      </c>
      <c r="I1505">
        <v>1330.3623047000001</v>
      </c>
      <c r="J1505">
        <v>1330.125</v>
      </c>
      <c r="K1505">
        <v>550</v>
      </c>
      <c r="L1505">
        <v>0</v>
      </c>
      <c r="M1505">
        <v>0</v>
      </c>
      <c r="N1505">
        <v>550</v>
      </c>
    </row>
    <row r="1506" spans="1:14" x14ac:dyDescent="0.25">
      <c r="A1506">
        <v>1470.4073780000001</v>
      </c>
      <c r="B1506" s="1">
        <f>DATE(2014,5,10) + TIME(9,46,37)</f>
        <v>41769.407372685186</v>
      </c>
      <c r="C1506">
        <v>80</v>
      </c>
      <c r="D1506">
        <v>79.935623168999996</v>
      </c>
      <c r="E1506">
        <v>60</v>
      </c>
      <c r="F1506">
        <v>59.550952911000003</v>
      </c>
      <c r="G1506">
        <v>1333.9348144999999</v>
      </c>
      <c r="H1506">
        <v>1332.8115233999999</v>
      </c>
      <c r="I1506">
        <v>1330.3560791</v>
      </c>
      <c r="J1506">
        <v>1330.1156006000001</v>
      </c>
      <c r="K1506">
        <v>550</v>
      </c>
      <c r="L1506">
        <v>0</v>
      </c>
      <c r="M1506">
        <v>0</v>
      </c>
      <c r="N1506">
        <v>550</v>
      </c>
    </row>
    <row r="1507" spans="1:14" x14ac:dyDescent="0.25">
      <c r="A1507">
        <v>1470.905037</v>
      </c>
      <c r="B1507" s="1">
        <f>DATE(2014,5,10) + TIME(21,43,15)</f>
        <v>41769.905034722222</v>
      </c>
      <c r="C1507">
        <v>80</v>
      </c>
      <c r="D1507">
        <v>79.938926696999999</v>
      </c>
      <c r="E1507">
        <v>60</v>
      </c>
      <c r="F1507">
        <v>59.531436919999997</v>
      </c>
      <c r="G1507">
        <v>1333.934082</v>
      </c>
      <c r="H1507">
        <v>1332.8138428</v>
      </c>
      <c r="I1507">
        <v>1330.3494873</v>
      </c>
      <c r="J1507">
        <v>1330.1055908000001</v>
      </c>
      <c r="K1507">
        <v>550</v>
      </c>
      <c r="L1507">
        <v>0</v>
      </c>
      <c r="M1507">
        <v>0</v>
      </c>
      <c r="N1507">
        <v>550</v>
      </c>
    </row>
    <row r="1508" spans="1:14" x14ac:dyDescent="0.25">
      <c r="A1508">
        <v>1471.450693</v>
      </c>
      <c r="B1508" s="1">
        <f>DATE(2014,5,11) + TIME(10,48,59)</f>
        <v>41770.450682870367</v>
      </c>
      <c r="C1508">
        <v>80</v>
      </c>
      <c r="D1508">
        <v>79.941429138000004</v>
      </c>
      <c r="E1508">
        <v>60</v>
      </c>
      <c r="F1508">
        <v>59.510307312000002</v>
      </c>
      <c r="G1508">
        <v>1333.9329834</v>
      </c>
      <c r="H1508">
        <v>1332.8161620999999</v>
      </c>
      <c r="I1508">
        <v>1330.3426514</v>
      </c>
      <c r="J1508">
        <v>1330.0950928</v>
      </c>
      <c r="K1508">
        <v>550</v>
      </c>
      <c r="L1508">
        <v>0</v>
      </c>
      <c r="M1508">
        <v>0</v>
      </c>
      <c r="N1508">
        <v>550</v>
      </c>
    </row>
    <row r="1509" spans="1:14" x14ac:dyDescent="0.25">
      <c r="A1509">
        <v>1472.01557</v>
      </c>
      <c r="B1509" s="1">
        <f>DATE(2014,5,12) + TIME(0,22,25)</f>
        <v>41771.015567129631</v>
      </c>
      <c r="C1509">
        <v>80</v>
      </c>
      <c r="D1509">
        <v>79.943222046000002</v>
      </c>
      <c r="E1509">
        <v>60</v>
      </c>
      <c r="F1509">
        <v>59.48859787</v>
      </c>
      <c r="G1509">
        <v>1333.9316406</v>
      </c>
      <c r="H1509">
        <v>1332.8184814000001</v>
      </c>
      <c r="I1509">
        <v>1330.3352050999999</v>
      </c>
      <c r="J1509">
        <v>1330.0839844</v>
      </c>
      <c r="K1509">
        <v>550</v>
      </c>
      <c r="L1509">
        <v>0</v>
      </c>
      <c r="M1509">
        <v>0</v>
      </c>
      <c r="N1509">
        <v>550</v>
      </c>
    </row>
    <row r="1510" spans="1:14" x14ac:dyDescent="0.25">
      <c r="A1510">
        <v>1472.58089</v>
      </c>
      <c r="B1510" s="1">
        <f>DATE(2014,5,12) + TIME(13,56,28)</f>
        <v>41771.580879629626</v>
      </c>
      <c r="C1510">
        <v>80</v>
      </c>
      <c r="D1510">
        <v>79.944458007999998</v>
      </c>
      <c r="E1510">
        <v>60</v>
      </c>
      <c r="F1510">
        <v>59.466964722</v>
      </c>
      <c r="G1510">
        <v>1333.9301757999999</v>
      </c>
      <c r="H1510">
        <v>1332.8206786999999</v>
      </c>
      <c r="I1510">
        <v>1330.3277588000001</v>
      </c>
      <c r="J1510">
        <v>1330.0727539</v>
      </c>
      <c r="K1510">
        <v>550</v>
      </c>
      <c r="L1510">
        <v>0</v>
      </c>
      <c r="M1510">
        <v>0</v>
      </c>
      <c r="N1510">
        <v>550</v>
      </c>
    </row>
    <row r="1511" spans="1:14" x14ac:dyDescent="0.25">
      <c r="A1511">
        <v>1473.1501800000001</v>
      </c>
      <c r="B1511" s="1">
        <f>DATE(2014,5,13) + TIME(3,36,15)</f>
        <v>41772.150173611109</v>
      </c>
      <c r="C1511">
        <v>80</v>
      </c>
      <c r="D1511">
        <v>79.945327758999994</v>
      </c>
      <c r="E1511">
        <v>60</v>
      </c>
      <c r="F1511">
        <v>59.445281981999997</v>
      </c>
      <c r="G1511">
        <v>1333.9285889</v>
      </c>
      <c r="H1511">
        <v>1332.822876</v>
      </c>
      <c r="I1511">
        <v>1330.3204346</v>
      </c>
      <c r="J1511">
        <v>1330.0616454999999</v>
      </c>
      <c r="K1511">
        <v>550</v>
      </c>
      <c r="L1511">
        <v>0</v>
      </c>
      <c r="M1511">
        <v>0</v>
      </c>
      <c r="N1511">
        <v>550</v>
      </c>
    </row>
    <row r="1512" spans="1:14" x14ac:dyDescent="0.25">
      <c r="A1512">
        <v>1473.7268449999999</v>
      </c>
      <c r="B1512" s="1">
        <f>DATE(2014,5,13) + TIME(17,26,39)</f>
        <v>41772.726840277777</v>
      </c>
      <c r="C1512">
        <v>80</v>
      </c>
      <c r="D1512">
        <v>79.945930481000005</v>
      </c>
      <c r="E1512">
        <v>60</v>
      </c>
      <c r="F1512">
        <v>59.423435210999997</v>
      </c>
      <c r="G1512">
        <v>1333.9270019999999</v>
      </c>
      <c r="H1512">
        <v>1332.8248291</v>
      </c>
      <c r="I1512">
        <v>1330.3131103999999</v>
      </c>
      <c r="J1512">
        <v>1330.0506591999999</v>
      </c>
      <c r="K1512">
        <v>550</v>
      </c>
      <c r="L1512">
        <v>0</v>
      </c>
      <c r="M1512">
        <v>0</v>
      </c>
      <c r="N1512">
        <v>550</v>
      </c>
    </row>
    <row r="1513" spans="1:14" x14ac:dyDescent="0.25">
      <c r="A1513">
        <v>1474.3141129999999</v>
      </c>
      <c r="B1513" s="1">
        <f>DATE(2014,5,14) + TIME(7,32,19)</f>
        <v>41773.314108796294</v>
      </c>
      <c r="C1513">
        <v>80</v>
      </c>
      <c r="D1513">
        <v>79.946357727000006</v>
      </c>
      <c r="E1513">
        <v>60</v>
      </c>
      <c r="F1513">
        <v>59.401313782000003</v>
      </c>
      <c r="G1513">
        <v>1333.925293</v>
      </c>
      <c r="H1513">
        <v>1332.8267822</v>
      </c>
      <c r="I1513">
        <v>1330.3059082</v>
      </c>
      <c r="J1513">
        <v>1330.0396728999999</v>
      </c>
      <c r="K1513">
        <v>550</v>
      </c>
      <c r="L1513">
        <v>0</v>
      </c>
      <c r="M1513">
        <v>0</v>
      </c>
      <c r="N1513">
        <v>550</v>
      </c>
    </row>
    <row r="1514" spans="1:14" x14ac:dyDescent="0.25">
      <c r="A1514">
        <v>1474.9152549999999</v>
      </c>
      <c r="B1514" s="1">
        <f>DATE(2014,5,14) + TIME(21,57,58)</f>
        <v>41773.915254629632</v>
      </c>
      <c r="C1514">
        <v>80</v>
      </c>
      <c r="D1514">
        <v>79.946655273000005</v>
      </c>
      <c r="E1514">
        <v>60</v>
      </c>
      <c r="F1514">
        <v>59.378803253000001</v>
      </c>
      <c r="G1514">
        <v>1333.9237060999999</v>
      </c>
      <c r="H1514">
        <v>1332.8287353999999</v>
      </c>
      <c r="I1514">
        <v>1330.2985839999999</v>
      </c>
      <c r="J1514">
        <v>1330.0286865</v>
      </c>
      <c r="K1514">
        <v>550</v>
      </c>
      <c r="L1514">
        <v>0</v>
      </c>
      <c r="M1514">
        <v>0</v>
      </c>
      <c r="N1514">
        <v>550</v>
      </c>
    </row>
    <row r="1515" spans="1:14" x14ac:dyDescent="0.25">
      <c r="A1515">
        <v>1475.534132</v>
      </c>
      <c r="B1515" s="1">
        <f>DATE(2014,5,15) + TIME(12,49,8)</f>
        <v>41774.534120370372</v>
      </c>
      <c r="C1515">
        <v>80</v>
      </c>
      <c r="D1515">
        <v>79.946853637999993</v>
      </c>
      <c r="E1515">
        <v>60</v>
      </c>
      <c r="F1515">
        <v>59.355781555</v>
      </c>
      <c r="G1515">
        <v>1333.9219971</v>
      </c>
      <c r="H1515">
        <v>1332.8306885</v>
      </c>
      <c r="I1515">
        <v>1330.2912598</v>
      </c>
      <c r="J1515">
        <v>1330.0177002</v>
      </c>
      <c r="K1515">
        <v>550</v>
      </c>
      <c r="L1515">
        <v>0</v>
      </c>
      <c r="M1515">
        <v>0</v>
      </c>
      <c r="N1515">
        <v>550</v>
      </c>
    </row>
    <row r="1516" spans="1:14" x14ac:dyDescent="0.25">
      <c r="A1516">
        <v>1476.1743570000001</v>
      </c>
      <c r="B1516" s="1">
        <f>DATE(2014,5,16) + TIME(4,11,4)</f>
        <v>41775.174351851849</v>
      </c>
      <c r="C1516">
        <v>80</v>
      </c>
      <c r="D1516">
        <v>79.946975707999997</v>
      </c>
      <c r="E1516">
        <v>60</v>
      </c>
      <c r="F1516">
        <v>59.332126617</v>
      </c>
      <c r="G1516">
        <v>1333.9204102000001</v>
      </c>
      <c r="H1516">
        <v>1332.8325195</v>
      </c>
      <c r="I1516">
        <v>1330.2839355000001</v>
      </c>
      <c r="J1516">
        <v>1330.0065918</v>
      </c>
      <c r="K1516">
        <v>550</v>
      </c>
      <c r="L1516">
        <v>0</v>
      </c>
      <c r="M1516">
        <v>0</v>
      </c>
      <c r="N1516">
        <v>550</v>
      </c>
    </row>
    <row r="1517" spans="1:14" x14ac:dyDescent="0.25">
      <c r="A1517">
        <v>1476.8399710000001</v>
      </c>
      <c r="B1517" s="1">
        <f>DATE(2014,5,16) + TIME(20,9,33)</f>
        <v>41775.839965277781</v>
      </c>
      <c r="C1517">
        <v>80</v>
      </c>
      <c r="D1517">
        <v>79.947044372999997</v>
      </c>
      <c r="E1517">
        <v>60</v>
      </c>
      <c r="F1517">
        <v>59.307708740000002</v>
      </c>
      <c r="G1517">
        <v>1333.918457</v>
      </c>
      <c r="H1517">
        <v>1332.8343506000001</v>
      </c>
      <c r="I1517">
        <v>1330.2763672000001</v>
      </c>
      <c r="J1517">
        <v>1329.9952393000001</v>
      </c>
      <c r="K1517">
        <v>550</v>
      </c>
      <c r="L1517">
        <v>0</v>
      </c>
      <c r="M1517">
        <v>0</v>
      </c>
      <c r="N1517">
        <v>550</v>
      </c>
    </row>
    <row r="1518" spans="1:14" x14ac:dyDescent="0.25">
      <c r="A1518">
        <v>1477.5357610000001</v>
      </c>
      <c r="B1518" s="1">
        <f>DATE(2014,5,17) + TIME(12,51,29)</f>
        <v>41776.535752314812</v>
      </c>
      <c r="C1518">
        <v>80</v>
      </c>
      <c r="D1518">
        <v>79.947067261000001</v>
      </c>
      <c r="E1518">
        <v>60</v>
      </c>
      <c r="F1518">
        <v>59.282379149999997</v>
      </c>
      <c r="G1518">
        <v>1333.9160156</v>
      </c>
      <c r="H1518">
        <v>1332.8358154</v>
      </c>
      <c r="I1518">
        <v>1330.2686768000001</v>
      </c>
      <c r="J1518">
        <v>1329.9837646000001</v>
      </c>
      <c r="K1518">
        <v>550</v>
      </c>
      <c r="L1518">
        <v>0</v>
      </c>
      <c r="M1518">
        <v>0</v>
      </c>
      <c r="N1518">
        <v>550</v>
      </c>
    </row>
    <row r="1519" spans="1:14" x14ac:dyDescent="0.25">
      <c r="A1519">
        <v>1478.267881</v>
      </c>
      <c r="B1519" s="1">
        <f>DATE(2014,5,18) + TIME(6,25,44)</f>
        <v>41777.267870370371</v>
      </c>
      <c r="C1519">
        <v>80</v>
      </c>
      <c r="D1519">
        <v>79.947052002000007</v>
      </c>
      <c r="E1519">
        <v>60</v>
      </c>
      <c r="F1519">
        <v>59.255943297999998</v>
      </c>
      <c r="G1519">
        <v>1333.9135742000001</v>
      </c>
      <c r="H1519">
        <v>1332.8372803</v>
      </c>
      <c r="I1519">
        <v>1330.2608643000001</v>
      </c>
      <c r="J1519">
        <v>1329.9719238</v>
      </c>
      <c r="K1519">
        <v>550</v>
      </c>
      <c r="L1519">
        <v>0</v>
      </c>
      <c r="M1519">
        <v>0</v>
      </c>
      <c r="N1519">
        <v>550</v>
      </c>
    </row>
    <row r="1520" spans="1:14" x14ac:dyDescent="0.25">
      <c r="A1520">
        <v>1479.0456569999999</v>
      </c>
      <c r="B1520" s="1">
        <f>DATE(2014,5,19) + TIME(1,5,44)</f>
        <v>41778.045648148145</v>
      </c>
      <c r="C1520">
        <v>80</v>
      </c>
      <c r="D1520">
        <v>79.946998596</v>
      </c>
      <c r="E1520">
        <v>60</v>
      </c>
      <c r="F1520">
        <v>59.228111267000003</v>
      </c>
      <c r="G1520">
        <v>1333.9111327999999</v>
      </c>
      <c r="H1520">
        <v>1332.8387451000001</v>
      </c>
      <c r="I1520">
        <v>1330.2528076000001</v>
      </c>
      <c r="J1520">
        <v>1329.9597168</v>
      </c>
      <c r="K1520">
        <v>550</v>
      </c>
      <c r="L1520">
        <v>0</v>
      </c>
      <c r="M1520">
        <v>0</v>
      </c>
      <c r="N1520">
        <v>550</v>
      </c>
    </row>
    <row r="1521" spans="1:14" x14ac:dyDescent="0.25">
      <c r="A1521">
        <v>1479.8705070000001</v>
      </c>
      <c r="B1521" s="1">
        <f>DATE(2014,5,19) + TIME(20,53,31)</f>
        <v>41778.870497685188</v>
      </c>
      <c r="C1521">
        <v>80</v>
      </c>
      <c r="D1521">
        <v>79.946929932000003</v>
      </c>
      <c r="E1521">
        <v>60</v>
      </c>
      <c r="F1521">
        <v>59.198841094999999</v>
      </c>
      <c r="G1521">
        <v>1333.9085693</v>
      </c>
      <c r="H1521">
        <v>1332.8402100000001</v>
      </c>
      <c r="I1521">
        <v>1330.2443848</v>
      </c>
      <c r="J1521">
        <v>1329.9471435999999</v>
      </c>
      <c r="K1521">
        <v>550</v>
      </c>
      <c r="L1521">
        <v>0</v>
      </c>
      <c r="M1521">
        <v>0</v>
      </c>
      <c r="N1521">
        <v>550</v>
      </c>
    </row>
    <row r="1522" spans="1:14" x14ac:dyDescent="0.25">
      <c r="A1522">
        <v>1480.758333</v>
      </c>
      <c r="B1522" s="1">
        <f>DATE(2014,5,20) + TIME(18,12,0)</f>
        <v>41779.758333333331</v>
      </c>
      <c r="C1522">
        <v>80</v>
      </c>
      <c r="D1522">
        <v>79.946838378999999</v>
      </c>
      <c r="E1522">
        <v>60</v>
      </c>
      <c r="F1522">
        <v>59.16765213</v>
      </c>
      <c r="G1522">
        <v>1333.9061279</v>
      </c>
      <c r="H1522">
        <v>1332.8417969</v>
      </c>
      <c r="I1522">
        <v>1330.2357178</v>
      </c>
      <c r="J1522">
        <v>1329.934082</v>
      </c>
      <c r="K1522">
        <v>550</v>
      </c>
      <c r="L1522">
        <v>0</v>
      </c>
      <c r="M1522">
        <v>0</v>
      </c>
      <c r="N1522">
        <v>550</v>
      </c>
    </row>
    <row r="1523" spans="1:14" x14ac:dyDescent="0.25">
      <c r="A1523">
        <v>1481.7229159999999</v>
      </c>
      <c r="B1523" s="1">
        <f>DATE(2014,5,21) + TIME(17,20,59)</f>
        <v>41780.722905092596</v>
      </c>
      <c r="C1523">
        <v>80</v>
      </c>
      <c r="D1523">
        <v>79.946723938000005</v>
      </c>
      <c r="E1523">
        <v>60</v>
      </c>
      <c r="F1523">
        <v>59.134143829000003</v>
      </c>
      <c r="G1523">
        <v>1333.9035644999999</v>
      </c>
      <c r="H1523">
        <v>1332.8435059000001</v>
      </c>
      <c r="I1523">
        <v>1330.2265625</v>
      </c>
      <c r="J1523">
        <v>1329.9202881000001</v>
      </c>
      <c r="K1523">
        <v>550</v>
      </c>
      <c r="L1523">
        <v>0</v>
      </c>
      <c r="M1523">
        <v>0</v>
      </c>
      <c r="N1523">
        <v>550</v>
      </c>
    </row>
    <row r="1524" spans="1:14" x14ac:dyDescent="0.25">
      <c r="A1524">
        <v>1482.243385</v>
      </c>
      <c r="B1524" s="1">
        <f>DATE(2014,5,22) + TIME(5,50,28)</f>
        <v>41781.243379629632</v>
      </c>
      <c r="C1524">
        <v>80</v>
      </c>
      <c r="D1524">
        <v>79.946624756000006</v>
      </c>
      <c r="E1524">
        <v>60</v>
      </c>
      <c r="F1524">
        <v>59.114353180000002</v>
      </c>
      <c r="G1524">
        <v>1333.9011230000001</v>
      </c>
      <c r="H1524">
        <v>1332.8454589999999</v>
      </c>
      <c r="I1524">
        <v>1330.2172852000001</v>
      </c>
      <c r="J1524">
        <v>1329.9064940999999</v>
      </c>
      <c r="K1524">
        <v>550</v>
      </c>
      <c r="L1524">
        <v>0</v>
      </c>
      <c r="M1524">
        <v>0</v>
      </c>
      <c r="N1524">
        <v>550</v>
      </c>
    </row>
    <row r="1525" spans="1:14" x14ac:dyDescent="0.25">
      <c r="A1525">
        <v>1482.763854</v>
      </c>
      <c r="B1525" s="1">
        <f>DATE(2014,5,22) + TIME(18,19,56)</f>
        <v>41781.763842592591</v>
      </c>
      <c r="C1525">
        <v>80</v>
      </c>
      <c r="D1525">
        <v>79.946533203000001</v>
      </c>
      <c r="E1525">
        <v>60</v>
      </c>
      <c r="F1525">
        <v>59.094673157000003</v>
      </c>
      <c r="G1525">
        <v>1333.8999022999999</v>
      </c>
      <c r="H1525">
        <v>1332.8464355000001</v>
      </c>
      <c r="I1525">
        <v>1330.2115478999999</v>
      </c>
      <c r="J1525">
        <v>1329.8979492000001</v>
      </c>
      <c r="K1525">
        <v>550</v>
      </c>
      <c r="L1525">
        <v>0</v>
      </c>
      <c r="M1525">
        <v>0</v>
      </c>
      <c r="N1525">
        <v>550</v>
      </c>
    </row>
    <row r="1526" spans="1:14" x14ac:dyDescent="0.25">
      <c r="A1526">
        <v>1483.8047919999999</v>
      </c>
      <c r="B1526" s="1">
        <f>DATE(2014,5,23) + TIME(19,18,54)</f>
        <v>41782.804791666669</v>
      </c>
      <c r="C1526">
        <v>80</v>
      </c>
      <c r="D1526">
        <v>79.946426392000006</v>
      </c>
      <c r="E1526">
        <v>60</v>
      </c>
      <c r="F1526">
        <v>59.059257506999998</v>
      </c>
      <c r="G1526">
        <v>1333.8986815999999</v>
      </c>
      <c r="H1526">
        <v>1332.8472899999999</v>
      </c>
      <c r="I1526">
        <v>1330.2056885</v>
      </c>
      <c r="J1526">
        <v>1329.8890381000001</v>
      </c>
      <c r="K1526">
        <v>550</v>
      </c>
      <c r="L1526">
        <v>0</v>
      </c>
      <c r="M1526">
        <v>0</v>
      </c>
      <c r="N1526">
        <v>550</v>
      </c>
    </row>
    <row r="1527" spans="1:14" x14ac:dyDescent="0.25">
      <c r="A1527">
        <v>1484.847988</v>
      </c>
      <c r="B1527" s="1">
        <f>DATE(2014,5,24) + TIME(20,21,6)</f>
        <v>41783.847986111112</v>
      </c>
      <c r="C1527">
        <v>80</v>
      </c>
      <c r="D1527">
        <v>79.946304321</v>
      </c>
      <c r="E1527">
        <v>60</v>
      </c>
      <c r="F1527">
        <v>59.023433685000001</v>
      </c>
      <c r="G1527">
        <v>1333.8963623</v>
      </c>
      <c r="H1527">
        <v>1332.8492432</v>
      </c>
      <c r="I1527">
        <v>1330.1959228999999</v>
      </c>
      <c r="J1527">
        <v>1329.8743896000001</v>
      </c>
      <c r="K1527">
        <v>550</v>
      </c>
      <c r="L1527">
        <v>0</v>
      </c>
      <c r="M1527">
        <v>0</v>
      </c>
      <c r="N1527">
        <v>550</v>
      </c>
    </row>
    <row r="1528" spans="1:14" x14ac:dyDescent="0.25">
      <c r="A1528">
        <v>1485.9048849999999</v>
      </c>
      <c r="B1528" s="1">
        <f>DATE(2014,5,25) + TIME(21,43,2)</f>
        <v>41784.90488425926</v>
      </c>
      <c r="C1528">
        <v>80</v>
      </c>
      <c r="D1528">
        <v>79.946166992000002</v>
      </c>
      <c r="E1528">
        <v>60</v>
      </c>
      <c r="F1528">
        <v>58.986934662000003</v>
      </c>
      <c r="G1528">
        <v>1333.8941649999999</v>
      </c>
      <c r="H1528">
        <v>1332.8510742000001</v>
      </c>
      <c r="I1528">
        <v>1330.1862793</v>
      </c>
      <c r="J1528">
        <v>1329.8598632999999</v>
      </c>
      <c r="K1528">
        <v>550</v>
      </c>
      <c r="L1528">
        <v>0</v>
      </c>
      <c r="M1528">
        <v>0</v>
      </c>
      <c r="N1528">
        <v>550</v>
      </c>
    </row>
    <row r="1529" spans="1:14" x14ac:dyDescent="0.25">
      <c r="A1529">
        <v>1486.983399</v>
      </c>
      <c r="B1529" s="1">
        <f>DATE(2014,5,26) + TIME(23,36,5)</f>
        <v>41785.983391203707</v>
      </c>
      <c r="C1529">
        <v>80</v>
      </c>
      <c r="D1529">
        <v>79.946022033999995</v>
      </c>
      <c r="E1529">
        <v>60</v>
      </c>
      <c r="F1529">
        <v>58.949554442999997</v>
      </c>
      <c r="G1529">
        <v>1333.8922118999999</v>
      </c>
      <c r="H1529">
        <v>1332.8530272999999</v>
      </c>
      <c r="I1529">
        <v>1330.1766356999999</v>
      </c>
      <c r="J1529">
        <v>1329.8453368999999</v>
      </c>
      <c r="K1529">
        <v>550</v>
      </c>
      <c r="L1529">
        <v>0</v>
      </c>
      <c r="M1529">
        <v>0</v>
      </c>
      <c r="N1529">
        <v>550</v>
      </c>
    </row>
    <row r="1530" spans="1:14" x14ac:dyDescent="0.25">
      <c r="A1530">
        <v>1488.0916769999999</v>
      </c>
      <c r="B1530" s="1">
        <f>DATE(2014,5,28) + TIME(2,12,0)</f>
        <v>41787.091666666667</v>
      </c>
      <c r="C1530">
        <v>80</v>
      </c>
      <c r="D1530">
        <v>79.945884704999997</v>
      </c>
      <c r="E1530">
        <v>60</v>
      </c>
      <c r="F1530">
        <v>58.911079407000003</v>
      </c>
      <c r="G1530">
        <v>1333.8903809000001</v>
      </c>
      <c r="H1530">
        <v>1332.8548584</v>
      </c>
      <c r="I1530">
        <v>1330.1668701000001</v>
      </c>
      <c r="J1530">
        <v>1329.8306885</v>
      </c>
      <c r="K1530">
        <v>550</v>
      </c>
      <c r="L1530">
        <v>0</v>
      </c>
      <c r="M1530">
        <v>0</v>
      </c>
      <c r="N1530">
        <v>550</v>
      </c>
    </row>
    <row r="1531" spans="1:14" x14ac:dyDescent="0.25">
      <c r="A1531">
        <v>1489.2388570000001</v>
      </c>
      <c r="B1531" s="1">
        <f>DATE(2014,5,29) + TIME(5,43,57)</f>
        <v>41788.238854166666</v>
      </c>
      <c r="C1531">
        <v>80</v>
      </c>
      <c r="D1531">
        <v>79.945755004999995</v>
      </c>
      <c r="E1531">
        <v>60</v>
      </c>
      <c r="F1531">
        <v>58.871234893999997</v>
      </c>
      <c r="G1531">
        <v>1333.8886719</v>
      </c>
      <c r="H1531">
        <v>1332.8566894999999</v>
      </c>
      <c r="I1531">
        <v>1330.1571045000001</v>
      </c>
      <c r="J1531">
        <v>1329.8160399999999</v>
      </c>
      <c r="K1531">
        <v>550</v>
      </c>
      <c r="L1531">
        <v>0</v>
      </c>
      <c r="M1531">
        <v>0</v>
      </c>
      <c r="N1531">
        <v>550</v>
      </c>
    </row>
    <row r="1532" spans="1:14" x14ac:dyDescent="0.25">
      <c r="A1532">
        <v>1490.435367</v>
      </c>
      <c r="B1532" s="1">
        <f>DATE(2014,5,30) + TIME(10,26,55)</f>
        <v>41789.435358796298</v>
      </c>
      <c r="C1532">
        <v>80</v>
      </c>
      <c r="D1532">
        <v>79.945617675999998</v>
      </c>
      <c r="E1532">
        <v>60</v>
      </c>
      <c r="F1532">
        <v>58.829719543000003</v>
      </c>
      <c r="G1532">
        <v>1333.8870850000001</v>
      </c>
      <c r="H1532">
        <v>1332.8586425999999</v>
      </c>
      <c r="I1532">
        <v>1330.1470947</v>
      </c>
      <c r="J1532">
        <v>1329.8010254000001</v>
      </c>
      <c r="K1532">
        <v>550</v>
      </c>
      <c r="L1532">
        <v>0</v>
      </c>
      <c r="M1532">
        <v>0</v>
      </c>
      <c r="N1532">
        <v>550</v>
      </c>
    </row>
    <row r="1533" spans="1:14" x14ac:dyDescent="0.25">
      <c r="A1533">
        <v>1491.709141</v>
      </c>
      <c r="B1533" s="1">
        <f>DATE(2014,5,31) + TIME(17,1,9)</f>
        <v>41790.709131944444</v>
      </c>
      <c r="C1533">
        <v>80</v>
      </c>
      <c r="D1533">
        <v>79.945487975999995</v>
      </c>
      <c r="E1533">
        <v>60</v>
      </c>
      <c r="F1533">
        <v>58.785743713000002</v>
      </c>
      <c r="G1533">
        <v>1333.8854980000001</v>
      </c>
      <c r="H1533">
        <v>1332.8604736</v>
      </c>
      <c r="I1533">
        <v>1330.1369629000001</v>
      </c>
      <c r="J1533">
        <v>1329.7857666</v>
      </c>
      <c r="K1533">
        <v>550</v>
      </c>
      <c r="L1533">
        <v>0</v>
      </c>
      <c r="M1533">
        <v>0</v>
      </c>
      <c r="N1533">
        <v>550</v>
      </c>
    </row>
    <row r="1534" spans="1:14" x14ac:dyDescent="0.25">
      <c r="A1534">
        <v>1492</v>
      </c>
      <c r="B1534" s="1">
        <f>DATE(2014,6,1) + TIME(0,0,0)</f>
        <v>41791</v>
      </c>
      <c r="C1534">
        <v>80</v>
      </c>
      <c r="D1534">
        <v>79.945426940999994</v>
      </c>
      <c r="E1534">
        <v>60</v>
      </c>
      <c r="F1534">
        <v>58.773223877</v>
      </c>
      <c r="G1534">
        <v>1333.8840332</v>
      </c>
      <c r="H1534">
        <v>1332.8625488</v>
      </c>
      <c r="I1534">
        <v>1330.1270752</v>
      </c>
      <c r="J1534">
        <v>1329.7711182</v>
      </c>
      <c r="K1534">
        <v>550</v>
      </c>
      <c r="L1534">
        <v>0</v>
      </c>
      <c r="M1534">
        <v>0</v>
      </c>
      <c r="N1534">
        <v>550</v>
      </c>
    </row>
    <row r="1535" spans="1:14" x14ac:dyDescent="0.25">
      <c r="A1535">
        <v>1493.3824910000001</v>
      </c>
      <c r="B1535" s="1">
        <f>DATE(2014,6,2) + TIME(9,10,47)</f>
        <v>41792.382488425923</v>
      </c>
      <c r="C1535">
        <v>80</v>
      </c>
      <c r="D1535">
        <v>79.9453125</v>
      </c>
      <c r="E1535">
        <v>60</v>
      </c>
      <c r="F1535">
        <v>58.726398467999999</v>
      </c>
      <c r="G1535">
        <v>1333.8836670000001</v>
      </c>
      <c r="H1535">
        <v>1332.8629149999999</v>
      </c>
      <c r="I1535">
        <v>1330.1236572</v>
      </c>
      <c r="J1535">
        <v>1329.7655029</v>
      </c>
      <c r="K1535">
        <v>550</v>
      </c>
      <c r="L1535">
        <v>0</v>
      </c>
      <c r="M1535">
        <v>0</v>
      </c>
      <c r="N1535">
        <v>550</v>
      </c>
    </row>
    <row r="1536" spans="1:14" x14ac:dyDescent="0.25">
      <c r="A1536">
        <v>1494.8990369999999</v>
      </c>
      <c r="B1536" s="1">
        <f>DATE(2014,6,3) + TIME(21,34,36)</f>
        <v>41793.899027777778</v>
      </c>
      <c r="C1536">
        <v>80</v>
      </c>
      <c r="D1536">
        <v>79.945198059000006</v>
      </c>
      <c r="E1536">
        <v>60</v>
      </c>
      <c r="F1536">
        <v>58.675342559999997</v>
      </c>
      <c r="G1536">
        <v>1333.8822021000001</v>
      </c>
      <c r="H1536">
        <v>1332.8649902</v>
      </c>
      <c r="I1536">
        <v>1330.112793</v>
      </c>
      <c r="J1536">
        <v>1329.7492675999999</v>
      </c>
      <c r="K1536">
        <v>550</v>
      </c>
      <c r="L1536">
        <v>0</v>
      </c>
      <c r="M1536">
        <v>0</v>
      </c>
      <c r="N1536">
        <v>550</v>
      </c>
    </row>
    <row r="1537" spans="1:14" x14ac:dyDescent="0.25">
      <c r="A1537">
        <v>1496.5110159999999</v>
      </c>
      <c r="B1537" s="1">
        <f>DATE(2014,6,5) + TIME(12,15,51)</f>
        <v>41795.511006944442</v>
      </c>
      <c r="C1537">
        <v>80</v>
      </c>
      <c r="D1537">
        <v>79.945068359000004</v>
      </c>
      <c r="E1537">
        <v>60</v>
      </c>
      <c r="F1537">
        <v>58.620769500999998</v>
      </c>
      <c r="G1537">
        <v>1333.8807373</v>
      </c>
      <c r="H1537">
        <v>1332.8671875</v>
      </c>
      <c r="I1537">
        <v>1330.1014404</v>
      </c>
      <c r="J1537">
        <v>1329.7320557</v>
      </c>
      <c r="K1537">
        <v>550</v>
      </c>
      <c r="L1537">
        <v>0</v>
      </c>
      <c r="M1537">
        <v>0</v>
      </c>
      <c r="N1537">
        <v>550</v>
      </c>
    </row>
    <row r="1538" spans="1:14" x14ac:dyDescent="0.25">
      <c r="A1538">
        <v>1498.129905</v>
      </c>
      <c r="B1538" s="1">
        <f>DATE(2014,6,7) + TIME(3,7,3)</f>
        <v>41797.129895833335</v>
      </c>
      <c r="C1538">
        <v>80</v>
      </c>
      <c r="D1538">
        <v>79.944938660000005</v>
      </c>
      <c r="E1538">
        <v>60</v>
      </c>
      <c r="F1538">
        <v>58.564735413000001</v>
      </c>
      <c r="G1538">
        <v>1333.8792725000001</v>
      </c>
      <c r="H1538">
        <v>1332.8693848</v>
      </c>
      <c r="I1538">
        <v>1330.0895995999999</v>
      </c>
      <c r="J1538">
        <v>1329.7142334</v>
      </c>
      <c r="K1538">
        <v>550</v>
      </c>
      <c r="L1538">
        <v>0</v>
      </c>
      <c r="M1538">
        <v>0</v>
      </c>
      <c r="N1538">
        <v>550</v>
      </c>
    </row>
    <row r="1539" spans="1:14" x14ac:dyDescent="0.25">
      <c r="A1539">
        <v>1499.770743</v>
      </c>
      <c r="B1539" s="1">
        <f>DATE(2014,6,8) + TIME(18,29,52)</f>
        <v>41798.770740740743</v>
      </c>
      <c r="C1539">
        <v>80</v>
      </c>
      <c r="D1539">
        <v>79.944816588999998</v>
      </c>
      <c r="E1539">
        <v>60</v>
      </c>
      <c r="F1539">
        <v>58.50718689</v>
      </c>
      <c r="G1539">
        <v>1333.8780518000001</v>
      </c>
      <c r="H1539">
        <v>1332.8714600000001</v>
      </c>
      <c r="I1539">
        <v>1330.0778809000001</v>
      </c>
      <c r="J1539">
        <v>1329.6965332</v>
      </c>
      <c r="K1539">
        <v>550</v>
      </c>
      <c r="L1539">
        <v>0</v>
      </c>
      <c r="M1539">
        <v>0</v>
      </c>
      <c r="N1539">
        <v>550</v>
      </c>
    </row>
    <row r="1540" spans="1:14" x14ac:dyDescent="0.25">
      <c r="A1540">
        <v>1501.4734539999999</v>
      </c>
      <c r="B1540" s="1">
        <f>DATE(2014,6,10) + TIME(11,21,46)</f>
        <v>41800.473449074074</v>
      </c>
      <c r="C1540">
        <v>80</v>
      </c>
      <c r="D1540">
        <v>79.944709778000004</v>
      </c>
      <c r="E1540">
        <v>60</v>
      </c>
      <c r="F1540">
        <v>58.447360992</v>
      </c>
      <c r="G1540">
        <v>1333.8768310999999</v>
      </c>
      <c r="H1540">
        <v>1332.8735352000001</v>
      </c>
      <c r="I1540">
        <v>1330.0661620999999</v>
      </c>
      <c r="J1540">
        <v>1329.6787108999999</v>
      </c>
      <c r="K1540">
        <v>550</v>
      </c>
      <c r="L1540">
        <v>0</v>
      </c>
      <c r="M1540">
        <v>0</v>
      </c>
      <c r="N1540">
        <v>550</v>
      </c>
    </row>
    <row r="1541" spans="1:14" x14ac:dyDescent="0.25">
      <c r="A1541">
        <v>1503.2505080000001</v>
      </c>
      <c r="B1541" s="1">
        <f>DATE(2014,6,12) + TIME(6,0,43)</f>
        <v>41802.250497685185</v>
      </c>
      <c r="C1541">
        <v>80</v>
      </c>
      <c r="D1541">
        <v>79.944602966000005</v>
      </c>
      <c r="E1541">
        <v>60</v>
      </c>
      <c r="F1541">
        <v>58.385040283000002</v>
      </c>
      <c r="G1541">
        <v>1333.8757324000001</v>
      </c>
      <c r="H1541">
        <v>1332.8756103999999</v>
      </c>
      <c r="I1541">
        <v>1330.0545654</v>
      </c>
      <c r="J1541">
        <v>1329.6608887</v>
      </c>
      <c r="K1541">
        <v>550</v>
      </c>
      <c r="L1541">
        <v>0</v>
      </c>
      <c r="M1541">
        <v>0</v>
      </c>
      <c r="N1541">
        <v>550</v>
      </c>
    </row>
    <row r="1542" spans="1:14" x14ac:dyDescent="0.25">
      <c r="A1542">
        <v>1505.096824</v>
      </c>
      <c r="B1542" s="1">
        <f>DATE(2014,6,14) + TIME(2,19,25)</f>
        <v>41804.096817129626</v>
      </c>
      <c r="C1542">
        <v>80</v>
      </c>
      <c r="D1542">
        <v>79.944503784000005</v>
      </c>
      <c r="E1542">
        <v>60</v>
      </c>
      <c r="F1542">
        <v>58.320461272999999</v>
      </c>
      <c r="G1542">
        <v>1333.8746338000001</v>
      </c>
      <c r="H1542">
        <v>1332.8775635</v>
      </c>
      <c r="I1542">
        <v>1330.0427245999999</v>
      </c>
      <c r="J1542">
        <v>1329.6428223</v>
      </c>
      <c r="K1542">
        <v>550</v>
      </c>
      <c r="L1542">
        <v>0</v>
      </c>
      <c r="M1542">
        <v>0</v>
      </c>
      <c r="N1542">
        <v>550</v>
      </c>
    </row>
    <row r="1543" spans="1:14" x14ac:dyDescent="0.25">
      <c r="A1543">
        <v>1506.9823739999999</v>
      </c>
      <c r="B1543" s="1">
        <f>DATE(2014,6,15) + TIME(23,34,37)</f>
        <v>41805.982372685183</v>
      </c>
      <c r="C1543">
        <v>80</v>
      </c>
      <c r="D1543">
        <v>79.944404602000006</v>
      </c>
      <c r="E1543">
        <v>60</v>
      </c>
      <c r="F1543">
        <v>58.254581451</v>
      </c>
      <c r="G1543">
        <v>1333.8735352000001</v>
      </c>
      <c r="H1543">
        <v>1332.8795166</v>
      </c>
      <c r="I1543">
        <v>1330.0308838000001</v>
      </c>
      <c r="J1543">
        <v>1329.6246338000001</v>
      </c>
      <c r="K1543">
        <v>550</v>
      </c>
      <c r="L1543">
        <v>0</v>
      </c>
      <c r="M1543">
        <v>0</v>
      </c>
      <c r="N1543">
        <v>550</v>
      </c>
    </row>
    <row r="1544" spans="1:14" x14ac:dyDescent="0.25">
      <c r="A1544">
        <v>1508.896894</v>
      </c>
      <c r="B1544" s="1">
        <f>DATE(2014,6,17) + TIME(21,31,31)</f>
        <v>41807.896886574075</v>
      </c>
      <c r="C1544">
        <v>80</v>
      </c>
      <c r="D1544">
        <v>79.944320679</v>
      </c>
      <c r="E1544">
        <v>60</v>
      </c>
      <c r="F1544">
        <v>58.188190460000001</v>
      </c>
      <c r="G1544">
        <v>1333.8725586</v>
      </c>
      <c r="H1544">
        <v>1332.8814697</v>
      </c>
      <c r="I1544">
        <v>1330.0192870999999</v>
      </c>
      <c r="J1544">
        <v>1329.6065673999999</v>
      </c>
      <c r="K1544">
        <v>550</v>
      </c>
      <c r="L1544">
        <v>0</v>
      </c>
      <c r="M1544">
        <v>0</v>
      </c>
      <c r="N1544">
        <v>550</v>
      </c>
    </row>
    <row r="1545" spans="1:14" x14ac:dyDescent="0.25">
      <c r="A1545">
        <v>1510.885266</v>
      </c>
      <c r="B1545" s="1">
        <f>DATE(2014,6,19) + TIME(21,14,47)</f>
        <v>41809.885266203702</v>
      </c>
      <c r="C1545">
        <v>80</v>
      </c>
      <c r="D1545">
        <v>79.944244385000005</v>
      </c>
      <c r="E1545">
        <v>60</v>
      </c>
      <c r="F1545">
        <v>58.121101379000002</v>
      </c>
      <c r="G1545">
        <v>1333.8717041</v>
      </c>
      <c r="H1545">
        <v>1332.8833007999999</v>
      </c>
      <c r="I1545">
        <v>1330.0078125</v>
      </c>
      <c r="J1545">
        <v>1329.5887451000001</v>
      </c>
      <c r="K1545">
        <v>550</v>
      </c>
      <c r="L1545">
        <v>0</v>
      </c>
      <c r="M1545">
        <v>0</v>
      </c>
      <c r="N1545">
        <v>550</v>
      </c>
    </row>
    <row r="1546" spans="1:14" x14ac:dyDescent="0.25">
      <c r="A1546">
        <v>1512.9853559999999</v>
      </c>
      <c r="B1546" s="1">
        <f>DATE(2014,6,21) + TIME(23,38,54)</f>
        <v>41811.985347222224</v>
      </c>
      <c r="C1546">
        <v>80</v>
      </c>
      <c r="D1546">
        <v>79.944175720000004</v>
      </c>
      <c r="E1546">
        <v>60</v>
      </c>
      <c r="F1546">
        <v>58.053455352999997</v>
      </c>
      <c r="G1546">
        <v>1333.8707274999999</v>
      </c>
      <c r="H1546">
        <v>1332.8851318</v>
      </c>
      <c r="I1546">
        <v>1329.9963379000001</v>
      </c>
      <c r="J1546">
        <v>1329.5709228999999</v>
      </c>
      <c r="K1546">
        <v>550</v>
      </c>
      <c r="L1546">
        <v>0</v>
      </c>
      <c r="M1546">
        <v>0</v>
      </c>
      <c r="N1546">
        <v>550</v>
      </c>
    </row>
    <row r="1547" spans="1:14" x14ac:dyDescent="0.25">
      <c r="A1547">
        <v>1515.1291699999999</v>
      </c>
      <c r="B1547" s="1">
        <f>DATE(2014,6,24) + TIME(3,6,0)</f>
        <v>41814.129166666666</v>
      </c>
      <c r="C1547">
        <v>80</v>
      </c>
      <c r="D1547">
        <v>79.944107056000007</v>
      </c>
      <c r="E1547">
        <v>60</v>
      </c>
      <c r="F1547">
        <v>57.987861633000001</v>
      </c>
      <c r="G1547">
        <v>1333.8698730000001</v>
      </c>
      <c r="H1547">
        <v>1332.8868408000001</v>
      </c>
      <c r="I1547">
        <v>1329.9849853999999</v>
      </c>
      <c r="J1547">
        <v>1329.5528564000001</v>
      </c>
      <c r="K1547">
        <v>550</v>
      </c>
      <c r="L1547">
        <v>0</v>
      </c>
      <c r="M1547">
        <v>0</v>
      </c>
      <c r="N1547">
        <v>550</v>
      </c>
    </row>
    <row r="1548" spans="1:14" x14ac:dyDescent="0.25">
      <c r="A1548">
        <v>1517.3055549999999</v>
      </c>
      <c r="B1548" s="1">
        <f>DATE(2014,6,26) + TIME(7,19,59)</f>
        <v>41816.305543981478</v>
      </c>
      <c r="C1548">
        <v>80</v>
      </c>
      <c r="D1548">
        <v>79.944046021000005</v>
      </c>
      <c r="E1548">
        <v>60</v>
      </c>
      <c r="F1548">
        <v>57.926612853999998</v>
      </c>
      <c r="G1548">
        <v>1333.8690185999999</v>
      </c>
      <c r="H1548">
        <v>1332.8886719</v>
      </c>
      <c r="I1548">
        <v>1329.9738769999999</v>
      </c>
      <c r="J1548">
        <v>1329.5351562000001</v>
      </c>
      <c r="K1548">
        <v>550</v>
      </c>
      <c r="L1548">
        <v>0</v>
      </c>
      <c r="M1548">
        <v>0</v>
      </c>
      <c r="N1548">
        <v>550</v>
      </c>
    </row>
    <row r="1549" spans="1:14" x14ac:dyDescent="0.25">
      <c r="A1549">
        <v>1519.557632</v>
      </c>
      <c r="B1549" s="1">
        <f>DATE(2014,6,28) + TIME(13,22,59)</f>
        <v>41818.557627314818</v>
      </c>
      <c r="C1549">
        <v>80</v>
      </c>
      <c r="D1549">
        <v>79.944000243999994</v>
      </c>
      <c r="E1549">
        <v>60</v>
      </c>
      <c r="F1549">
        <v>57.871658324999999</v>
      </c>
      <c r="G1549">
        <v>1333.8682861</v>
      </c>
      <c r="H1549">
        <v>1332.8902588000001</v>
      </c>
      <c r="I1549">
        <v>1329.9630127</v>
      </c>
      <c r="J1549">
        <v>1329.5177002</v>
      </c>
      <c r="K1549">
        <v>550</v>
      </c>
      <c r="L1549">
        <v>0</v>
      </c>
      <c r="M1549">
        <v>0</v>
      </c>
      <c r="N1549">
        <v>550</v>
      </c>
    </row>
    <row r="1550" spans="1:14" x14ac:dyDescent="0.25">
      <c r="A1550">
        <v>1522</v>
      </c>
      <c r="B1550" s="1">
        <f>DATE(2014,7,1) + TIME(0,0,0)</f>
        <v>41821</v>
      </c>
      <c r="C1550">
        <v>80</v>
      </c>
      <c r="D1550">
        <v>79.943954468000001</v>
      </c>
      <c r="E1550">
        <v>60</v>
      </c>
      <c r="F1550">
        <v>57.825107574</v>
      </c>
      <c r="G1550">
        <v>1333.8674315999999</v>
      </c>
      <c r="H1550">
        <v>1332.8918457</v>
      </c>
      <c r="I1550">
        <v>1329.9523925999999</v>
      </c>
      <c r="J1550">
        <v>1329.5004882999999</v>
      </c>
      <c r="K1550">
        <v>550</v>
      </c>
      <c r="L1550">
        <v>0</v>
      </c>
      <c r="M1550">
        <v>0</v>
      </c>
      <c r="N1550">
        <v>550</v>
      </c>
    </row>
    <row r="1551" spans="1:14" x14ac:dyDescent="0.25">
      <c r="A1551">
        <v>1524.353159</v>
      </c>
      <c r="B1551" s="1">
        <f>DATE(2014,7,3) + TIME(8,28,32)</f>
        <v>41823.353148148148</v>
      </c>
      <c r="C1551">
        <v>80</v>
      </c>
      <c r="D1551">
        <v>79.943916321000003</v>
      </c>
      <c r="E1551">
        <v>60</v>
      </c>
      <c r="F1551">
        <v>57.794498443999998</v>
      </c>
      <c r="G1551">
        <v>1333.8666992000001</v>
      </c>
      <c r="H1551">
        <v>1332.8935547000001</v>
      </c>
      <c r="I1551">
        <v>1329.9418945</v>
      </c>
      <c r="J1551">
        <v>1329.4832764</v>
      </c>
      <c r="K1551">
        <v>550</v>
      </c>
      <c r="L1551">
        <v>0</v>
      </c>
      <c r="M1551">
        <v>0</v>
      </c>
      <c r="N1551">
        <v>550</v>
      </c>
    </row>
    <row r="1552" spans="1:14" x14ac:dyDescent="0.25">
      <c r="A1552">
        <v>1526.818579</v>
      </c>
      <c r="B1552" s="1">
        <f>DATE(2014,7,5) + TIME(19,38,45)</f>
        <v>41825.818576388891</v>
      </c>
      <c r="C1552">
        <v>80</v>
      </c>
      <c r="D1552">
        <v>79.943878174000005</v>
      </c>
      <c r="E1552">
        <v>60</v>
      </c>
      <c r="F1552">
        <v>57.783039092999999</v>
      </c>
      <c r="G1552">
        <v>1333.8659668</v>
      </c>
      <c r="H1552">
        <v>1332.8950195</v>
      </c>
      <c r="I1552">
        <v>1329.9321289</v>
      </c>
      <c r="J1552">
        <v>1329.4669189000001</v>
      </c>
      <c r="K1552">
        <v>550</v>
      </c>
      <c r="L1552">
        <v>0</v>
      </c>
      <c r="M1552">
        <v>0</v>
      </c>
      <c r="N1552">
        <v>550</v>
      </c>
    </row>
    <row r="1553" spans="1:14" x14ac:dyDescent="0.25">
      <c r="A1553">
        <v>1529.3662200000001</v>
      </c>
      <c r="B1553" s="1">
        <f>DATE(2014,7,8) + TIME(8,47,21)</f>
        <v>41828.366215277776</v>
      </c>
      <c r="C1553">
        <v>80</v>
      </c>
      <c r="D1553">
        <v>79.943855286000002</v>
      </c>
      <c r="E1553">
        <v>60</v>
      </c>
      <c r="F1553">
        <v>57.797271729000002</v>
      </c>
      <c r="G1553">
        <v>1333.8652344</v>
      </c>
      <c r="H1553">
        <v>1332.8964844</v>
      </c>
      <c r="I1553">
        <v>1329.9228516000001</v>
      </c>
      <c r="J1553">
        <v>1329.4511719</v>
      </c>
      <c r="K1553">
        <v>550</v>
      </c>
      <c r="L1553">
        <v>0</v>
      </c>
      <c r="M1553">
        <v>0</v>
      </c>
      <c r="N1553">
        <v>550</v>
      </c>
    </row>
    <row r="1554" spans="1:14" x14ac:dyDescent="0.25">
      <c r="A1554">
        <v>1532.0427380000001</v>
      </c>
      <c r="B1554" s="1">
        <f>DATE(2014,7,11) + TIME(1,1,32)</f>
        <v>41831.042731481481</v>
      </c>
      <c r="C1554">
        <v>80</v>
      </c>
      <c r="D1554">
        <v>79.943840026999993</v>
      </c>
      <c r="E1554">
        <v>60</v>
      </c>
      <c r="F1554">
        <v>57.844711304</v>
      </c>
      <c r="G1554">
        <v>1333.864624</v>
      </c>
      <c r="H1554">
        <v>1332.8979492000001</v>
      </c>
      <c r="I1554">
        <v>1329.9139404</v>
      </c>
      <c r="J1554">
        <v>1329.4359131000001</v>
      </c>
      <c r="K1554">
        <v>550</v>
      </c>
      <c r="L1554">
        <v>0</v>
      </c>
      <c r="M1554">
        <v>0</v>
      </c>
      <c r="N1554">
        <v>550</v>
      </c>
    </row>
    <row r="1555" spans="1:14" x14ac:dyDescent="0.25">
      <c r="A1555">
        <v>1534.8218790000001</v>
      </c>
      <c r="B1555" s="1">
        <f>DATE(2014,7,13) + TIME(19,43,30)</f>
        <v>41833.821875000001</v>
      </c>
      <c r="C1555">
        <v>80</v>
      </c>
      <c r="D1555">
        <v>79.943832396999994</v>
      </c>
      <c r="E1555">
        <v>60</v>
      </c>
      <c r="F1555">
        <v>57.934078217</v>
      </c>
      <c r="G1555">
        <v>1333.8638916</v>
      </c>
      <c r="H1555">
        <v>1332.8992920000001</v>
      </c>
      <c r="I1555">
        <v>1329.9055175999999</v>
      </c>
      <c r="J1555">
        <v>1329.4212646000001</v>
      </c>
      <c r="K1555">
        <v>550</v>
      </c>
      <c r="L1555">
        <v>0</v>
      </c>
      <c r="M1555">
        <v>0</v>
      </c>
      <c r="N1555">
        <v>550</v>
      </c>
    </row>
    <row r="1556" spans="1:14" x14ac:dyDescent="0.25">
      <c r="A1556">
        <v>1537.6410269999999</v>
      </c>
      <c r="B1556" s="1">
        <f>DATE(2014,7,16) + TIME(15,23,4)</f>
        <v>41836.641018518516</v>
      </c>
      <c r="C1556">
        <v>80</v>
      </c>
      <c r="D1556">
        <v>79.943824767999999</v>
      </c>
      <c r="E1556">
        <v>60</v>
      </c>
      <c r="F1556">
        <v>58.072414397999999</v>
      </c>
      <c r="G1556">
        <v>1333.8632812000001</v>
      </c>
      <c r="H1556">
        <v>1332.9006348</v>
      </c>
      <c r="I1556">
        <v>1329.8978271000001</v>
      </c>
      <c r="J1556">
        <v>1329.4075928</v>
      </c>
      <c r="K1556">
        <v>550</v>
      </c>
      <c r="L1556">
        <v>0</v>
      </c>
      <c r="M1556">
        <v>0</v>
      </c>
      <c r="N1556">
        <v>550</v>
      </c>
    </row>
    <row r="1557" spans="1:14" x14ac:dyDescent="0.25">
      <c r="A1557">
        <v>1540.5519710000001</v>
      </c>
      <c r="B1557" s="1">
        <f>DATE(2014,7,19) + TIME(13,14,50)</f>
        <v>41839.55196759259</v>
      </c>
      <c r="C1557">
        <v>80</v>
      </c>
      <c r="D1557">
        <v>79.943824767999999</v>
      </c>
      <c r="E1557">
        <v>60</v>
      </c>
      <c r="F1557">
        <v>58.266120911000002</v>
      </c>
      <c r="G1557">
        <v>1333.8626709</v>
      </c>
      <c r="H1557">
        <v>1332.9019774999999</v>
      </c>
      <c r="I1557">
        <v>1329.8907471</v>
      </c>
      <c r="J1557">
        <v>1329.3948975000001</v>
      </c>
      <c r="K1557">
        <v>550</v>
      </c>
      <c r="L1557">
        <v>0</v>
      </c>
      <c r="M1557">
        <v>0</v>
      </c>
      <c r="N1557">
        <v>550</v>
      </c>
    </row>
    <row r="1558" spans="1:14" x14ac:dyDescent="0.25">
      <c r="A1558">
        <v>1543.6296609999999</v>
      </c>
      <c r="B1558" s="1">
        <f>DATE(2014,7,22) + TIME(15,6,42)</f>
        <v>41842.629652777781</v>
      </c>
      <c r="C1558">
        <v>80</v>
      </c>
      <c r="D1558">
        <v>79.943832396999994</v>
      </c>
      <c r="E1558">
        <v>60</v>
      </c>
      <c r="F1558">
        <v>58.523040770999998</v>
      </c>
      <c r="G1558">
        <v>1333.8620605000001</v>
      </c>
      <c r="H1558">
        <v>1332.9031981999999</v>
      </c>
      <c r="I1558">
        <v>1329.8843993999999</v>
      </c>
      <c r="J1558">
        <v>1329.3835449000001</v>
      </c>
      <c r="K1558">
        <v>550</v>
      </c>
      <c r="L1558">
        <v>0</v>
      </c>
      <c r="M1558">
        <v>0</v>
      </c>
      <c r="N1558">
        <v>550</v>
      </c>
    </row>
    <row r="1559" spans="1:14" x14ac:dyDescent="0.25">
      <c r="A1559">
        <v>1546.7849269999999</v>
      </c>
      <c r="B1559" s="1">
        <f>DATE(2014,7,25) + TIME(18,50,17)</f>
        <v>41845.784918981481</v>
      </c>
      <c r="C1559">
        <v>80</v>
      </c>
      <c r="D1559">
        <v>79.943847656000003</v>
      </c>
      <c r="E1559">
        <v>60</v>
      </c>
      <c r="F1559">
        <v>58.844234467</v>
      </c>
      <c r="G1559">
        <v>1333.8614502</v>
      </c>
      <c r="H1559">
        <v>1332.9044189000001</v>
      </c>
      <c r="I1559">
        <v>1329.8787841999999</v>
      </c>
      <c r="J1559">
        <v>1329.3731689000001</v>
      </c>
      <c r="K1559">
        <v>550</v>
      </c>
      <c r="L1559">
        <v>0</v>
      </c>
      <c r="M1559">
        <v>0</v>
      </c>
      <c r="N1559">
        <v>550</v>
      </c>
    </row>
    <row r="1560" spans="1:14" x14ac:dyDescent="0.25">
      <c r="A1560">
        <v>1549.9996619999999</v>
      </c>
      <c r="B1560" s="1">
        <f>DATE(2014,7,28) + TIME(23,59,30)</f>
        <v>41848.999652777777</v>
      </c>
      <c r="C1560">
        <v>80</v>
      </c>
      <c r="D1560">
        <v>79.943870544000006</v>
      </c>
      <c r="E1560">
        <v>60</v>
      </c>
      <c r="F1560">
        <v>59.223953246999997</v>
      </c>
      <c r="G1560">
        <v>1333.8608397999999</v>
      </c>
      <c r="H1560">
        <v>1332.9056396000001</v>
      </c>
      <c r="I1560">
        <v>1329.8739014</v>
      </c>
      <c r="J1560">
        <v>1329.3641356999999</v>
      </c>
      <c r="K1560">
        <v>550</v>
      </c>
      <c r="L1560">
        <v>0</v>
      </c>
      <c r="M1560">
        <v>0</v>
      </c>
      <c r="N1560">
        <v>550</v>
      </c>
    </row>
    <row r="1561" spans="1:14" x14ac:dyDescent="0.25">
      <c r="A1561">
        <v>1553</v>
      </c>
      <c r="B1561" s="1">
        <f>DATE(2014,8,1) + TIME(0,0,0)</f>
        <v>41852</v>
      </c>
      <c r="C1561">
        <v>80</v>
      </c>
      <c r="D1561">
        <v>79.943885803000001</v>
      </c>
      <c r="E1561">
        <v>60</v>
      </c>
      <c r="F1561">
        <v>59.636196136000002</v>
      </c>
      <c r="G1561">
        <v>1333.8602295000001</v>
      </c>
      <c r="H1561">
        <v>1332.9067382999999</v>
      </c>
      <c r="I1561">
        <v>1329.8698730000001</v>
      </c>
      <c r="J1561">
        <v>1329.3565673999999</v>
      </c>
      <c r="K1561">
        <v>550</v>
      </c>
      <c r="L1561">
        <v>0</v>
      </c>
      <c r="M1561">
        <v>0</v>
      </c>
      <c r="N1561">
        <v>550</v>
      </c>
    </row>
    <row r="1562" spans="1:14" x14ac:dyDescent="0.25">
      <c r="A1562">
        <v>1556.37592</v>
      </c>
      <c r="B1562" s="1">
        <f>DATE(2014,8,4) + TIME(9,1,19)</f>
        <v>41855.375914351855</v>
      </c>
      <c r="C1562">
        <v>80</v>
      </c>
      <c r="D1562">
        <v>79.943923949999999</v>
      </c>
      <c r="E1562">
        <v>60</v>
      </c>
      <c r="F1562">
        <v>60.091896057</v>
      </c>
      <c r="G1562">
        <v>1333.8597411999999</v>
      </c>
      <c r="H1562">
        <v>1332.9077147999999</v>
      </c>
      <c r="I1562">
        <v>1329.8665771000001</v>
      </c>
      <c r="J1562">
        <v>1329.3505858999999</v>
      </c>
      <c r="K1562">
        <v>550</v>
      </c>
      <c r="L1562">
        <v>0</v>
      </c>
      <c r="M1562">
        <v>0</v>
      </c>
      <c r="N1562">
        <v>550</v>
      </c>
    </row>
    <row r="1563" spans="1:14" x14ac:dyDescent="0.25">
      <c r="A1563">
        <v>1559.984498</v>
      </c>
      <c r="B1563" s="1">
        <f>DATE(2014,8,7) + TIME(23,37,40)</f>
        <v>41858.984490740739</v>
      </c>
      <c r="C1563">
        <v>80</v>
      </c>
      <c r="D1563">
        <v>79.943969726999995</v>
      </c>
      <c r="E1563">
        <v>60</v>
      </c>
      <c r="F1563">
        <v>60.592628478999998</v>
      </c>
      <c r="G1563">
        <v>1333.8592529</v>
      </c>
      <c r="H1563">
        <v>1332.9088135</v>
      </c>
      <c r="I1563">
        <v>1329.8638916</v>
      </c>
      <c r="J1563">
        <v>1329.3453368999999</v>
      </c>
      <c r="K1563">
        <v>550</v>
      </c>
      <c r="L1563">
        <v>0</v>
      </c>
      <c r="M1563">
        <v>0</v>
      </c>
      <c r="N1563">
        <v>550</v>
      </c>
    </row>
    <row r="1564" spans="1:14" x14ac:dyDescent="0.25">
      <c r="A1564">
        <v>1563.703751</v>
      </c>
      <c r="B1564" s="1">
        <f>DATE(2014,8,11) + TIME(16,53,24)</f>
        <v>41862.703750000001</v>
      </c>
      <c r="C1564">
        <v>80</v>
      </c>
      <c r="D1564">
        <v>79.944015503000003</v>
      </c>
      <c r="E1564">
        <v>60</v>
      </c>
      <c r="F1564">
        <v>61.123493195000002</v>
      </c>
      <c r="G1564">
        <v>1333.8587646000001</v>
      </c>
      <c r="H1564">
        <v>1332.9097899999999</v>
      </c>
      <c r="I1564">
        <v>1329.8616943</v>
      </c>
      <c r="J1564">
        <v>1329.3410644999999</v>
      </c>
      <c r="K1564">
        <v>550</v>
      </c>
      <c r="L1564">
        <v>0</v>
      </c>
      <c r="M1564">
        <v>0</v>
      </c>
      <c r="N1564">
        <v>550</v>
      </c>
    </row>
    <row r="1565" spans="1:14" x14ac:dyDescent="0.25">
      <c r="A1565">
        <v>1567.6354240000001</v>
      </c>
      <c r="B1565" s="1">
        <f>DATE(2014,8,15) + TIME(15,15,0)</f>
        <v>41866.635416666664</v>
      </c>
      <c r="C1565">
        <v>80</v>
      </c>
      <c r="D1565">
        <v>79.944076538000004</v>
      </c>
      <c r="E1565">
        <v>60</v>
      </c>
      <c r="F1565">
        <v>61.672115325999997</v>
      </c>
      <c r="G1565">
        <v>1333.8582764</v>
      </c>
      <c r="H1565">
        <v>1332.9108887</v>
      </c>
      <c r="I1565">
        <v>1329.8598632999999</v>
      </c>
      <c r="J1565">
        <v>1329.3376464999999</v>
      </c>
      <c r="K1565">
        <v>550</v>
      </c>
      <c r="L1565">
        <v>0</v>
      </c>
      <c r="M1565">
        <v>0</v>
      </c>
      <c r="N1565">
        <v>550</v>
      </c>
    </row>
    <row r="1566" spans="1:14" x14ac:dyDescent="0.25">
      <c r="A1566">
        <v>1571.7138090000001</v>
      </c>
      <c r="B1566" s="1">
        <f>DATE(2014,8,19) + TIME(17,7,53)</f>
        <v>41870.713807870372</v>
      </c>
      <c r="C1566">
        <v>80</v>
      </c>
      <c r="D1566">
        <v>79.944137573000006</v>
      </c>
      <c r="E1566">
        <v>60</v>
      </c>
      <c r="F1566">
        <v>62.224742888999998</v>
      </c>
      <c r="G1566">
        <v>1333.8579102000001</v>
      </c>
      <c r="H1566">
        <v>1332.9119873</v>
      </c>
      <c r="I1566">
        <v>1329.8585204999999</v>
      </c>
      <c r="J1566">
        <v>1329.3349608999999</v>
      </c>
      <c r="K1566">
        <v>550</v>
      </c>
      <c r="L1566">
        <v>0</v>
      </c>
      <c r="M1566">
        <v>0</v>
      </c>
      <c r="N1566">
        <v>550</v>
      </c>
    </row>
    <row r="1567" spans="1:14" x14ac:dyDescent="0.25">
      <c r="A1567">
        <v>1575.880817</v>
      </c>
      <c r="B1567" s="1">
        <f>DATE(2014,8,23) + TIME(21,8,22)</f>
        <v>41874.880810185183</v>
      </c>
      <c r="C1567">
        <v>80</v>
      </c>
      <c r="D1567">
        <v>79.944198607999994</v>
      </c>
      <c r="E1567">
        <v>60</v>
      </c>
      <c r="F1567">
        <v>62.764293670999997</v>
      </c>
      <c r="G1567">
        <v>1333.8574219</v>
      </c>
      <c r="H1567">
        <v>1332.9129639</v>
      </c>
      <c r="I1567">
        <v>1329.8575439000001</v>
      </c>
      <c r="J1567">
        <v>1329.3328856999999</v>
      </c>
      <c r="K1567">
        <v>550</v>
      </c>
      <c r="L1567">
        <v>0</v>
      </c>
      <c r="M1567">
        <v>0</v>
      </c>
      <c r="N1567">
        <v>550</v>
      </c>
    </row>
    <row r="1568" spans="1:14" x14ac:dyDescent="0.25">
      <c r="A1568">
        <v>1580.2923149999999</v>
      </c>
      <c r="B1568" s="1">
        <f>DATE(2014,8,28) + TIME(7,0,56)</f>
        <v>41879.292314814818</v>
      </c>
      <c r="C1568">
        <v>80</v>
      </c>
      <c r="D1568">
        <v>79.944282532000003</v>
      </c>
      <c r="E1568">
        <v>60</v>
      </c>
      <c r="F1568">
        <v>63.284248351999999</v>
      </c>
      <c r="G1568">
        <v>1333.8570557</v>
      </c>
      <c r="H1568">
        <v>1332.9140625</v>
      </c>
      <c r="I1568">
        <v>1329.8569336</v>
      </c>
      <c r="J1568">
        <v>1329.3312988</v>
      </c>
      <c r="K1568">
        <v>550</v>
      </c>
      <c r="L1568">
        <v>0</v>
      </c>
      <c r="M1568">
        <v>0</v>
      </c>
      <c r="N1568">
        <v>550</v>
      </c>
    </row>
    <row r="1569" spans="1:14" x14ac:dyDescent="0.25">
      <c r="A1569">
        <v>1584</v>
      </c>
      <c r="B1569" s="1">
        <f>DATE(2014,9,1) + TIME(0,0,0)</f>
        <v>41883</v>
      </c>
      <c r="C1569">
        <v>80</v>
      </c>
      <c r="D1569">
        <v>79.944335937999995</v>
      </c>
      <c r="E1569">
        <v>60</v>
      </c>
      <c r="F1569">
        <v>63.743957520000002</v>
      </c>
      <c r="G1569">
        <v>1333.8568115</v>
      </c>
      <c r="H1569">
        <v>1332.9150391000001</v>
      </c>
      <c r="I1569">
        <v>1329.8565673999999</v>
      </c>
      <c r="J1569">
        <v>1329.3300781</v>
      </c>
      <c r="K1569">
        <v>550</v>
      </c>
      <c r="L1569">
        <v>0</v>
      </c>
      <c r="M1569">
        <v>0</v>
      </c>
      <c r="N1569">
        <v>550</v>
      </c>
    </row>
    <row r="1570" spans="1:14" x14ac:dyDescent="0.25">
      <c r="A1570">
        <v>1588.6244360000001</v>
      </c>
      <c r="B1570" s="1">
        <f>DATE(2014,9,5) + TIME(14,59,11)</f>
        <v>41887.624432870369</v>
      </c>
      <c r="C1570">
        <v>80</v>
      </c>
      <c r="D1570">
        <v>79.944435119999994</v>
      </c>
      <c r="E1570">
        <v>60</v>
      </c>
      <c r="F1570">
        <v>64.176559448000006</v>
      </c>
      <c r="G1570">
        <v>1333.8565673999999</v>
      </c>
      <c r="H1570">
        <v>1332.9158935999999</v>
      </c>
      <c r="I1570">
        <v>1329.8560791</v>
      </c>
      <c r="J1570">
        <v>1329.3293457</v>
      </c>
      <c r="K1570">
        <v>550</v>
      </c>
      <c r="L1570">
        <v>0</v>
      </c>
      <c r="M1570">
        <v>0</v>
      </c>
      <c r="N1570">
        <v>550</v>
      </c>
    </row>
    <row r="1571" spans="1:14" x14ac:dyDescent="0.25">
      <c r="A1571">
        <v>1593.559162</v>
      </c>
      <c r="B1571" s="1">
        <f>DATE(2014,9,10) + TIME(13,25,11)</f>
        <v>41892.559155092589</v>
      </c>
      <c r="C1571">
        <v>80</v>
      </c>
      <c r="D1571">
        <v>79.944534301999994</v>
      </c>
      <c r="E1571">
        <v>60</v>
      </c>
      <c r="F1571">
        <v>64.603561400999993</v>
      </c>
      <c r="G1571">
        <v>1333.8562012</v>
      </c>
      <c r="H1571">
        <v>1332.9168701000001</v>
      </c>
      <c r="I1571">
        <v>1329.8558350000001</v>
      </c>
      <c r="J1571">
        <v>1329.3283690999999</v>
      </c>
      <c r="K1571">
        <v>550</v>
      </c>
      <c r="L1571">
        <v>0</v>
      </c>
      <c r="M1571">
        <v>0</v>
      </c>
      <c r="N1571">
        <v>550</v>
      </c>
    </row>
    <row r="1572" spans="1:14" x14ac:dyDescent="0.25">
      <c r="A1572">
        <v>1598.862752</v>
      </c>
      <c r="B1572" s="1">
        <f>DATE(2014,9,15) + TIME(20,42,21)</f>
        <v>41897.862743055557</v>
      </c>
      <c r="C1572">
        <v>80</v>
      </c>
      <c r="D1572">
        <v>79.944641113000003</v>
      </c>
      <c r="E1572">
        <v>60</v>
      </c>
      <c r="F1572">
        <v>65.015541076999995</v>
      </c>
      <c r="G1572">
        <v>1333.855957</v>
      </c>
      <c r="H1572">
        <v>1332.9179687999999</v>
      </c>
      <c r="I1572">
        <v>1329.8557129000001</v>
      </c>
      <c r="J1572">
        <v>1329.3273925999999</v>
      </c>
      <c r="K1572">
        <v>550</v>
      </c>
      <c r="L1572">
        <v>0</v>
      </c>
      <c r="M1572">
        <v>0</v>
      </c>
      <c r="N1572">
        <v>550</v>
      </c>
    </row>
    <row r="1573" spans="1:14" x14ac:dyDescent="0.25">
      <c r="A1573">
        <v>1604.2220159999999</v>
      </c>
      <c r="B1573" s="1">
        <f>DATE(2014,9,21) + TIME(5,19,42)</f>
        <v>41903.222013888888</v>
      </c>
      <c r="C1573">
        <v>80</v>
      </c>
      <c r="D1573">
        <v>79.944747925000001</v>
      </c>
      <c r="E1573">
        <v>60</v>
      </c>
      <c r="F1573">
        <v>65.402122497999997</v>
      </c>
      <c r="G1573">
        <v>1333.8557129000001</v>
      </c>
      <c r="H1573">
        <v>1332.9189452999999</v>
      </c>
      <c r="I1573">
        <v>1329.8555908000001</v>
      </c>
      <c r="J1573">
        <v>1329.3265381000001</v>
      </c>
      <c r="K1573">
        <v>550</v>
      </c>
      <c r="L1573">
        <v>0</v>
      </c>
      <c r="M1573">
        <v>0</v>
      </c>
      <c r="N1573">
        <v>550</v>
      </c>
    </row>
    <row r="1574" spans="1:14" x14ac:dyDescent="0.25">
      <c r="A1574">
        <v>1609.8774470000001</v>
      </c>
      <c r="B1574" s="1">
        <f>DATE(2014,9,26) + TIME(21,3,31)</f>
        <v>41908.877442129633</v>
      </c>
      <c r="C1574">
        <v>80</v>
      </c>
      <c r="D1574">
        <v>79.944869995000005</v>
      </c>
      <c r="E1574">
        <v>60</v>
      </c>
      <c r="F1574">
        <v>65.756851196</v>
      </c>
      <c r="G1574">
        <v>1333.8555908000001</v>
      </c>
      <c r="H1574">
        <v>1332.9199219</v>
      </c>
      <c r="I1574">
        <v>1329.8555908000001</v>
      </c>
      <c r="J1574">
        <v>1329.3256836</v>
      </c>
      <c r="K1574">
        <v>550</v>
      </c>
      <c r="L1574">
        <v>0</v>
      </c>
      <c r="M1574">
        <v>0</v>
      </c>
      <c r="N1574">
        <v>550</v>
      </c>
    </row>
    <row r="1575" spans="1:14" x14ac:dyDescent="0.25">
      <c r="A1575">
        <v>1614</v>
      </c>
      <c r="B1575" s="1">
        <f>DATE(2014,10,1) + TIME(0,0,0)</f>
        <v>41913</v>
      </c>
      <c r="C1575">
        <v>80</v>
      </c>
      <c r="D1575">
        <v>79.944946289000001</v>
      </c>
      <c r="E1575">
        <v>60</v>
      </c>
      <c r="F1575">
        <v>66.049438476999995</v>
      </c>
      <c r="G1575">
        <v>1333.8553466999999</v>
      </c>
      <c r="H1575">
        <v>1332.9210204999999</v>
      </c>
      <c r="I1575">
        <v>1329.8555908000001</v>
      </c>
      <c r="J1575">
        <v>1329.3248291</v>
      </c>
      <c r="K1575">
        <v>550</v>
      </c>
      <c r="L1575">
        <v>0</v>
      </c>
      <c r="M1575">
        <v>0</v>
      </c>
      <c r="N1575">
        <v>550</v>
      </c>
    </row>
    <row r="1576" spans="1:14" x14ac:dyDescent="0.25">
      <c r="A1576">
        <v>1619.9785569999999</v>
      </c>
      <c r="B1576" s="1">
        <f>DATE(2014,10,6) + TIME(23,29,7)</f>
        <v>41918.97855324074</v>
      </c>
      <c r="C1576">
        <v>80</v>
      </c>
      <c r="D1576">
        <v>79.945091247999997</v>
      </c>
      <c r="E1576">
        <v>60</v>
      </c>
      <c r="F1576">
        <v>66.312805175999998</v>
      </c>
      <c r="G1576">
        <v>1333.8553466999999</v>
      </c>
      <c r="H1576">
        <v>1332.9217529</v>
      </c>
      <c r="I1576">
        <v>1329.8552245999999</v>
      </c>
      <c r="J1576">
        <v>1329.3242187999999</v>
      </c>
      <c r="K1576">
        <v>550</v>
      </c>
      <c r="L1576">
        <v>0</v>
      </c>
      <c r="M1576">
        <v>0</v>
      </c>
      <c r="N1576">
        <v>550</v>
      </c>
    </row>
    <row r="1577" spans="1:14" x14ac:dyDescent="0.25">
      <c r="A1577">
        <v>1626.4483279999999</v>
      </c>
      <c r="B1577" s="1">
        <f>DATE(2014,10,13) + TIME(10,45,35)</f>
        <v>41925.448321759257</v>
      </c>
      <c r="C1577">
        <v>80</v>
      </c>
      <c r="D1577">
        <v>79.945243834999999</v>
      </c>
      <c r="E1577">
        <v>60</v>
      </c>
      <c r="F1577">
        <v>66.585510253999999</v>
      </c>
      <c r="G1577">
        <v>1333.8551024999999</v>
      </c>
      <c r="H1577">
        <v>1332.9227295000001</v>
      </c>
      <c r="I1577">
        <v>1329.8552245999999</v>
      </c>
      <c r="J1577">
        <v>1329.3229980000001</v>
      </c>
      <c r="K1577">
        <v>550</v>
      </c>
      <c r="L1577">
        <v>0</v>
      </c>
      <c r="M1577">
        <v>0</v>
      </c>
      <c r="N1577">
        <v>550</v>
      </c>
    </row>
    <row r="1578" spans="1:14" x14ac:dyDescent="0.25">
      <c r="A1578">
        <v>1633.292962</v>
      </c>
      <c r="B1578" s="1">
        <f>DATE(2014,10,20) + TIME(7,1,51)</f>
        <v>41932.292951388888</v>
      </c>
      <c r="C1578">
        <v>80</v>
      </c>
      <c r="D1578">
        <v>79.945396423000005</v>
      </c>
      <c r="E1578">
        <v>60</v>
      </c>
      <c r="F1578">
        <v>66.851158142000003</v>
      </c>
      <c r="G1578">
        <v>1333.8551024999999</v>
      </c>
      <c r="H1578">
        <v>1332.9237060999999</v>
      </c>
      <c r="I1578">
        <v>1329.8551024999999</v>
      </c>
      <c r="J1578">
        <v>1329.3218993999999</v>
      </c>
      <c r="K1578">
        <v>550</v>
      </c>
      <c r="L1578">
        <v>0</v>
      </c>
      <c r="M1578">
        <v>0</v>
      </c>
      <c r="N1578">
        <v>550</v>
      </c>
    </row>
    <row r="1579" spans="1:14" x14ac:dyDescent="0.25">
      <c r="A1579">
        <v>1640.3648499999999</v>
      </c>
      <c r="B1579" s="1">
        <f>DATE(2014,10,27) + TIME(8,45,23)</f>
        <v>41939.364849537036</v>
      </c>
      <c r="C1579">
        <v>80</v>
      </c>
      <c r="D1579">
        <v>79.945556640999996</v>
      </c>
      <c r="E1579">
        <v>60</v>
      </c>
      <c r="F1579">
        <v>67.101829529</v>
      </c>
      <c r="G1579">
        <v>1333.8549805</v>
      </c>
      <c r="H1579">
        <v>1332.9246826000001</v>
      </c>
      <c r="I1579">
        <v>1329.8549805</v>
      </c>
      <c r="J1579">
        <v>1329.3208007999999</v>
      </c>
      <c r="K1579">
        <v>550</v>
      </c>
      <c r="L1579">
        <v>0</v>
      </c>
      <c r="M1579">
        <v>0</v>
      </c>
      <c r="N1579">
        <v>550</v>
      </c>
    </row>
    <row r="1580" spans="1:14" x14ac:dyDescent="0.25">
      <c r="A1580">
        <v>1645</v>
      </c>
      <c r="B1580" s="1">
        <f>DATE(2014,11,1) + TIME(0,0,0)</f>
        <v>41944</v>
      </c>
      <c r="C1580">
        <v>80</v>
      </c>
      <c r="D1580">
        <v>79.945640564000001</v>
      </c>
      <c r="E1580">
        <v>60</v>
      </c>
      <c r="F1580">
        <v>67.306518554999997</v>
      </c>
      <c r="G1580">
        <v>1333.8549805</v>
      </c>
      <c r="H1580">
        <v>1332.9257812000001</v>
      </c>
      <c r="I1580">
        <v>1329.8549805</v>
      </c>
      <c r="J1580">
        <v>1329.3197021000001</v>
      </c>
      <c r="K1580">
        <v>550</v>
      </c>
      <c r="L1580">
        <v>0</v>
      </c>
      <c r="M1580">
        <v>0</v>
      </c>
      <c r="N1580">
        <v>550</v>
      </c>
    </row>
    <row r="1581" spans="1:14" x14ac:dyDescent="0.25">
      <c r="A1581">
        <v>1645.0000010000001</v>
      </c>
      <c r="B1581" s="1">
        <f>DATE(2014,11,1) + TIME(0,0,0)</f>
        <v>41944</v>
      </c>
      <c r="C1581">
        <v>80</v>
      </c>
      <c r="D1581">
        <v>79.945610045999999</v>
      </c>
      <c r="E1581">
        <v>60</v>
      </c>
      <c r="F1581">
        <v>67.306549071999996</v>
      </c>
      <c r="G1581">
        <v>1332.7110596</v>
      </c>
      <c r="H1581">
        <v>1332.9593506000001</v>
      </c>
      <c r="I1581">
        <v>1330.6823730000001</v>
      </c>
      <c r="J1581">
        <v>1330.0887451000001</v>
      </c>
      <c r="K1581">
        <v>0</v>
      </c>
      <c r="L1581">
        <v>550</v>
      </c>
      <c r="M1581">
        <v>550</v>
      </c>
      <c r="N1581">
        <v>0</v>
      </c>
    </row>
    <row r="1582" spans="1:14" x14ac:dyDescent="0.25">
      <c r="A1582">
        <v>1645.000004</v>
      </c>
      <c r="B1582" s="1">
        <f>DATE(2014,11,1) + TIME(0,0,0)</f>
        <v>41944</v>
      </c>
      <c r="C1582">
        <v>80</v>
      </c>
      <c r="D1582">
        <v>79.945571899000001</v>
      </c>
      <c r="E1582">
        <v>60</v>
      </c>
      <c r="F1582">
        <v>67.306579589999998</v>
      </c>
      <c r="G1582">
        <v>1332.4278564000001</v>
      </c>
      <c r="H1582">
        <v>1332.7257079999999</v>
      </c>
      <c r="I1582">
        <v>1330.9655762</v>
      </c>
      <c r="J1582">
        <v>1330.4042969</v>
      </c>
      <c r="K1582">
        <v>0</v>
      </c>
      <c r="L1582">
        <v>550</v>
      </c>
      <c r="M1582">
        <v>550</v>
      </c>
      <c r="N1582">
        <v>0</v>
      </c>
    </row>
    <row r="1583" spans="1:14" x14ac:dyDescent="0.25">
      <c r="A1583">
        <v>1645.0000130000001</v>
      </c>
      <c r="B1583" s="1">
        <f>DATE(2014,11,1) + TIME(0,0,1)</f>
        <v>41944.000011574077</v>
      </c>
      <c r="C1583">
        <v>80</v>
      </c>
      <c r="D1583">
        <v>79.945533752000003</v>
      </c>
      <c r="E1583">
        <v>60</v>
      </c>
      <c r="F1583">
        <v>67.306594849000007</v>
      </c>
      <c r="G1583">
        <v>1332.1455077999999</v>
      </c>
      <c r="H1583">
        <v>1332.4355469</v>
      </c>
      <c r="I1583">
        <v>1331.3107910000001</v>
      </c>
      <c r="J1583">
        <v>1330.7430420000001</v>
      </c>
      <c r="K1583">
        <v>0</v>
      </c>
      <c r="L1583">
        <v>550</v>
      </c>
      <c r="M1583">
        <v>550</v>
      </c>
      <c r="N1583">
        <v>0</v>
      </c>
    </row>
    <row r="1584" spans="1:14" x14ac:dyDescent="0.25">
      <c r="A1584">
        <v>1645.0000399999999</v>
      </c>
      <c r="B1584" s="1">
        <f>DATE(2014,11,1) + TIME(0,0,3)</f>
        <v>41944.000034722223</v>
      </c>
      <c r="C1584">
        <v>80</v>
      </c>
      <c r="D1584">
        <v>79.945495605000005</v>
      </c>
      <c r="E1584">
        <v>60</v>
      </c>
      <c r="F1584">
        <v>67.306541443</v>
      </c>
      <c r="G1584">
        <v>1331.8839111</v>
      </c>
      <c r="H1584">
        <v>1332.1293945</v>
      </c>
      <c r="I1584">
        <v>1331.6619873</v>
      </c>
      <c r="J1584">
        <v>1331.0773925999999</v>
      </c>
      <c r="K1584">
        <v>0</v>
      </c>
      <c r="L1584">
        <v>550</v>
      </c>
      <c r="M1584">
        <v>550</v>
      </c>
      <c r="N1584">
        <v>0</v>
      </c>
    </row>
    <row r="1585" spans="1:14" x14ac:dyDescent="0.25">
      <c r="A1585">
        <v>1645.000121</v>
      </c>
      <c r="B1585" s="1">
        <f>DATE(2014,11,1) + TIME(0,0,10)</f>
        <v>41944.000115740739</v>
      </c>
      <c r="C1585">
        <v>80</v>
      </c>
      <c r="D1585">
        <v>79.945457458000007</v>
      </c>
      <c r="E1585">
        <v>60</v>
      </c>
      <c r="F1585">
        <v>67.306289672999995</v>
      </c>
      <c r="G1585">
        <v>1331.6447754000001</v>
      </c>
      <c r="H1585">
        <v>1331.8283690999999</v>
      </c>
      <c r="I1585">
        <v>1331.9926757999999</v>
      </c>
      <c r="J1585">
        <v>1331.3881836</v>
      </c>
      <c r="K1585">
        <v>0</v>
      </c>
      <c r="L1585">
        <v>550</v>
      </c>
      <c r="M1585">
        <v>550</v>
      </c>
      <c r="N1585">
        <v>0</v>
      </c>
    </row>
    <row r="1586" spans="1:14" x14ac:dyDescent="0.25">
      <c r="A1586">
        <v>1645.000364</v>
      </c>
      <c r="B1586" s="1">
        <f>DATE(2014,11,1) + TIME(0,0,31)</f>
        <v>41944.000358796293</v>
      </c>
      <c r="C1586">
        <v>80</v>
      </c>
      <c r="D1586">
        <v>79.945419311999999</v>
      </c>
      <c r="E1586">
        <v>60</v>
      </c>
      <c r="F1586">
        <v>67.305389403999996</v>
      </c>
      <c r="G1586">
        <v>1331.4537353999999</v>
      </c>
      <c r="H1586">
        <v>1331.5729980000001</v>
      </c>
      <c r="I1586">
        <v>1332.2645264</v>
      </c>
      <c r="J1586">
        <v>1331.6370850000001</v>
      </c>
      <c r="K1586">
        <v>0</v>
      </c>
      <c r="L1586">
        <v>550</v>
      </c>
      <c r="M1586">
        <v>550</v>
      </c>
      <c r="N1586">
        <v>0</v>
      </c>
    </row>
    <row r="1587" spans="1:14" x14ac:dyDescent="0.25">
      <c r="A1587">
        <v>1645.0010930000001</v>
      </c>
      <c r="B1587" s="1">
        <f>DATE(2014,11,1) + TIME(0,1,34)</f>
        <v>41944.001087962963</v>
      </c>
      <c r="C1587">
        <v>80</v>
      </c>
      <c r="D1587">
        <v>79.945358275999993</v>
      </c>
      <c r="E1587">
        <v>60</v>
      </c>
      <c r="F1587">
        <v>67.302536011000001</v>
      </c>
      <c r="G1587">
        <v>1331.3266602000001</v>
      </c>
      <c r="H1587">
        <v>1331.4146728999999</v>
      </c>
      <c r="I1587">
        <v>1332.4395752</v>
      </c>
      <c r="J1587">
        <v>1331.7955322</v>
      </c>
      <c r="K1587">
        <v>0</v>
      </c>
      <c r="L1587">
        <v>550</v>
      </c>
      <c r="M1587">
        <v>550</v>
      </c>
      <c r="N1587">
        <v>0</v>
      </c>
    </row>
    <row r="1588" spans="1:14" x14ac:dyDescent="0.25">
      <c r="A1588">
        <v>1645.0032799999999</v>
      </c>
      <c r="B1588" s="1">
        <f>DATE(2014,11,1) + TIME(0,4,43)</f>
        <v>41944.003275462965</v>
      </c>
      <c r="C1588">
        <v>80</v>
      </c>
      <c r="D1588">
        <v>79.945236206000004</v>
      </c>
      <c r="E1588">
        <v>60</v>
      </c>
      <c r="F1588">
        <v>67.293846130000006</v>
      </c>
      <c r="G1588">
        <v>1331.2596435999999</v>
      </c>
      <c r="H1588">
        <v>1331.3355713000001</v>
      </c>
      <c r="I1588">
        <v>1332.526001</v>
      </c>
      <c r="J1588">
        <v>1331.8746338000001</v>
      </c>
      <c r="K1588">
        <v>0</v>
      </c>
      <c r="L1588">
        <v>550</v>
      </c>
      <c r="M1588">
        <v>550</v>
      </c>
      <c r="N1588">
        <v>0</v>
      </c>
    </row>
    <row r="1589" spans="1:14" x14ac:dyDescent="0.25">
      <c r="A1589">
        <v>1645.0098410000001</v>
      </c>
      <c r="B1589" s="1">
        <f>DATE(2014,11,1) + TIME(0,14,10)</f>
        <v>41944.009837962964</v>
      </c>
      <c r="C1589">
        <v>80</v>
      </c>
      <c r="D1589">
        <v>79.944892882999994</v>
      </c>
      <c r="E1589">
        <v>60</v>
      </c>
      <c r="F1589">
        <v>67.267768860000004</v>
      </c>
      <c r="G1589">
        <v>1331.2318115</v>
      </c>
      <c r="H1589">
        <v>1331.3048096</v>
      </c>
      <c r="I1589">
        <v>1332.5541992000001</v>
      </c>
      <c r="J1589">
        <v>1331.9006348</v>
      </c>
      <c r="K1589">
        <v>0</v>
      </c>
      <c r="L1589">
        <v>550</v>
      </c>
      <c r="M1589">
        <v>550</v>
      </c>
      <c r="N1589">
        <v>0</v>
      </c>
    </row>
    <row r="1590" spans="1:14" x14ac:dyDescent="0.25">
      <c r="A1590">
        <v>1645.029524</v>
      </c>
      <c r="B1590" s="1">
        <f>DATE(2014,11,1) + TIME(0,42,30)</f>
        <v>41944.029513888891</v>
      </c>
      <c r="C1590">
        <v>80</v>
      </c>
      <c r="D1590">
        <v>79.943870544000006</v>
      </c>
      <c r="E1590">
        <v>60</v>
      </c>
      <c r="F1590">
        <v>67.190391540999997</v>
      </c>
      <c r="G1590">
        <v>1331.2243652</v>
      </c>
      <c r="H1590">
        <v>1331.2958983999999</v>
      </c>
      <c r="I1590">
        <v>1332.5573730000001</v>
      </c>
      <c r="J1590">
        <v>1331.9034423999999</v>
      </c>
      <c r="K1590">
        <v>0</v>
      </c>
      <c r="L1590">
        <v>550</v>
      </c>
      <c r="M1590">
        <v>550</v>
      </c>
      <c r="N1590">
        <v>0</v>
      </c>
    </row>
    <row r="1591" spans="1:14" x14ac:dyDescent="0.25">
      <c r="A1591">
        <v>1645.088573</v>
      </c>
      <c r="B1591" s="1">
        <f>DATE(2014,11,1) + TIME(2,7,32)</f>
        <v>41944.088564814818</v>
      </c>
      <c r="C1591">
        <v>80</v>
      </c>
      <c r="D1591">
        <v>79.940803528000004</v>
      </c>
      <c r="E1591">
        <v>60</v>
      </c>
      <c r="F1591">
        <v>66.966217040999993</v>
      </c>
      <c r="G1591">
        <v>1331.2224120999999</v>
      </c>
      <c r="H1591">
        <v>1331.2912598</v>
      </c>
      <c r="I1591">
        <v>1332.5562743999999</v>
      </c>
      <c r="J1591">
        <v>1331.9022216999999</v>
      </c>
      <c r="K1591">
        <v>0</v>
      </c>
      <c r="L1591">
        <v>550</v>
      </c>
      <c r="M1591">
        <v>550</v>
      </c>
      <c r="N1591">
        <v>0</v>
      </c>
    </row>
    <row r="1592" spans="1:14" x14ac:dyDescent="0.25">
      <c r="A1592">
        <v>1645.1871269999999</v>
      </c>
      <c r="B1592" s="1">
        <f>DATE(2014,11,1) + TIME(4,29,27)</f>
        <v>41944.187118055554</v>
      </c>
      <c r="C1592">
        <v>80</v>
      </c>
      <c r="D1592">
        <v>79.935699463000006</v>
      </c>
      <c r="E1592">
        <v>60</v>
      </c>
      <c r="F1592">
        <v>66.611862183</v>
      </c>
      <c r="G1592">
        <v>1331.2198486</v>
      </c>
      <c r="H1592">
        <v>1331.2811279</v>
      </c>
      <c r="I1592">
        <v>1332.5594481999999</v>
      </c>
      <c r="J1592">
        <v>1331.9034423999999</v>
      </c>
      <c r="K1592">
        <v>0</v>
      </c>
      <c r="L1592">
        <v>550</v>
      </c>
      <c r="M1592">
        <v>550</v>
      </c>
      <c r="N1592">
        <v>0</v>
      </c>
    </row>
    <row r="1593" spans="1:14" x14ac:dyDescent="0.25">
      <c r="A1593">
        <v>1645.2910569999999</v>
      </c>
      <c r="B1593" s="1">
        <f>DATE(2014,11,1) + TIME(6,59,7)</f>
        <v>41944.29105324074</v>
      </c>
      <c r="C1593">
        <v>80</v>
      </c>
      <c r="D1593">
        <v>79.93031311</v>
      </c>
      <c r="E1593">
        <v>60</v>
      </c>
      <c r="F1593">
        <v>66.257537842000005</v>
      </c>
      <c r="G1593">
        <v>1331.2158202999999</v>
      </c>
      <c r="H1593">
        <v>1331.2659911999999</v>
      </c>
      <c r="I1593">
        <v>1332.5699463000001</v>
      </c>
      <c r="J1593">
        <v>1331.9091797000001</v>
      </c>
      <c r="K1593">
        <v>0</v>
      </c>
      <c r="L1593">
        <v>550</v>
      </c>
      <c r="M1593">
        <v>550</v>
      </c>
      <c r="N1593">
        <v>0</v>
      </c>
    </row>
    <row r="1594" spans="1:14" x14ac:dyDescent="0.25">
      <c r="A1594">
        <v>1645.4007630000001</v>
      </c>
      <c r="B1594" s="1">
        <f>DATE(2014,11,1) + TIME(9,37,5)</f>
        <v>41944.400752314818</v>
      </c>
      <c r="C1594">
        <v>80</v>
      </c>
      <c r="D1594">
        <v>79.924629210999996</v>
      </c>
      <c r="E1594">
        <v>60</v>
      </c>
      <c r="F1594">
        <v>65.903762817</v>
      </c>
      <c r="G1594">
        <v>1331.2119141000001</v>
      </c>
      <c r="H1594">
        <v>1331.2506103999999</v>
      </c>
      <c r="I1594">
        <v>1332.5814209</v>
      </c>
      <c r="J1594">
        <v>1331.9156493999999</v>
      </c>
      <c r="K1594">
        <v>0</v>
      </c>
      <c r="L1594">
        <v>550</v>
      </c>
      <c r="M1594">
        <v>550</v>
      </c>
      <c r="N1594">
        <v>0</v>
      </c>
    </row>
    <row r="1595" spans="1:14" x14ac:dyDescent="0.25">
      <c r="A1595">
        <v>1645.516777</v>
      </c>
      <c r="B1595" s="1">
        <f>DATE(2014,11,1) + TIME(12,24,9)</f>
        <v>41944.516770833332</v>
      </c>
      <c r="C1595">
        <v>80</v>
      </c>
      <c r="D1595">
        <v>79.918609618999994</v>
      </c>
      <c r="E1595">
        <v>60</v>
      </c>
      <c r="F1595">
        <v>65.550880432</v>
      </c>
      <c r="G1595">
        <v>1331.2078856999999</v>
      </c>
      <c r="H1595">
        <v>1331.2348632999999</v>
      </c>
      <c r="I1595">
        <v>1332.5942382999999</v>
      </c>
      <c r="J1595">
        <v>1331.9228516000001</v>
      </c>
      <c r="K1595">
        <v>0</v>
      </c>
      <c r="L1595">
        <v>550</v>
      </c>
      <c r="M1595">
        <v>550</v>
      </c>
      <c r="N1595">
        <v>0</v>
      </c>
    </row>
    <row r="1596" spans="1:14" x14ac:dyDescent="0.25">
      <c r="A1596">
        <v>1645.6396990000001</v>
      </c>
      <c r="B1596" s="1">
        <f>DATE(2014,11,1) + TIME(15,21,10)</f>
        <v>41944.639699074076</v>
      </c>
      <c r="C1596">
        <v>80</v>
      </c>
      <c r="D1596">
        <v>79.912231445000003</v>
      </c>
      <c r="E1596">
        <v>60</v>
      </c>
      <c r="F1596">
        <v>65.199302673000005</v>
      </c>
      <c r="G1596">
        <v>1331.2037353999999</v>
      </c>
      <c r="H1596">
        <v>1331.2189940999999</v>
      </c>
      <c r="I1596">
        <v>1332.6082764</v>
      </c>
      <c r="J1596">
        <v>1331.9307861</v>
      </c>
      <c r="K1596">
        <v>0</v>
      </c>
      <c r="L1596">
        <v>550</v>
      </c>
      <c r="M1596">
        <v>550</v>
      </c>
      <c r="N1596">
        <v>0</v>
      </c>
    </row>
    <row r="1597" spans="1:14" x14ac:dyDescent="0.25">
      <c r="A1597">
        <v>1645.770213</v>
      </c>
      <c r="B1597" s="1">
        <f>DATE(2014,11,1) + TIME(18,29,6)</f>
        <v>41944.770208333335</v>
      </c>
      <c r="C1597">
        <v>80</v>
      </c>
      <c r="D1597">
        <v>79.905464171999995</v>
      </c>
      <c r="E1597">
        <v>60</v>
      </c>
      <c r="F1597">
        <v>64.849540709999999</v>
      </c>
      <c r="G1597">
        <v>1331.199707</v>
      </c>
      <c r="H1597">
        <v>1331.2027588000001</v>
      </c>
      <c r="I1597">
        <v>1332.6236572</v>
      </c>
      <c r="J1597">
        <v>1331.9395752</v>
      </c>
      <c r="K1597">
        <v>0</v>
      </c>
      <c r="L1597">
        <v>550</v>
      </c>
      <c r="M1597">
        <v>550</v>
      </c>
      <c r="N1597">
        <v>0</v>
      </c>
    </row>
    <row r="1598" spans="1:14" x14ac:dyDescent="0.25">
      <c r="A1598">
        <v>1645.909099</v>
      </c>
      <c r="B1598" s="1">
        <f>DATE(2014,11,1) + TIME(21,49,6)</f>
        <v>41944.909097222226</v>
      </c>
      <c r="C1598">
        <v>80</v>
      </c>
      <c r="D1598">
        <v>79.898231506000002</v>
      </c>
      <c r="E1598">
        <v>60</v>
      </c>
      <c r="F1598">
        <v>64.502174377000003</v>
      </c>
      <c r="G1598">
        <v>1331.1917725000001</v>
      </c>
      <c r="H1598">
        <v>1331.1877440999999</v>
      </c>
      <c r="I1598">
        <v>1332.6405029</v>
      </c>
      <c r="J1598">
        <v>1331.9492187999999</v>
      </c>
      <c r="K1598">
        <v>0</v>
      </c>
      <c r="L1598">
        <v>550</v>
      </c>
      <c r="M1598">
        <v>550</v>
      </c>
      <c r="N1598">
        <v>0</v>
      </c>
    </row>
    <row r="1599" spans="1:14" x14ac:dyDescent="0.25">
      <c r="A1599">
        <v>1646.0573260000001</v>
      </c>
      <c r="B1599" s="1">
        <f>DATE(2014,11,2) + TIME(1,22,33)</f>
        <v>41945.057326388887</v>
      </c>
      <c r="C1599">
        <v>80</v>
      </c>
      <c r="D1599">
        <v>79.890480041999993</v>
      </c>
      <c r="E1599">
        <v>60</v>
      </c>
      <c r="F1599">
        <v>64.157669067</v>
      </c>
      <c r="G1599">
        <v>1331.1826172000001</v>
      </c>
      <c r="H1599">
        <v>1331.1729736</v>
      </c>
      <c r="I1599">
        <v>1332.6588135</v>
      </c>
      <c r="J1599">
        <v>1331.9598389</v>
      </c>
      <c r="K1599">
        <v>0</v>
      </c>
      <c r="L1599">
        <v>550</v>
      </c>
      <c r="M1599">
        <v>550</v>
      </c>
      <c r="N1599">
        <v>0</v>
      </c>
    </row>
    <row r="1600" spans="1:14" x14ac:dyDescent="0.25">
      <c r="A1600">
        <v>1646.215946</v>
      </c>
      <c r="B1600" s="1">
        <f>DATE(2014,11,2) + TIME(5,10,57)</f>
        <v>41945.215937499997</v>
      </c>
      <c r="C1600">
        <v>80</v>
      </c>
      <c r="D1600">
        <v>79.882156371999997</v>
      </c>
      <c r="E1600">
        <v>60</v>
      </c>
      <c r="F1600">
        <v>63.816814422999997</v>
      </c>
      <c r="G1600">
        <v>1331.1730957</v>
      </c>
      <c r="H1600">
        <v>1331.1579589999999</v>
      </c>
      <c r="I1600">
        <v>1332.6787108999999</v>
      </c>
      <c r="J1600">
        <v>1331.9713135</v>
      </c>
      <c r="K1600">
        <v>0</v>
      </c>
      <c r="L1600">
        <v>550</v>
      </c>
      <c r="M1600">
        <v>550</v>
      </c>
      <c r="N1600">
        <v>0</v>
      </c>
    </row>
    <row r="1601" spans="1:14" x14ac:dyDescent="0.25">
      <c r="A1601">
        <v>1646.386223</v>
      </c>
      <c r="B1601" s="1">
        <f>DATE(2014,11,2) + TIME(9,16,9)</f>
        <v>41945.38621527778</v>
      </c>
      <c r="C1601">
        <v>80</v>
      </c>
      <c r="D1601">
        <v>79.873176575000002</v>
      </c>
      <c r="E1601">
        <v>60</v>
      </c>
      <c r="F1601">
        <v>63.480476379000002</v>
      </c>
      <c r="G1601">
        <v>1331.1634521000001</v>
      </c>
      <c r="H1601">
        <v>1331.1424560999999</v>
      </c>
      <c r="I1601">
        <v>1332.7003173999999</v>
      </c>
      <c r="J1601">
        <v>1331.9838867000001</v>
      </c>
      <c r="K1601">
        <v>0</v>
      </c>
      <c r="L1601">
        <v>550</v>
      </c>
      <c r="M1601">
        <v>550</v>
      </c>
      <c r="N1601">
        <v>0</v>
      </c>
    </row>
    <row r="1602" spans="1:14" x14ac:dyDescent="0.25">
      <c r="A1602">
        <v>1646.5626199999999</v>
      </c>
      <c r="B1602" s="1">
        <f>DATE(2014,11,2) + TIME(13,30,10)</f>
        <v>41945.562615740739</v>
      </c>
      <c r="C1602">
        <v>80</v>
      </c>
      <c r="D1602">
        <v>79.863769531000003</v>
      </c>
      <c r="E1602">
        <v>60</v>
      </c>
      <c r="F1602">
        <v>63.161083220999998</v>
      </c>
      <c r="G1602">
        <v>1331.1535644999999</v>
      </c>
      <c r="H1602">
        <v>1331.1267089999999</v>
      </c>
      <c r="I1602">
        <v>1332.7237548999999</v>
      </c>
      <c r="J1602">
        <v>1331.9976807</v>
      </c>
      <c r="K1602">
        <v>0</v>
      </c>
      <c r="L1602">
        <v>550</v>
      </c>
      <c r="M1602">
        <v>550</v>
      </c>
      <c r="N1602">
        <v>0</v>
      </c>
    </row>
    <row r="1603" spans="1:14" x14ac:dyDescent="0.25">
      <c r="A1603">
        <v>1646.7456110000001</v>
      </c>
      <c r="B1603" s="1">
        <f>DATE(2014,11,2) + TIME(17,53,40)</f>
        <v>41945.74560185185</v>
      </c>
      <c r="C1603">
        <v>80</v>
      </c>
      <c r="D1603">
        <v>79.853919982999997</v>
      </c>
      <c r="E1603">
        <v>60</v>
      </c>
      <c r="F1603">
        <v>62.858505248999997</v>
      </c>
      <c r="G1603">
        <v>1331.1436768000001</v>
      </c>
      <c r="H1603">
        <v>1331.1109618999999</v>
      </c>
      <c r="I1603">
        <v>1332.7480469</v>
      </c>
      <c r="J1603">
        <v>1332.0120850000001</v>
      </c>
      <c r="K1603">
        <v>0</v>
      </c>
      <c r="L1603">
        <v>550</v>
      </c>
      <c r="M1603">
        <v>550</v>
      </c>
      <c r="N1603">
        <v>0</v>
      </c>
    </row>
    <row r="1604" spans="1:14" x14ac:dyDescent="0.25">
      <c r="A1604">
        <v>1646.935737</v>
      </c>
      <c r="B1604" s="1">
        <f>DATE(2014,11,2) + TIME(22,27,27)</f>
        <v>41945.935729166667</v>
      </c>
      <c r="C1604">
        <v>80</v>
      </c>
      <c r="D1604">
        <v>79.843582153</v>
      </c>
      <c r="E1604">
        <v>60</v>
      </c>
      <c r="F1604">
        <v>62.572605133000003</v>
      </c>
      <c r="G1604">
        <v>1331.1339111</v>
      </c>
      <c r="H1604">
        <v>1331.0954589999999</v>
      </c>
      <c r="I1604">
        <v>1332.7731934000001</v>
      </c>
      <c r="J1604">
        <v>1332.0268555</v>
      </c>
      <c r="K1604">
        <v>0</v>
      </c>
      <c r="L1604">
        <v>550</v>
      </c>
      <c r="M1604">
        <v>550</v>
      </c>
      <c r="N1604">
        <v>0</v>
      </c>
    </row>
    <row r="1605" spans="1:14" x14ac:dyDescent="0.25">
      <c r="A1605">
        <v>1647.1336160000001</v>
      </c>
      <c r="B1605" s="1">
        <f>DATE(2014,11,3) + TIME(3,12,24)</f>
        <v>41946.133611111109</v>
      </c>
      <c r="C1605">
        <v>80</v>
      </c>
      <c r="D1605">
        <v>79.832717896000005</v>
      </c>
      <c r="E1605">
        <v>60</v>
      </c>
      <c r="F1605">
        <v>62.303253173999998</v>
      </c>
      <c r="G1605">
        <v>1331.1242675999999</v>
      </c>
      <c r="H1605">
        <v>1331.0799560999999</v>
      </c>
      <c r="I1605">
        <v>1332.7989502</v>
      </c>
      <c r="J1605">
        <v>1332.0421143000001</v>
      </c>
      <c r="K1605">
        <v>0</v>
      </c>
      <c r="L1605">
        <v>550</v>
      </c>
      <c r="M1605">
        <v>550</v>
      </c>
      <c r="N1605">
        <v>0</v>
      </c>
    </row>
    <row r="1606" spans="1:14" x14ac:dyDescent="0.25">
      <c r="A1606">
        <v>1647.33995</v>
      </c>
      <c r="B1606" s="1">
        <f>DATE(2014,11,3) + TIME(8,9,31)</f>
        <v>41946.339942129627</v>
      </c>
      <c r="C1606">
        <v>80</v>
      </c>
      <c r="D1606">
        <v>79.821273804</v>
      </c>
      <c r="E1606">
        <v>60</v>
      </c>
      <c r="F1606">
        <v>62.050331116000002</v>
      </c>
      <c r="G1606">
        <v>1331.1145019999999</v>
      </c>
      <c r="H1606">
        <v>1331.0644531</v>
      </c>
      <c r="I1606">
        <v>1332.8251952999999</v>
      </c>
      <c r="J1606">
        <v>1332.0577393000001</v>
      </c>
      <c r="K1606">
        <v>0</v>
      </c>
      <c r="L1606">
        <v>550</v>
      </c>
      <c r="M1606">
        <v>550</v>
      </c>
      <c r="N1606">
        <v>0</v>
      </c>
    </row>
    <row r="1607" spans="1:14" x14ac:dyDescent="0.25">
      <c r="A1607">
        <v>1647.555529</v>
      </c>
      <c r="B1607" s="1">
        <f>DATE(2014,11,3) + TIME(13,19,57)</f>
        <v>41946.555520833332</v>
      </c>
      <c r="C1607">
        <v>80</v>
      </c>
      <c r="D1607">
        <v>79.809204101999995</v>
      </c>
      <c r="E1607">
        <v>60</v>
      </c>
      <c r="F1607">
        <v>61.813716888000002</v>
      </c>
      <c r="G1607">
        <v>1331.1047363</v>
      </c>
      <c r="H1607">
        <v>1331.0489502</v>
      </c>
      <c r="I1607">
        <v>1332.8519286999999</v>
      </c>
      <c r="J1607">
        <v>1332.0736084</v>
      </c>
      <c r="K1607">
        <v>0</v>
      </c>
      <c r="L1607">
        <v>550</v>
      </c>
      <c r="M1607">
        <v>550</v>
      </c>
      <c r="N1607">
        <v>0</v>
      </c>
    </row>
    <row r="1608" spans="1:14" x14ac:dyDescent="0.25">
      <c r="A1608">
        <v>1647.781266</v>
      </c>
      <c r="B1608" s="1">
        <f>DATE(2014,11,3) + TIME(18,45,1)</f>
        <v>41946.781261574077</v>
      </c>
      <c r="C1608">
        <v>80</v>
      </c>
      <c r="D1608">
        <v>79.796432495000005</v>
      </c>
      <c r="E1608">
        <v>60</v>
      </c>
      <c r="F1608">
        <v>61.593273162999999</v>
      </c>
      <c r="G1608">
        <v>1331.0949707</v>
      </c>
      <c r="H1608">
        <v>1331.0333252</v>
      </c>
      <c r="I1608">
        <v>1332.8791504000001</v>
      </c>
      <c r="J1608">
        <v>1332.0898437999999</v>
      </c>
      <c r="K1608">
        <v>0</v>
      </c>
      <c r="L1608">
        <v>550</v>
      </c>
      <c r="M1608">
        <v>550</v>
      </c>
      <c r="N1608">
        <v>0</v>
      </c>
    </row>
    <row r="1609" spans="1:14" x14ac:dyDescent="0.25">
      <c r="A1609">
        <v>1648.0182609999999</v>
      </c>
      <c r="B1609" s="1">
        <f>DATE(2014,11,4) + TIME(0,26,17)</f>
        <v>41947.018252314818</v>
      </c>
      <c r="C1609">
        <v>80</v>
      </c>
      <c r="D1609">
        <v>79.782890320000007</v>
      </c>
      <c r="E1609">
        <v>60</v>
      </c>
      <c r="F1609">
        <v>61.388813018999997</v>
      </c>
      <c r="G1609">
        <v>1331.0849608999999</v>
      </c>
      <c r="H1609">
        <v>1331.0177002</v>
      </c>
      <c r="I1609">
        <v>1332.9066161999999</v>
      </c>
      <c r="J1609">
        <v>1332.1063231999999</v>
      </c>
      <c r="K1609">
        <v>0</v>
      </c>
      <c r="L1609">
        <v>550</v>
      </c>
      <c r="M1609">
        <v>550</v>
      </c>
      <c r="N1609">
        <v>0</v>
      </c>
    </row>
    <row r="1610" spans="1:14" x14ac:dyDescent="0.25">
      <c r="A1610">
        <v>1648.267771</v>
      </c>
      <c r="B1610" s="1">
        <f>DATE(2014,11,4) + TIME(6,25,35)</f>
        <v>41947.267766203702</v>
      </c>
      <c r="C1610">
        <v>80</v>
      </c>
      <c r="D1610">
        <v>79.768493652000004</v>
      </c>
      <c r="E1610">
        <v>60</v>
      </c>
      <c r="F1610">
        <v>61.200138092000003</v>
      </c>
      <c r="G1610">
        <v>1331.0749512</v>
      </c>
      <c r="H1610">
        <v>1331.0018310999999</v>
      </c>
      <c r="I1610">
        <v>1332.9342041</v>
      </c>
      <c r="J1610">
        <v>1332.1228027</v>
      </c>
      <c r="K1610">
        <v>0</v>
      </c>
      <c r="L1610">
        <v>550</v>
      </c>
      <c r="M1610">
        <v>550</v>
      </c>
      <c r="N1610">
        <v>0</v>
      </c>
    </row>
    <row r="1611" spans="1:14" x14ac:dyDescent="0.25">
      <c r="A1611">
        <v>1648.5312819999999</v>
      </c>
      <c r="B1611" s="1">
        <f>DATE(2014,11,4) + TIME(12,45,2)</f>
        <v>41947.531273148146</v>
      </c>
      <c r="C1611">
        <v>80</v>
      </c>
      <c r="D1611">
        <v>79.753135681000003</v>
      </c>
      <c r="E1611">
        <v>60</v>
      </c>
      <c r="F1611">
        <v>61.027023315000001</v>
      </c>
      <c r="G1611">
        <v>1331.0648193</v>
      </c>
      <c r="H1611">
        <v>1330.9858397999999</v>
      </c>
      <c r="I1611">
        <v>1332.9617920000001</v>
      </c>
      <c r="J1611">
        <v>1332.1395264</v>
      </c>
      <c r="K1611">
        <v>0</v>
      </c>
      <c r="L1611">
        <v>550</v>
      </c>
      <c r="M1611">
        <v>550</v>
      </c>
      <c r="N1611">
        <v>0</v>
      </c>
    </row>
    <row r="1612" spans="1:14" x14ac:dyDescent="0.25">
      <c r="A1612">
        <v>1648.8105539999999</v>
      </c>
      <c r="B1612" s="1">
        <f>DATE(2014,11,4) + TIME(19,27,11)</f>
        <v>41947.810543981483</v>
      </c>
      <c r="C1612">
        <v>80</v>
      </c>
      <c r="D1612">
        <v>79.736625670999999</v>
      </c>
      <c r="E1612">
        <v>60</v>
      </c>
      <c r="F1612">
        <v>60.869194030999999</v>
      </c>
      <c r="G1612">
        <v>1331.0543213000001</v>
      </c>
      <c r="H1612">
        <v>1330.9694824000001</v>
      </c>
      <c r="I1612">
        <v>1332.9893798999999</v>
      </c>
      <c r="J1612">
        <v>1332.1561279</v>
      </c>
      <c r="K1612">
        <v>0</v>
      </c>
      <c r="L1612">
        <v>550</v>
      </c>
      <c r="M1612">
        <v>550</v>
      </c>
      <c r="N1612">
        <v>0</v>
      </c>
    </row>
    <row r="1613" spans="1:14" x14ac:dyDescent="0.25">
      <c r="A1613">
        <v>1649.1076949999999</v>
      </c>
      <c r="B1613" s="1">
        <f>DATE(2014,11,5) + TIME(2,35,4)</f>
        <v>41948.107685185183</v>
      </c>
      <c r="C1613">
        <v>80</v>
      </c>
      <c r="D1613">
        <v>79.718818665000001</v>
      </c>
      <c r="E1613">
        <v>60</v>
      </c>
      <c r="F1613">
        <v>60.726341247999997</v>
      </c>
      <c r="G1613">
        <v>1331.0437012</v>
      </c>
      <c r="H1613">
        <v>1330.9528809000001</v>
      </c>
      <c r="I1613">
        <v>1333.0168457</v>
      </c>
      <c r="J1613">
        <v>1332.1727295000001</v>
      </c>
      <c r="K1613">
        <v>0</v>
      </c>
      <c r="L1613">
        <v>550</v>
      </c>
      <c r="M1613">
        <v>550</v>
      </c>
      <c r="N1613">
        <v>0</v>
      </c>
    </row>
    <row r="1614" spans="1:14" x14ac:dyDescent="0.25">
      <c r="A1614">
        <v>1649.4252710000001</v>
      </c>
      <c r="B1614" s="1">
        <f>DATE(2014,11,5) + TIME(10,12,23)</f>
        <v>41948.425266203703</v>
      </c>
      <c r="C1614">
        <v>80</v>
      </c>
      <c r="D1614">
        <v>79.699523925999998</v>
      </c>
      <c r="E1614">
        <v>60</v>
      </c>
      <c r="F1614">
        <v>60.598091125000003</v>
      </c>
      <c r="G1614">
        <v>1331.0327147999999</v>
      </c>
      <c r="H1614">
        <v>1330.9357910000001</v>
      </c>
      <c r="I1614">
        <v>1333.0439452999999</v>
      </c>
      <c r="J1614">
        <v>1332.1892089999999</v>
      </c>
      <c r="K1614">
        <v>0</v>
      </c>
      <c r="L1614">
        <v>550</v>
      </c>
      <c r="M1614">
        <v>550</v>
      </c>
      <c r="N1614">
        <v>0</v>
      </c>
    </row>
    <row r="1615" spans="1:14" x14ac:dyDescent="0.25">
      <c r="A1615">
        <v>1649.766445</v>
      </c>
      <c r="B1615" s="1">
        <f>DATE(2014,11,5) + TIME(18,23,40)</f>
        <v>41948.766435185185</v>
      </c>
      <c r="C1615">
        <v>80</v>
      </c>
      <c r="D1615">
        <v>79.678497313999998</v>
      </c>
      <c r="E1615">
        <v>60</v>
      </c>
      <c r="F1615">
        <v>60.484088898000003</v>
      </c>
      <c r="G1615">
        <v>1331.0212402</v>
      </c>
      <c r="H1615">
        <v>1330.9182129000001</v>
      </c>
      <c r="I1615">
        <v>1333.0681152</v>
      </c>
      <c r="J1615">
        <v>1332.2038574000001</v>
      </c>
      <c r="K1615">
        <v>0</v>
      </c>
      <c r="L1615">
        <v>550</v>
      </c>
      <c r="M1615">
        <v>550</v>
      </c>
      <c r="N1615">
        <v>0</v>
      </c>
    </row>
    <row r="1616" spans="1:14" x14ac:dyDescent="0.25">
      <c r="A1616">
        <v>1650.135939</v>
      </c>
      <c r="B1616" s="1">
        <f>DATE(2014,11,6) + TIME(3,15,45)</f>
        <v>41949.135937500003</v>
      </c>
      <c r="C1616">
        <v>80</v>
      </c>
      <c r="D1616">
        <v>79.655418396000002</v>
      </c>
      <c r="E1616">
        <v>60</v>
      </c>
      <c r="F1616">
        <v>60.383617401000002</v>
      </c>
      <c r="G1616">
        <v>1331.0092772999999</v>
      </c>
      <c r="H1616">
        <v>1330.8999022999999</v>
      </c>
      <c r="I1616">
        <v>1333.0917969</v>
      </c>
      <c r="J1616">
        <v>1332.2182617000001</v>
      </c>
      <c r="K1616">
        <v>0</v>
      </c>
      <c r="L1616">
        <v>550</v>
      </c>
      <c r="M1616">
        <v>550</v>
      </c>
      <c r="N1616">
        <v>0</v>
      </c>
    </row>
    <row r="1617" spans="1:14" x14ac:dyDescent="0.25">
      <c r="A1617">
        <v>1650.538892</v>
      </c>
      <c r="B1617" s="1">
        <f>DATE(2014,11,6) + TIME(12,56,0)</f>
        <v>41949.538888888892</v>
      </c>
      <c r="C1617">
        <v>80</v>
      </c>
      <c r="D1617">
        <v>79.629913329999994</v>
      </c>
      <c r="E1617">
        <v>60</v>
      </c>
      <c r="F1617">
        <v>60.296195984000001</v>
      </c>
      <c r="G1617">
        <v>1330.9967041</v>
      </c>
      <c r="H1617">
        <v>1330.8808594</v>
      </c>
      <c r="I1617">
        <v>1333.1129149999999</v>
      </c>
      <c r="J1617">
        <v>1332.2310791</v>
      </c>
      <c r="K1617">
        <v>0</v>
      </c>
      <c r="L1617">
        <v>550</v>
      </c>
      <c r="M1617">
        <v>550</v>
      </c>
      <c r="N1617">
        <v>0</v>
      </c>
    </row>
    <row r="1618" spans="1:14" x14ac:dyDescent="0.25">
      <c r="A1618">
        <v>1650.982874</v>
      </c>
      <c r="B1618" s="1">
        <f>DATE(2014,11,6) + TIME(23,35,20)</f>
        <v>41949.982870370368</v>
      </c>
      <c r="C1618">
        <v>80</v>
      </c>
      <c r="D1618">
        <v>79.601425171000002</v>
      </c>
      <c r="E1618">
        <v>60</v>
      </c>
      <c r="F1618">
        <v>60.221096039000003</v>
      </c>
      <c r="G1618">
        <v>1330.9833983999999</v>
      </c>
      <c r="H1618">
        <v>1330.8609618999999</v>
      </c>
      <c r="I1618">
        <v>1333.1318358999999</v>
      </c>
      <c r="J1618">
        <v>1332.2425536999999</v>
      </c>
      <c r="K1618">
        <v>0</v>
      </c>
      <c r="L1618">
        <v>550</v>
      </c>
      <c r="M1618">
        <v>550</v>
      </c>
      <c r="N1618">
        <v>0</v>
      </c>
    </row>
    <row r="1619" spans="1:14" x14ac:dyDescent="0.25">
      <c r="A1619">
        <v>1651.4761860000001</v>
      </c>
      <c r="B1619" s="1">
        <f>DATE(2014,11,7) + TIME(11,25,42)</f>
        <v>41950.476180555554</v>
      </c>
      <c r="C1619">
        <v>80</v>
      </c>
      <c r="D1619">
        <v>79.569343567000004</v>
      </c>
      <c r="E1619">
        <v>60</v>
      </c>
      <c r="F1619">
        <v>60.157718658</v>
      </c>
      <c r="G1619">
        <v>1330.9692382999999</v>
      </c>
      <c r="H1619">
        <v>1330.8398437999999</v>
      </c>
      <c r="I1619">
        <v>1333.1503906</v>
      </c>
      <c r="J1619">
        <v>1332.2539062000001</v>
      </c>
      <c r="K1619">
        <v>0</v>
      </c>
      <c r="L1619">
        <v>550</v>
      </c>
      <c r="M1619">
        <v>550</v>
      </c>
      <c r="N1619">
        <v>0</v>
      </c>
    </row>
    <row r="1620" spans="1:14" x14ac:dyDescent="0.25">
      <c r="A1620">
        <v>1651.978801</v>
      </c>
      <c r="B1620" s="1">
        <f>DATE(2014,11,7) + TIME(23,29,28)</f>
        <v>41950.978796296295</v>
      </c>
      <c r="C1620">
        <v>80</v>
      </c>
      <c r="D1620">
        <v>79.536041260000005</v>
      </c>
      <c r="E1620">
        <v>60</v>
      </c>
      <c r="F1620">
        <v>60.108982085999997</v>
      </c>
      <c r="G1620">
        <v>1330.9541016000001</v>
      </c>
      <c r="H1620">
        <v>1330.8175048999999</v>
      </c>
      <c r="I1620">
        <v>1333.1669922000001</v>
      </c>
      <c r="J1620">
        <v>1332.2641602000001</v>
      </c>
      <c r="K1620">
        <v>0</v>
      </c>
      <c r="L1620">
        <v>550</v>
      </c>
      <c r="M1620">
        <v>550</v>
      </c>
      <c r="N1620">
        <v>0</v>
      </c>
    </row>
    <row r="1621" spans="1:14" x14ac:dyDescent="0.25">
      <c r="A1621">
        <v>1652.499092</v>
      </c>
      <c r="B1621" s="1">
        <f>DATE(2014,11,8) + TIME(11,58,41)</f>
        <v>41951.499085648145</v>
      </c>
      <c r="C1621">
        <v>80</v>
      </c>
      <c r="D1621">
        <v>79.500953674000002</v>
      </c>
      <c r="E1621">
        <v>60</v>
      </c>
      <c r="F1621">
        <v>60.071308135999999</v>
      </c>
      <c r="G1621">
        <v>1330.9390868999999</v>
      </c>
      <c r="H1621">
        <v>1330.7952881000001</v>
      </c>
      <c r="I1621">
        <v>1333.1790771000001</v>
      </c>
      <c r="J1621">
        <v>1332.2714844</v>
      </c>
      <c r="K1621">
        <v>0</v>
      </c>
      <c r="L1621">
        <v>550</v>
      </c>
      <c r="M1621">
        <v>550</v>
      </c>
      <c r="N1621">
        <v>0</v>
      </c>
    </row>
    <row r="1622" spans="1:14" x14ac:dyDescent="0.25">
      <c r="A1622">
        <v>1653.042839</v>
      </c>
      <c r="B1622" s="1">
        <f>DATE(2014,11,9) + TIME(1,1,41)</f>
        <v>41952.04283564815</v>
      </c>
      <c r="C1622">
        <v>80</v>
      </c>
      <c r="D1622">
        <v>79.463645935000002</v>
      </c>
      <c r="E1622">
        <v>60</v>
      </c>
      <c r="F1622">
        <v>60.042255402000002</v>
      </c>
      <c r="G1622">
        <v>1330.9238281</v>
      </c>
      <c r="H1622">
        <v>1330.7729492000001</v>
      </c>
      <c r="I1622">
        <v>1333.1898193</v>
      </c>
      <c r="J1622">
        <v>1332.2780762</v>
      </c>
      <c r="K1622">
        <v>0</v>
      </c>
      <c r="L1622">
        <v>550</v>
      </c>
      <c r="M1622">
        <v>550</v>
      </c>
      <c r="N1622">
        <v>0</v>
      </c>
    </row>
    <row r="1623" spans="1:14" x14ac:dyDescent="0.25">
      <c r="A1623">
        <v>1653.6158969999999</v>
      </c>
      <c r="B1623" s="1">
        <f>DATE(2014,11,9) + TIME(14,46,53)</f>
        <v>41952.615891203706</v>
      </c>
      <c r="C1623">
        <v>80</v>
      </c>
      <c r="D1623">
        <v>79.423629761000001</v>
      </c>
      <c r="E1623">
        <v>60</v>
      </c>
      <c r="F1623">
        <v>60.019989013999997</v>
      </c>
      <c r="G1623">
        <v>1330.9084473</v>
      </c>
      <c r="H1623">
        <v>1330.7504882999999</v>
      </c>
      <c r="I1623">
        <v>1333.1990966999999</v>
      </c>
      <c r="J1623">
        <v>1332.2839355000001</v>
      </c>
      <c r="K1623">
        <v>0</v>
      </c>
      <c r="L1623">
        <v>550</v>
      </c>
      <c r="M1623">
        <v>550</v>
      </c>
      <c r="N1623">
        <v>0</v>
      </c>
    </row>
    <row r="1624" spans="1:14" x14ac:dyDescent="0.25">
      <c r="A1624">
        <v>1654.201065</v>
      </c>
      <c r="B1624" s="1">
        <f>DATE(2014,11,10) + TIME(4,49,32)</f>
        <v>41953.201064814813</v>
      </c>
      <c r="C1624">
        <v>80</v>
      </c>
      <c r="D1624">
        <v>79.381935119999994</v>
      </c>
      <c r="E1624">
        <v>60</v>
      </c>
      <c r="F1624">
        <v>60.003536224000001</v>
      </c>
      <c r="G1624">
        <v>1330.8925781</v>
      </c>
      <c r="H1624">
        <v>1330.7275391000001</v>
      </c>
      <c r="I1624">
        <v>1333.2073975000001</v>
      </c>
      <c r="J1624">
        <v>1332.2891846</v>
      </c>
      <c r="K1624">
        <v>0</v>
      </c>
      <c r="L1624">
        <v>550</v>
      </c>
      <c r="M1624">
        <v>550</v>
      </c>
      <c r="N1624">
        <v>0</v>
      </c>
    </row>
    <row r="1625" spans="1:14" x14ac:dyDescent="0.25">
      <c r="A1625">
        <v>1654.799544</v>
      </c>
      <c r="B1625" s="1">
        <f>DATE(2014,11,10) + TIME(19,11,20)</f>
        <v>41953.799537037034</v>
      </c>
      <c r="C1625">
        <v>80</v>
      </c>
      <c r="D1625">
        <v>79.338409424000005</v>
      </c>
      <c r="E1625">
        <v>60</v>
      </c>
      <c r="F1625">
        <v>59.991420746000003</v>
      </c>
      <c r="G1625">
        <v>1330.8768310999999</v>
      </c>
      <c r="H1625">
        <v>1330.7047118999999</v>
      </c>
      <c r="I1625">
        <v>1333.2143555</v>
      </c>
      <c r="J1625">
        <v>1332.2937012</v>
      </c>
      <c r="K1625">
        <v>0</v>
      </c>
      <c r="L1625">
        <v>550</v>
      </c>
      <c r="M1625">
        <v>550</v>
      </c>
      <c r="N1625">
        <v>0</v>
      </c>
    </row>
    <row r="1626" spans="1:14" x14ac:dyDescent="0.25">
      <c r="A1626">
        <v>1655.414299</v>
      </c>
      <c r="B1626" s="1">
        <f>DATE(2014,11,11) + TIME(9,56,35)</f>
        <v>41954.414293981485</v>
      </c>
      <c r="C1626">
        <v>80</v>
      </c>
      <c r="D1626">
        <v>79.292770386000001</v>
      </c>
      <c r="E1626">
        <v>60</v>
      </c>
      <c r="F1626">
        <v>59.982509612999998</v>
      </c>
      <c r="G1626">
        <v>1330.8612060999999</v>
      </c>
      <c r="H1626">
        <v>1330.6820068</v>
      </c>
      <c r="I1626">
        <v>1333.2202147999999</v>
      </c>
      <c r="J1626">
        <v>1332.2974853999999</v>
      </c>
      <c r="K1626">
        <v>0</v>
      </c>
      <c r="L1626">
        <v>550</v>
      </c>
      <c r="M1626">
        <v>550</v>
      </c>
      <c r="N1626">
        <v>0</v>
      </c>
    </row>
    <row r="1627" spans="1:14" x14ac:dyDescent="0.25">
      <c r="A1627">
        <v>1656.048499</v>
      </c>
      <c r="B1627" s="1">
        <f>DATE(2014,11,12) + TIME(1,9,50)</f>
        <v>41955.048495370371</v>
      </c>
      <c r="C1627">
        <v>80</v>
      </c>
      <c r="D1627">
        <v>79.244720459000007</v>
      </c>
      <c r="E1627">
        <v>60</v>
      </c>
      <c r="F1627">
        <v>59.975975036999998</v>
      </c>
      <c r="G1627">
        <v>1330.8453368999999</v>
      </c>
      <c r="H1627">
        <v>1330.6594238</v>
      </c>
      <c r="I1627">
        <v>1333.2249756000001</v>
      </c>
      <c r="J1627">
        <v>1332.3006591999999</v>
      </c>
      <c r="K1627">
        <v>0</v>
      </c>
      <c r="L1627">
        <v>550</v>
      </c>
      <c r="M1627">
        <v>550</v>
      </c>
      <c r="N1627">
        <v>0</v>
      </c>
    </row>
    <row r="1628" spans="1:14" x14ac:dyDescent="0.25">
      <c r="A1628">
        <v>1656.704937</v>
      </c>
      <c r="B1628" s="1">
        <f>DATE(2014,11,12) + TIME(16,55,6)</f>
        <v>41955.704930555556</v>
      </c>
      <c r="C1628">
        <v>80</v>
      </c>
      <c r="D1628">
        <v>79.193946838000002</v>
      </c>
      <c r="E1628">
        <v>60</v>
      </c>
      <c r="F1628">
        <v>59.971187592</v>
      </c>
      <c r="G1628">
        <v>1330.8294678</v>
      </c>
      <c r="H1628">
        <v>1330.6365966999999</v>
      </c>
      <c r="I1628">
        <v>1333.2275391000001</v>
      </c>
      <c r="J1628">
        <v>1332.3024902</v>
      </c>
      <c r="K1628">
        <v>0</v>
      </c>
      <c r="L1628">
        <v>550</v>
      </c>
      <c r="M1628">
        <v>550</v>
      </c>
      <c r="N1628">
        <v>0</v>
      </c>
    </row>
    <row r="1629" spans="1:14" x14ac:dyDescent="0.25">
      <c r="A1629">
        <v>1657.386526</v>
      </c>
      <c r="B1629" s="1">
        <f>DATE(2014,11,13) + TIME(9,16,35)</f>
        <v>41956.386516203704</v>
      </c>
      <c r="C1629">
        <v>80</v>
      </c>
      <c r="D1629">
        <v>79.140106200999995</v>
      </c>
      <c r="E1629">
        <v>60</v>
      </c>
      <c r="F1629">
        <v>59.967685699</v>
      </c>
      <c r="G1629">
        <v>1330.8134766000001</v>
      </c>
      <c r="H1629">
        <v>1330.6136475000001</v>
      </c>
      <c r="I1629">
        <v>1333.2293701000001</v>
      </c>
      <c r="J1629">
        <v>1332.3039550999999</v>
      </c>
      <c r="K1629">
        <v>0</v>
      </c>
      <c r="L1629">
        <v>550</v>
      </c>
      <c r="M1629">
        <v>550</v>
      </c>
      <c r="N1629">
        <v>0</v>
      </c>
    </row>
    <row r="1630" spans="1:14" x14ac:dyDescent="0.25">
      <c r="A1630">
        <v>1658.1003909999999</v>
      </c>
      <c r="B1630" s="1">
        <f>DATE(2014,11,14) + TIME(2,24,33)</f>
        <v>41957.100381944445</v>
      </c>
      <c r="C1630">
        <v>80</v>
      </c>
      <c r="D1630">
        <v>79.082550049000005</v>
      </c>
      <c r="E1630">
        <v>60</v>
      </c>
      <c r="F1630">
        <v>59.965122223000002</v>
      </c>
      <c r="G1630">
        <v>1330.7971190999999</v>
      </c>
      <c r="H1630">
        <v>1330.5905762</v>
      </c>
      <c r="I1630">
        <v>1333.2308350000001</v>
      </c>
      <c r="J1630">
        <v>1332.3051757999999</v>
      </c>
      <c r="K1630">
        <v>0</v>
      </c>
      <c r="L1630">
        <v>550</v>
      </c>
      <c r="M1630">
        <v>550</v>
      </c>
      <c r="N1630">
        <v>0</v>
      </c>
    </row>
    <row r="1631" spans="1:14" x14ac:dyDescent="0.25">
      <c r="A1631">
        <v>1658.8531869999999</v>
      </c>
      <c r="B1631" s="1">
        <f>DATE(2014,11,14) + TIME(20,28,35)</f>
        <v>41957.853182870371</v>
      </c>
      <c r="C1631">
        <v>80</v>
      </c>
      <c r="D1631">
        <v>79.020599364999995</v>
      </c>
      <c r="E1631">
        <v>60</v>
      </c>
      <c r="F1631">
        <v>59.963237761999999</v>
      </c>
      <c r="G1631">
        <v>1330.7806396000001</v>
      </c>
      <c r="H1631">
        <v>1330.5671387</v>
      </c>
      <c r="I1631">
        <v>1333.2319336</v>
      </c>
      <c r="J1631">
        <v>1332.3061522999999</v>
      </c>
      <c r="K1631">
        <v>0</v>
      </c>
      <c r="L1631">
        <v>550</v>
      </c>
      <c r="M1631">
        <v>550</v>
      </c>
      <c r="N1631">
        <v>0</v>
      </c>
    </row>
    <row r="1632" spans="1:14" x14ac:dyDescent="0.25">
      <c r="A1632">
        <v>1659.6518599999999</v>
      </c>
      <c r="B1632" s="1">
        <f>DATE(2014,11,15) + TIME(15,38,40)</f>
        <v>41958.65185185185</v>
      </c>
      <c r="C1632">
        <v>80</v>
      </c>
      <c r="D1632">
        <v>78.953514099000003</v>
      </c>
      <c r="E1632">
        <v>60</v>
      </c>
      <c r="F1632">
        <v>59.961856842000003</v>
      </c>
      <c r="G1632">
        <v>1330.7636719</v>
      </c>
      <c r="H1632">
        <v>1330.5430908000001</v>
      </c>
      <c r="I1632">
        <v>1333.2326660000001</v>
      </c>
      <c r="J1632">
        <v>1332.3070068</v>
      </c>
      <c r="K1632">
        <v>0</v>
      </c>
      <c r="L1632">
        <v>550</v>
      </c>
      <c r="M1632">
        <v>550</v>
      </c>
      <c r="N1632">
        <v>0</v>
      </c>
    </row>
    <row r="1633" spans="1:14" x14ac:dyDescent="0.25">
      <c r="A1633">
        <v>1660.505085</v>
      </c>
      <c r="B1633" s="1">
        <f>DATE(2014,11,16) + TIME(12,7,19)</f>
        <v>41959.50508101852</v>
      </c>
      <c r="C1633">
        <v>80</v>
      </c>
      <c r="D1633">
        <v>78.880386353000006</v>
      </c>
      <c r="E1633">
        <v>60</v>
      </c>
      <c r="F1633">
        <v>59.960842133</v>
      </c>
      <c r="G1633">
        <v>1330.7460937999999</v>
      </c>
      <c r="H1633">
        <v>1330.5184326000001</v>
      </c>
      <c r="I1633">
        <v>1333.2331543</v>
      </c>
      <c r="J1633">
        <v>1332.3077393000001</v>
      </c>
      <c r="K1633">
        <v>0</v>
      </c>
      <c r="L1633">
        <v>550</v>
      </c>
      <c r="M1633">
        <v>550</v>
      </c>
      <c r="N1633">
        <v>0</v>
      </c>
    </row>
    <row r="1634" spans="1:14" x14ac:dyDescent="0.25">
      <c r="A1634">
        <v>1661.421182</v>
      </c>
      <c r="B1634" s="1">
        <f>DATE(2014,11,17) + TIME(10,6,30)</f>
        <v>41960.421180555553</v>
      </c>
      <c r="C1634">
        <v>80</v>
      </c>
      <c r="D1634">
        <v>78.800247192</v>
      </c>
      <c r="E1634">
        <v>60</v>
      </c>
      <c r="F1634">
        <v>59.960090637</v>
      </c>
      <c r="G1634">
        <v>1330.7280272999999</v>
      </c>
      <c r="H1634">
        <v>1330.4930420000001</v>
      </c>
      <c r="I1634">
        <v>1333.2335204999999</v>
      </c>
      <c r="J1634">
        <v>1332.3083495999999</v>
      </c>
      <c r="K1634">
        <v>0</v>
      </c>
      <c r="L1634">
        <v>550</v>
      </c>
      <c r="M1634">
        <v>550</v>
      </c>
      <c r="N1634">
        <v>0</v>
      </c>
    </row>
    <row r="1635" spans="1:14" x14ac:dyDescent="0.25">
      <c r="A1635">
        <v>1662.374041</v>
      </c>
      <c r="B1635" s="1">
        <f>DATE(2014,11,18) + TIME(8,58,37)</f>
        <v>41961.374039351853</v>
      </c>
      <c r="C1635">
        <v>80</v>
      </c>
      <c r="D1635">
        <v>78.714614867999998</v>
      </c>
      <c r="E1635">
        <v>60</v>
      </c>
      <c r="F1635">
        <v>59.959548949999999</v>
      </c>
      <c r="G1635">
        <v>1330.7092285000001</v>
      </c>
      <c r="H1635">
        <v>1330.4666748</v>
      </c>
      <c r="I1635">
        <v>1333.2335204999999</v>
      </c>
      <c r="J1635">
        <v>1332.3088379000001</v>
      </c>
      <c r="K1635">
        <v>0</v>
      </c>
      <c r="L1635">
        <v>550</v>
      </c>
      <c r="M1635">
        <v>550</v>
      </c>
      <c r="N1635">
        <v>0</v>
      </c>
    </row>
    <row r="1636" spans="1:14" x14ac:dyDescent="0.25">
      <c r="A1636">
        <v>1663.370741</v>
      </c>
      <c r="B1636" s="1">
        <f>DATE(2014,11,19) + TIME(8,53,52)</f>
        <v>41962.370740740742</v>
      </c>
      <c r="C1636">
        <v>80</v>
      </c>
      <c r="D1636">
        <v>78.622703552000004</v>
      </c>
      <c r="E1636">
        <v>60</v>
      </c>
      <c r="F1636">
        <v>59.959148407000001</v>
      </c>
      <c r="G1636">
        <v>1330.6901855000001</v>
      </c>
      <c r="H1636">
        <v>1330.4400635</v>
      </c>
      <c r="I1636">
        <v>1333.2333983999999</v>
      </c>
      <c r="J1636">
        <v>1332.3092041</v>
      </c>
      <c r="K1636">
        <v>0</v>
      </c>
      <c r="L1636">
        <v>550</v>
      </c>
      <c r="M1636">
        <v>550</v>
      </c>
      <c r="N1636">
        <v>0</v>
      </c>
    </row>
    <row r="1637" spans="1:14" x14ac:dyDescent="0.25">
      <c r="A1637">
        <v>1664.4176709999999</v>
      </c>
      <c r="B1637" s="1">
        <f>DATE(2014,11,20) + TIME(10,1,26)</f>
        <v>41963.417662037034</v>
      </c>
      <c r="C1637">
        <v>80</v>
      </c>
      <c r="D1637">
        <v>78.523750304999993</v>
      </c>
      <c r="E1637">
        <v>60</v>
      </c>
      <c r="F1637">
        <v>59.958847046000002</v>
      </c>
      <c r="G1637">
        <v>1330.6707764</v>
      </c>
      <c r="H1637">
        <v>1330.4130858999999</v>
      </c>
      <c r="I1637">
        <v>1333.2331543</v>
      </c>
      <c r="J1637">
        <v>1332.3095702999999</v>
      </c>
      <c r="K1637">
        <v>0</v>
      </c>
      <c r="L1637">
        <v>550</v>
      </c>
      <c r="M1637">
        <v>550</v>
      </c>
      <c r="N1637">
        <v>0</v>
      </c>
    </row>
    <row r="1638" spans="1:14" x14ac:dyDescent="0.25">
      <c r="A1638">
        <v>1665.5189109999999</v>
      </c>
      <c r="B1638" s="1">
        <f>DATE(2014,11,21) + TIME(12,27,13)</f>
        <v>41964.518900462965</v>
      </c>
      <c r="C1638">
        <v>80</v>
      </c>
      <c r="D1638">
        <v>78.417114257999998</v>
      </c>
      <c r="E1638">
        <v>60</v>
      </c>
      <c r="F1638">
        <v>59.958618164000001</v>
      </c>
      <c r="G1638">
        <v>1330.651001</v>
      </c>
      <c r="H1638">
        <v>1330.3857422000001</v>
      </c>
      <c r="I1638">
        <v>1333.2327881000001</v>
      </c>
      <c r="J1638">
        <v>1332.3099365</v>
      </c>
      <c r="K1638">
        <v>0</v>
      </c>
      <c r="L1638">
        <v>550</v>
      </c>
      <c r="M1638">
        <v>550</v>
      </c>
      <c r="N1638">
        <v>0</v>
      </c>
    </row>
    <row r="1639" spans="1:14" x14ac:dyDescent="0.25">
      <c r="A1639">
        <v>1666.6326140000001</v>
      </c>
      <c r="B1639" s="1">
        <f>DATE(2014,11,22) + TIME(15,10,57)</f>
        <v>41965.632604166669</v>
      </c>
      <c r="C1639">
        <v>80</v>
      </c>
      <c r="D1639">
        <v>78.305694579999994</v>
      </c>
      <c r="E1639">
        <v>60</v>
      </c>
      <c r="F1639">
        <v>59.958446502999998</v>
      </c>
      <c r="G1639">
        <v>1330.6308594</v>
      </c>
      <c r="H1639">
        <v>1330.3577881000001</v>
      </c>
      <c r="I1639">
        <v>1333.2322998</v>
      </c>
      <c r="J1639">
        <v>1332.3101807</v>
      </c>
      <c r="K1639">
        <v>0</v>
      </c>
      <c r="L1639">
        <v>550</v>
      </c>
      <c r="M1639">
        <v>550</v>
      </c>
      <c r="N1639">
        <v>0</v>
      </c>
    </row>
    <row r="1640" spans="1:14" x14ac:dyDescent="0.25">
      <c r="A1640">
        <v>1667.7671399999999</v>
      </c>
      <c r="B1640" s="1">
        <f>DATE(2014,11,23) + TIME(18,24,40)</f>
        <v>41966.767129629632</v>
      </c>
      <c r="C1640">
        <v>80</v>
      </c>
      <c r="D1640">
        <v>78.188964843999997</v>
      </c>
      <c r="E1640">
        <v>60</v>
      </c>
      <c r="F1640">
        <v>59.958312988000003</v>
      </c>
      <c r="G1640">
        <v>1330.6109618999999</v>
      </c>
      <c r="H1640">
        <v>1330.3303223</v>
      </c>
      <c r="I1640">
        <v>1333.2316894999999</v>
      </c>
      <c r="J1640">
        <v>1332.3104248</v>
      </c>
      <c r="K1640">
        <v>0</v>
      </c>
      <c r="L1640">
        <v>550</v>
      </c>
      <c r="M1640">
        <v>550</v>
      </c>
      <c r="N1640">
        <v>0</v>
      </c>
    </row>
    <row r="1641" spans="1:14" x14ac:dyDescent="0.25">
      <c r="A1641">
        <v>1668.930797</v>
      </c>
      <c r="B1641" s="1">
        <f>DATE(2014,11,24) + TIME(22,20,20)</f>
        <v>41967.930787037039</v>
      </c>
      <c r="C1641">
        <v>80</v>
      </c>
      <c r="D1641">
        <v>78.066314696999996</v>
      </c>
      <c r="E1641">
        <v>60</v>
      </c>
      <c r="F1641">
        <v>59.958202362000002</v>
      </c>
      <c r="G1641">
        <v>1330.5913086</v>
      </c>
      <c r="H1641">
        <v>1330.3031006000001</v>
      </c>
      <c r="I1641">
        <v>1333.2310791</v>
      </c>
      <c r="J1641">
        <v>1332.3106689000001</v>
      </c>
      <c r="K1641">
        <v>0</v>
      </c>
      <c r="L1641">
        <v>550</v>
      </c>
      <c r="M1641">
        <v>550</v>
      </c>
      <c r="N1641">
        <v>0</v>
      </c>
    </row>
    <row r="1642" spans="1:14" x14ac:dyDescent="0.25">
      <c r="A1642">
        <v>1670.138414</v>
      </c>
      <c r="B1642" s="1">
        <f>DATE(2014,11,26) + TIME(3,19,18)</f>
        <v>41969.138402777775</v>
      </c>
      <c r="C1642">
        <v>80</v>
      </c>
      <c r="D1642">
        <v>77.936546325999998</v>
      </c>
      <c r="E1642">
        <v>60</v>
      </c>
      <c r="F1642">
        <v>59.958114623999997</v>
      </c>
      <c r="G1642">
        <v>1330.5716553</v>
      </c>
      <c r="H1642">
        <v>1330.276001</v>
      </c>
      <c r="I1642">
        <v>1333.2304687999999</v>
      </c>
      <c r="J1642">
        <v>1332.3109131000001</v>
      </c>
      <c r="K1642">
        <v>0</v>
      </c>
      <c r="L1642">
        <v>550</v>
      </c>
      <c r="M1642">
        <v>550</v>
      </c>
      <c r="N1642">
        <v>0</v>
      </c>
    </row>
    <row r="1643" spans="1:14" x14ac:dyDescent="0.25">
      <c r="A1643">
        <v>1671.409527</v>
      </c>
      <c r="B1643" s="1">
        <f>DATE(2014,11,27) + TIME(9,49,43)</f>
        <v>41970.409525462965</v>
      </c>
      <c r="C1643">
        <v>80</v>
      </c>
      <c r="D1643">
        <v>77.797973632999998</v>
      </c>
      <c r="E1643">
        <v>60</v>
      </c>
      <c r="F1643">
        <v>59.958038330000001</v>
      </c>
      <c r="G1643">
        <v>1330.5518798999999</v>
      </c>
      <c r="H1643">
        <v>1330.2489014</v>
      </c>
      <c r="I1643">
        <v>1333.2298584</v>
      </c>
      <c r="J1643">
        <v>1332.3111572</v>
      </c>
      <c r="K1643">
        <v>0</v>
      </c>
      <c r="L1643">
        <v>550</v>
      </c>
      <c r="M1643">
        <v>550</v>
      </c>
      <c r="N1643">
        <v>0</v>
      </c>
    </row>
    <row r="1644" spans="1:14" x14ac:dyDescent="0.25">
      <c r="A1644">
        <v>1672.7592420000001</v>
      </c>
      <c r="B1644" s="1">
        <f>DATE(2014,11,28) + TIME(18,13,18)</f>
        <v>41971.759236111109</v>
      </c>
      <c r="C1644">
        <v>80</v>
      </c>
      <c r="D1644">
        <v>77.649124146000005</v>
      </c>
      <c r="E1644">
        <v>60</v>
      </c>
      <c r="F1644">
        <v>59.95797348</v>
      </c>
      <c r="G1644">
        <v>1330.5318603999999</v>
      </c>
      <c r="H1644">
        <v>1330.2214355000001</v>
      </c>
      <c r="I1644">
        <v>1333.2292480000001</v>
      </c>
      <c r="J1644">
        <v>1332.3114014</v>
      </c>
      <c r="K1644">
        <v>0</v>
      </c>
      <c r="L1644">
        <v>550</v>
      </c>
      <c r="M1644">
        <v>550</v>
      </c>
      <c r="N1644">
        <v>0</v>
      </c>
    </row>
    <row r="1645" spans="1:14" x14ac:dyDescent="0.25">
      <c r="A1645">
        <v>1674.206893</v>
      </c>
      <c r="B1645" s="1">
        <f>DATE(2014,11,30) + TIME(4,57,55)</f>
        <v>41973.206886574073</v>
      </c>
      <c r="C1645">
        <v>80</v>
      </c>
      <c r="D1645">
        <v>77.488098144999995</v>
      </c>
      <c r="E1645">
        <v>60</v>
      </c>
      <c r="F1645">
        <v>59.957912444999998</v>
      </c>
      <c r="G1645">
        <v>1330.5112305</v>
      </c>
      <c r="H1645">
        <v>1330.1933594</v>
      </c>
      <c r="I1645">
        <v>1333.2285156</v>
      </c>
      <c r="J1645">
        <v>1332.3117675999999</v>
      </c>
      <c r="K1645">
        <v>0</v>
      </c>
      <c r="L1645">
        <v>550</v>
      </c>
      <c r="M1645">
        <v>550</v>
      </c>
      <c r="N1645">
        <v>0</v>
      </c>
    </row>
    <row r="1646" spans="1:14" x14ac:dyDescent="0.25">
      <c r="A1646">
        <v>1675</v>
      </c>
      <c r="B1646" s="1">
        <f>DATE(2014,12,1) + TIME(0,0,0)</f>
        <v>41974</v>
      </c>
      <c r="C1646">
        <v>80</v>
      </c>
      <c r="D1646">
        <v>77.382217406999999</v>
      </c>
      <c r="E1646">
        <v>60</v>
      </c>
      <c r="F1646">
        <v>59.957878113</v>
      </c>
      <c r="G1646">
        <v>1330.4904785000001</v>
      </c>
      <c r="H1646">
        <v>1330.1652832</v>
      </c>
      <c r="I1646">
        <v>1333.2279053</v>
      </c>
      <c r="J1646">
        <v>1332.3121338000001</v>
      </c>
      <c r="K1646">
        <v>0</v>
      </c>
      <c r="L1646">
        <v>550</v>
      </c>
      <c r="M1646">
        <v>550</v>
      </c>
      <c r="N1646">
        <v>0</v>
      </c>
    </row>
    <row r="1647" spans="1:14" x14ac:dyDescent="0.25">
      <c r="A1647">
        <v>1676.5706009999999</v>
      </c>
      <c r="B1647" s="1">
        <f>DATE(2014,12,2) + TIME(13,41,39)</f>
        <v>41975.570590277777</v>
      </c>
      <c r="C1647">
        <v>80</v>
      </c>
      <c r="D1647">
        <v>77.208915709999999</v>
      </c>
      <c r="E1647">
        <v>60</v>
      </c>
      <c r="F1647">
        <v>59.957828522</v>
      </c>
      <c r="G1647">
        <v>1330.4772949000001</v>
      </c>
      <c r="H1647">
        <v>1330.1466064000001</v>
      </c>
      <c r="I1647">
        <v>1333.2275391000001</v>
      </c>
      <c r="J1647">
        <v>1332.3122559000001</v>
      </c>
      <c r="K1647">
        <v>0</v>
      </c>
      <c r="L1647">
        <v>550</v>
      </c>
      <c r="M1647">
        <v>550</v>
      </c>
      <c r="N1647">
        <v>0</v>
      </c>
    </row>
    <row r="1648" spans="1:14" x14ac:dyDescent="0.25">
      <c r="A1648">
        <v>1678.346771</v>
      </c>
      <c r="B1648" s="1">
        <f>DATE(2014,12,4) + TIME(8,19,20)</f>
        <v>41977.346759259257</v>
      </c>
      <c r="C1648">
        <v>80</v>
      </c>
      <c r="D1648">
        <v>77.013397217000005</v>
      </c>
      <c r="E1648">
        <v>60</v>
      </c>
      <c r="F1648">
        <v>59.957782745000003</v>
      </c>
      <c r="G1648">
        <v>1330.4561768000001</v>
      </c>
      <c r="H1648">
        <v>1330.1181641000001</v>
      </c>
      <c r="I1648">
        <v>1333.2268065999999</v>
      </c>
      <c r="J1648">
        <v>1332.3127440999999</v>
      </c>
      <c r="K1648">
        <v>0</v>
      </c>
      <c r="L1648">
        <v>550</v>
      </c>
      <c r="M1648">
        <v>550</v>
      </c>
      <c r="N1648">
        <v>0</v>
      </c>
    </row>
    <row r="1649" spans="1:14" x14ac:dyDescent="0.25">
      <c r="A1649">
        <v>1680.1465459999999</v>
      </c>
      <c r="B1649" s="1">
        <f>DATE(2014,12,6) + TIME(3,31,1)</f>
        <v>41979.146539351852</v>
      </c>
      <c r="C1649">
        <v>80</v>
      </c>
      <c r="D1649">
        <v>76.806640625</v>
      </c>
      <c r="E1649">
        <v>60</v>
      </c>
      <c r="F1649">
        <v>59.957733154000003</v>
      </c>
      <c r="G1649">
        <v>1330.4333495999999</v>
      </c>
      <c r="H1649">
        <v>1330.0877685999999</v>
      </c>
      <c r="I1649">
        <v>1333.2261963000001</v>
      </c>
      <c r="J1649">
        <v>1332.3132324000001</v>
      </c>
      <c r="K1649">
        <v>0</v>
      </c>
      <c r="L1649">
        <v>550</v>
      </c>
      <c r="M1649">
        <v>550</v>
      </c>
      <c r="N1649">
        <v>0</v>
      </c>
    </row>
    <row r="1650" spans="1:14" x14ac:dyDescent="0.25">
      <c r="A1650">
        <v>1681.9829440000001</v>
      </c>
      <c r="B1650" s="1">
        <f>DATE(2014,12,7) + TIME(23,35,26)</f>
        <v>41980.982939814814</v>
      </c>
      <c r="C1650">
        <v>80</v>
      </c>
      <c r="D1650">
        <v>76.589996338000006</v>
      </c>
      <c r="E1650">
        <v>60</v>
      </c>
      <c r="F1650">
        <v>59.957687378000003</v>
      </c>
      <c r="G1650">
        <v>1330.4105225000001</v>
      </c>
      <c r="H1650">
        <v>1330.057251</v>
      </c>
      <c r="I1650">
        <v>1333.2255858999999</v>
      </c>
      <c r="J1650">
        <v>1332.3138428</v>
      </c>
      <c r="K1650">
        <v>0</v>
      </c>
      <c r="L1650">
        <v>550</v>
      </c>
      <c r="M1650">
        <v>550</v>
      </c>
      <c r="N1650">
        <v>0</v>
      </c>
    </row>
    <row r="1651" spans="1:14" x14ac:dyDescent="0.25">
      <c r="A1651">
        <v>1683.869365</v>
      </c>
      <c r="B1651" s="1">
        <f>DATE(2014,12,9) + TIME(20,51,53)</f>
        <v>41982.869363425925</v>
      </c>
      <c r="C1651">
        <v>80</v>
      </c>
      <c r="D1651">
        <v>76.363914489999999</v>
      </c>
      <c r="E1651">
        <v>60</v>
      </c>
      <c r="F1651">
        <v>59.957641602000002</v>
      </c>
      <c r="G1651">
        <v>1330.3879394999999</v>
      </c>
      <c r="H1651">
        <v>1330.0268555</v>
      </c>
      <c r="I1651">
        <v>1333.2250977000001</v>
      </c>
      <c r="J1651">
        <v>1332.3144531</v>
      </c>
      <c r="K1651">
        <v>0</v>
      </c>
      <c r="L1651">
        <v>550</v>
      </c>
      <c r="M1651">
        <v>550</v>
      </c>
      <c r="N1651">
        <v>0</v>
      </c>
    </row>
    <row r="1652" spans="1:14" x14ac:dyDescent="0.25">
      <c r="A1652">
        <v>1685.8213699999999</v>
      </c>
      <c r="B1652" s="1">
        <f>DATE(2014,12,11) + TIME(19,42,46)</f>
        <v>41984.82136574074</v>
      </c>
      <c r="C1652">
        <v>80</v>
      </c>
      <c r="D1652">
        <v>76.128105164000004</v>
      </c>
      <c r="E1652">
        <v>60</v>
      </c>
      <c r="F1652">
        <v>59.957599639999998</v>
      </c>
      <c r="G1652">
        <v>1330.3654785000001</v>
      </c>
      <c r="H1652">
        <v>1329.996582</v>
      </c>
      <c r="I1652">
        <v>1333.2244873</v>
      </c>
      <c r="J1652">
        <v>1332.3150635</v>
      </c>
      <c r="K1652">
        <v>0</v>
      </c>
      <c r="L1652">
        <v>550</v>
      </c>
      <c r="M1652">
        <v>550</v>
      </c>
      <c r="N1652">
        <v>0</v>
      </c>
    </row>
    <row r="1653" spans="1:14" x14ac:dyDescent="0.25">
      <c r="A1653">
        <v>1687.855812</v>
      </c>
      <c r="B1653" s="1">
        <f>DATE(2014,12,13) + TIME(20,32,22)</f>
        <v>41986.855810185189</v>
      </c>
      <c r="C1653">
        <v>80</v>
      </c>
      <c r="D1653">
        <v>75.881759643999999</v>
      </c>
      <c r="E1653">
        <v>60</v>
      </c>
      <c r="F1653">
        <v>59.957557678000001</v>
      </c>
      <c r="G1653">
        <v>1330.3430175999999</v>
      </c>
      <c r="H1653">
        <v>1329.9666748</v>
      </c>
      <c r="I1653">
        <v>1333.2241211</v>
      </c>
      <c r="J1653">
        <v>1332.3157959</v>
      </c>
      <c r="K1653">
        <v>0</v>
      </c>
      <c r="L1653">
        <v>550</v>
      </c>
      <c r="M1653">
        <v>550</v>
      </c>
      <c r="N1653">
        <v>0</v>
      </c>
    </row>
    <row r="1654" spans="1:14" x14ac:dyDescent="0.25">
      <c r="A1654">
        <v>1690.020671</v>
      </c>
      <c r="B1654" s="1">
        <f>DATE(2014,12,16) + TIME(0,29,45)</f>
        <v>41989.02065972222</v>
      </c>
      <c r="C1654">
        <v>80</v>
      </c>
      <c r="D1654">
        <v>75.621650696000003</v>
      </c>
      <c r="E1654">
        <v>60</v>
      </c>
      <c r="F1654">
        <v>59.957515717</v>
      </c>
      <c r="G1654">
        <v>1330.3206786999999</v>
      </c>
      <c r="H1654">
        <v>1329.9367675999999</v>
      </c>
      <c r="I1654">
        <v>1333.2236327999999</v>
      </c>
      <c r="J1654">
        <v>1332.3165283000001</v>
      </c>
      <c r="K1654">
        <v>0</v>
      </c>
      <c r="L1654">
        <v>550</v>
      </c>
      <c r="M1654">
        <v>550</v>
      </c>
      <c r="N1654">
        <v>0</v>
      </c>
    </row>
    <row r="1655" spans="1:14" x14ac:dyDescent="0.25">
      <c r="A1655">
        <v>1692.364511</v>
      </c>
      <c r="B1655" s="1">
        <f>DATE(2014,12,18) + TIME(8,44,53)</f>
        <v>41991.364502314813</v>
      </c>
      <c r="C1655">
        <v>80</v>
      </c>
      <c r="D1655">
        <v>75.343841553000004</v>
      </c>
      <c r="E1655">
        <v>60</v>
      </c>
      <c r="F1655">
        <v>59.957469940000003</v>
      </c>
      <c r="G1655">
        <v>1330.2979736</v>
      </c>
      <c r="H1655">
        <v>1329.9064940999999</v>
      </c>
      <c r="I1655">
        <v>1333.2232666</v>
      </c>
      <c r="J1655">
        <v>1332.3173827999999</v>
      </c>
      <c r="K1655">
        <v>0</v>
      </c>
      <c r="L1655">
        <v>550</v>
      </c>
      <c r="M1655">
        <v>550</v>
      </c>
      <c r="N1655">
        <v>0</v>
      </c>
    </row>
    <row r="1656" spans="1:14" x14ac:dyDescent="0.25">
      <c r="A1656">
        <v>1694.9290490000001</v>
      </c>
      <c r="B1656" s="1">
        <f>DATE(2014,12,20) + TIME(22,17,49)</f>
        <v>41993.929039351853</v>
      </c>
      <c r="C1656">
        <v>80</v>
      </c>
      <c r="D1656">
        <v>75.044349670000003</v>
      </c>
      <c r="E1656">
        <v>60</v>
      </c>
      <c r="F1656">
        <v>59.957427979000002</v>
      </c>
      <c r="G1656">
        <v>1330.2746582</v>
      </c>
      <c r="H1656">
        <v>1329.8756103999999</v>
      </c>
      <c r="I1656">
        <v>1333.2229004000001</v>
      </c>
      <c r="J1656">
        <v>1332.3182373</v>
      </c>
      <c r="K1656">
        <v>0</v>
      </c>
      <c r="L1656">
        <v>550</v>
      </c>
      <c r="M1656">
        <v>550</v>
      </c>
      <c r="N1656">
        <v>0</v>
      </c>
    </row>
    <row r="1657" spans="1:14" x14ac:dyDescent="0.25">
      <c r="A1657">
        <v>1697.6928089999999</v>
      </c>
      <c r="B1657" s="1">
        <f>DATE(2014,12,23) + TIME(16,37,38)</f>
        <v>41996.692800925928</v>
      </c>
      <c r="C1657">
        <v>80</v>
      </c>
      <c r="D1657">
        <v>74.722267150999997</v>
      </c>
      <c r="E1657">
        <v>60</v>
      </c>
      <c r="F1657">
        <v>59.957378386999999</v>
      </c>
      <c r="G1657">
        <v>1330.2504882999999</v>
      </c>
      <c r="H1657">
        <v>1329.84375</v>
      </c>
      <c r="I1657">
        <v>1333.2225341999999</v>
      </c>
      <c r="J1657">
        <v>1332.3193358999999</v>
      </c>
      <c r="K1657">
        <v>0</v>
      </c>
      <c r="L1657">
        <v>550</v>
      </c>
      <c r="M1657">
        <v>550</v>
      </c>
      <c r="N1657">
        <v>0</v>
      </c>
    </row>
    <row r="1658" spans="1:14" x14ac:dyDescent="0.25">
      <c r="A1658">
        <v>1700.685624</v>
      </c>
      <c r="B1658" s="1">
        <f>DATE(2014,12,26) + TIME(16,27,17)</f>
        <v>41999.685613425929</v>
      </c>
      <c r="C1658">
        <v>80</v>
      </c>
      <c r="D1658">
        <v>74.376037597999996</v>
      </c>
      <c r="E1658">
        <v>60</v>
      </c>
      <c r="F1658">
        <v>59.957332610999998</v>
      </c>
      <c r="G1658">
        <v>1330.2257079999999</v>
      </c>
      <c r="H1658">
        <v>1329.8111572</v>
      </c>
      <c r="I1658">
        <v>1333.2222899999999</v>
      </c>
      <c r="J1658">
        <v>1332.3204346</v>
      </c>
      <c r="K1658">
        <v>0</v>
      </c>
      <c r="L1658">
        <v>550</v>
      </c>
      <c r="M1658">
        <v>550</v>
      </c>
      <c r="N1658">
        <v>0</v>
      </c>
    </row>
    <row r="1659" spans="1:14" x14ac:dyDescent="0.25">
      <c r="A1659">
        <v>1703.736742</v>
      </c>
      <c r="B1659" s="1">
        <f>DATE(2014,12,29) + TIME(17,40,54)</f>
        <v>42002.73673611111</v>
      </c>
      <c r="C1659">
        <v>80</v>
      </c>
      <c r="D1659">
        <v>74.013984679999993</v>
      </c>
      <c r="E1659">
        <v>60</v>
      </c>
      <c r="F1659">
        <v>59.957283019999998</v>
      </c>
      <c r="G1659">
        <v>1330.2001952999999</v>
      </c>
      <c r="H1659">
        <v>1329.7777100000001</v>
      </c>
      <c r="I1659">
        <v>1333.2220459</v>
      </c>
      <c r="J1659">
        <v>1332.3217772999999</v>
      </c>
      <c r="K1659">
        <v>0</v>
      </c>
      <c r="L1659">
        <v>550</v>
      </c>
      <c r="M1659">
        <v>550</v>
      </c>
      <c r="N1659">
        <v>0</v>
      </c>
    </row>
    <row r="1660" spans="1:14" x14ac:dyDescent="0.25">
      <c r="A1660">
        <v>1706</v>
      </c>
      <c r="B1660" s="1">
        <f>DATE(2015,1,1) + TIME(0,0,0)</f>
        <v>42005</v>
      </c>
      <c r="C1660">
        <v>80</v>
      </c>
      <c r="D1660">
        <v>73.695220946999996</v>
      </c>
      <c r="E1660">
        <v>60</v>
      </c>
      <c r="F1660">
        <v>59.957233428999999</v>
      </c>
      <c r="G1660">
        <v>1330.1750488</v>
      </c>
      <c r="H1660">
        <v>1329.7448730000001</v>
      </c>
      <c r="I1660">
        <v>1333.2215576000001</v>
      </c>
      <c r="J1660">
        <v>1332.3227539</v>
      </c>
      <c r="K1660">
        <v>0</v>
      </c>
      <c r="L1660">
        <v>550</v>
      </c>
      <c r="M1660">
        <v>550</v>
      </c>
      <c r="N1660">
        <v>0</v>
      </c>
    </row>
    <row r="1661" spans="1:14" x14ac:dyDescent="0.25">
      <c r="A1661">
        <v>1709.1572639999999</v>
      </c>
      <c r="B1661" s="1">
        <f>DATE(2015,1,4) + TIME(3,46,27)</f>
        <v>42008.157256944447</v>
      </c>
      <c r="C1661">
        <v>80</v>
      </c>
      <c r="D1661">
        <v>73.344795227000006</v>
      </c>
      <c r="E1661">
        <v>60</v>
      </c>
      <c r="F1661">
        <v>59.957187652999998</v>
      </c>
      <c r="G1661">
        <v>1330.1551514</v>
      </c>
      <c r="H1661">
        <v>1329.7172852000001</v>
      </c>
      <c r="I1661">
        <v>1333.2210693</v>
      </c>
      <c r="J1661">
        <v>1332.3234863</v>
      </c>
      <c r="K1661">
        <v>0</v>
      </c>
      <c r="L1661">
        <v>550</v>
      </c>
      <c r="M1661">
        <v>550</v>
      </c>
      <c r="N1661">
        <v>0</v>
      </c>
    </row>
    <row r="1662" spans="1:14" x14ac:dyDescent="0.25">
      <c r="A1662">
        <v>1712.685753</v>
      </c>
      <c r="B1662" s="1">
        <f>DATE(2015,1,7) + TIME(16,27,29)</f>
        <v>42011.685752314814</v>
      </c>
      <c r="C1662">
        <v>80</v>
      </c>
      <c r="D1662">
        <v>72.959320067999997</v>
      </c>
      <c r="E1662">
        <v>60</v>
      </c>
      <c r="F1662">
        <v>59.957134246999999</v>
      </c>
      <c r="G1662">
        <v>1330.1319579999999</v>
      </c>
      <c r="H1662">
        <v>1329.6873779</v>
      </c>
      <c r="I1662">
        <v>1333.2207031</v>
      </c>
      <c r="J1662">
        <v>1332.3244629000001</v>
      </c>
      <c r="K1662">
        <v>0</v>
      </c>
      <c r="L1662">
        <v>550</v>
      </c>
      <c r="M1662">
        <v>550</v>
      </c>
      <c r="N1662">
        <v>0</v>
      </c>
    </row>
    <row r="1663" spans="1:14" x14ac:dyDescent="0.25">
      <c r="A1663">
        <v>1716.336004</v>
      </c>
      <c r="B1663" s="1">
        <f>DATE(2015,1,11) + TIME(8,3,50)</f>
        <v>42015.335995370369</v>
      </c>
      <c r="C1663">
        <v>80</v>
      </c>
      <c r="D1663">
        <v>72.547439574999999</v>
      </c>
      <c r="E1663">
        <v>60</v>
      </c>
      <c r="F1663">
        <v>59.957080841</v>
      </c>
      <c r="G1663">
        <v>1330.1076660000001</v>
      </c>
      <c r="H1663">
        <v>1329.6560059000001</v>
      </c>
      <c r="I1663">
        <v>1333.2202147999999</v>
      </c>
      <c r="J1663">
        <v>1332.3258057</v>
      </c>
      <c r="K1663">
        <v>0</v>
      </c>
      <c r="L1663">
        <v>550</v>
      </c>
      <c r="M1663">
        <v>550</v>
      </c>
      <c r="N1663">
        <v>0</v>
      </c>
    </row>
    <row r="1664" spans="1:14" x14ac:dyDescent="0.25">
      <c r="A1664">
        <v>1720.192033</v>
      </c>
      <c r="B1664" s="1">
        <f>DATE(2015,1,15) + TIME(4,36,31)</f>
        <v>42019.192025462966</v>
      </c>
      <c r="C1664">
        <v>80</v>
      </c>
      <c r="D1664">
        <v>72.115715026999993</v>
      </c>
      <c r="E1664">
        <v>60</v>
      </c>
      <c r="F1664">
        <v>59.957027435000001</v>
      </c>
      <c r="G1664">
        <v>1330.0832519999999</v>
      </c>
      <c r="H1664">
        <v>1329.6241454999999</v>
      </c>
      <c r="I1664">
        <v>1333.2199707</v>
      </c>
      <c r="J1664">
        <v>1332.3270264</v>
      </c>
      <c r="K1664">
        <v>0</v>
      </c>
      <c r="L1664">
        <v>550</v>
      </c>
      <c r="M1664">
        <v>550</v>
      </c>
      <c r="N1664">
        <v>0</v>
      </c>
    </row>
    <row r="1665" spans="1:14" x14ac:dyDescent="0.25">
      <c r="A1665">
        <v>1724.139797</v>
      </c>
      <c r="B1665" s="1">
        <f>DATE(2015,1,19) + TIME(3,21,18)</f>
        <v>42023.139791666668</v>
      </c>
      <c r="C1665">
        <v>80</v>
      </c>
      <c r="D1665">
        <v>71.669853209999999</v>
      </c>
      <c r="E1665">
        <v>60</v>
      </c>
      <c r="F1665">
        <v>59.956977844000001</v>
      </c>
      <c r="G1665">
        <v>1330.0588379000001</v>
      </c>
      <c r="H1665">
        <v>1329.5924072</v>
      </c>
      <c r="I1665">
        <v>1333.2198486</v>
      </c>
      <c r="J1665">
        <v>1332.3284911999999</v>
      </c>
      <c r="K1665">
        <v>0</v>
      </c>
      <c r="L1665">
        <v>550</v>
      </c>
      <c r="M1665">
        <v>550</v>
      </c>
      <c r="N1665">
        <v>0</v>
      </c>
    </row>
    <row r="1666" spans="1:14" x14ac:dyDescent="0.25">
      <c r="A1666">
        <v>1728.259832</v>
      </c>
      <c r="B1666" s="1">
        <f>DATE(2015,1,23) + TIME(6,14,9)</f>
        <v>42027.259826388887</v>
      </c>
      <c r="C1666">
        <v>80</v>
      </c>
      <c r="D1666">
        <v>71.212249756000006</v>
      </c>
      <c r="E1666">
        <v>60</v>
      </c>
      <c r="F1666">
        <v>59.956928253000001</v>
      </c>
      <c r="G1666">
        <v>1330.0349120999999</v>
      </c>
      <c r="H1666">
        <v>1329.5611572</v>
      </c>
      <c r="I1666">
        <v>1333.2197266000001</v>
      </c>
      <c r="J1666">
        <v>1332.3299560999999</v>
      </c>
      <c r="K1666">
        <v>0</v>
      </c>
      <c r="L1666">
        <v>550</v>
      </c>
      <c r="M1666">
        <v>550</v>
      </c>
      <c r="N1666">
        <v>0</v>
      </c>
    </row>
    <row r="1667" spans="1:14" x14ac:dyDescent="0.25">
      <c r="A1667">
        <v>1732.689273</v>
      </c>
      <c r="B1667" s="1">
        <f>DATE(2015,1,27) + TIME(16,32,33)</f>
        <v>42031.689270833333</v>
      </c>
      <c r="C1667">
        <v>80</v>
      </c>
      <c r="D1667">
        <v>70.736595154</v>
      </c>
      <c r="E1667">
        <v>60</v>
      </c>
      <c r="F1667">
        <v>59.956882477000001</v>
      </c>
      <c r="G1667">
        <v>1330.0114745999999</v>
      </c>
      <c r="H1667">
        <v>1329.5306396000001</v>
      </c>
      <c r="I1667">
        <v>1333.2198486</v>
      </c>
      <c r="J1667">
        <v>1332.3314209</v>
      </c>
      <c r="K1667">
        <v>0</v>
      </c>
      <c r="L1667">
        <v>550</v>
      </c>
      <c r="M1667">
        <v>550</v>
      </c>
      <c r="N1667">
        <v>0</v>
      </c>
    </row>
    <row r="1668" spans="1:14" x14ac:dyDescent="0.25">
      <c r="A1668">
        <v>1737</v>
      </c>
      <c r="B1668" s="1">
        <f>DATE(2015,2,1) + TIME(0,0,0)</f>
        <v>42036</v>
      </c>
      <c r="C1668">
        <v>80</v>
      </c>
      <c r="D1668">
        <v>70.252632141000007</v>
      </c>
      <c r="E1668">
        <v>60</v>
      </c>
      <c r="F1668">
        <v>59.956836699999997</v>
      </c>
      <c r="G1668">
        <v>1329.9880370999999</v>
      </c>
      <c r="H1668">
        <v>1329.5002440999999</v>
      </c>
      <c r="I1668">
        <v>1333.2198486</v>
      </c>
      <c r="J1668">
        <v>1332.3331298999999</v>
      </c>
      <c r="K1668">
        <v>0</v>
      </c>
      <c r="L1668">
        <v>550</v>
      </c>
      <c r="M1668">
        <v>550</v>
      </c>
      <c r="N1668">
        <v>0</v>
      </c>
    </row>
    <row r="1669" spans="1:14" x14ac:dyDescent="0.25">
      <c r="A1669">
        <v>1741.831533</v>
      </c>
      <c r="B1669" s="1">
        <f>DATE(2015,2,5) + TIME(19,57,24)</f>
        <v>42040.83152777778</v>
      </c>
      <c r="C1669">
        <v>80</v>
      </c>
      <c r="D1669">
        <v>69.754798889</v>
      </c>
      <c r="E1669">
        <v>60</v>
      </c>
      <c r="F1669">
        <v>59.956798552999999</v>
      </c>
      <c r="G1669">
        <v>1329.9658202999999</v>
      </c>
      <c r="H1669">
        <v>1329.4710693</v>
      </c>
      <c r="I1669">
        <v>1333.2200928</v>
      </c>
      <c r="J1669">
        <v>1332.3345947</v>
      </c>
      <c r="K1669">
        <v>0</v>
      </c>
      <c r="L1669">
        <v>550</v>
      </c>
      <c r="M1669">
        <v>550</v>
      </c>
      <c r="N1669">
        <v>0</v>
      </c>
    </row>
    <row r="1670" spans="1:14" x14ac:dyDescent="0.25">
      <c r="A1670">
        <v>1747.423452</v>
      </c>
      <c r="B1670" s="1">
        <f>DATE(2015,2,11) + TIME(10,9,46)</f>
        <v>42046.423449074071</v>
      </c>
      <c r="C1670">
        <v>80</v>
      </c>
      <c r="D1670">
        <v>69.213256835999999</v>
      </c>
      <c r="E1670">
        <v>60</v>
      </c>
      <c r="F1670">
        <v>59.956760406000001</v>
      </c>
      <c r="G1670">
        <v>1329.9434814000001</v>
      </c>
      <c r="H1670">
        <v>1329.4422606999999</v>
      </c>
      <c r="I1670">
        <v>1333.2202147999999</v>
      </c>
      <c r="J1670">
        <v>1332.3363036999999</v>
      </c>
      <c r="K1670">
        <v>0</v>
      </c>
      <c r="L1670">
        <v>550</v>
      </c>
      <c r="M1670">
        <v>550</v>
      </c>
      <c r="N1670">
        <v>0</v>
      </c>
    </row>
    <row r="1671" spans="1:14" x14ac:dyDescent="0.25">
      <c r="A1671">
        <v>1753.591408</v>
      </c>
      <c r="B1671" s="1">
        <f>DATE(2015,2,17) + TIME(14,11,37)</f>
        <v>42052.591400462959</v>
      </c>
      <c r="C1671">
        <v>80</v>
      </c>
      <c r="D1671">
        <v>68.613998413000004</v>
      </c>
      <c r="E1671">
        <v>60</v>
      </c>
      <c r="F1671">
        <v>59.956722259999999</v>
      </c>
      <c r="G1671">
        <v>1329.9199219</v>
      </c>
      <c r="H1671">
        <v>1329.4124756000001</v>
      </c>
      <c r="I1671">
        <v>1333.2204589999999</v>
      </c>
      <c r="J1671">
        <v>1332.3382568</v>
      </c>
      <c r="K1671">
        <v>0</v>
      </c>
      <c r="L1671">
        <v>550</v>
      </c>
      <c r="M1671">
        <v>550</v>
      </c>
      <c r="N1671">
        <v>0</v>
      </c>
    </row>
    <row r="1672" spans="1:14" x14ac:dyDescent="0.25">
      <c r="A1672">
        <v>1760.39995</v>
      </c>
      <c r="B1672" s="1">
        <f>DATE(2015,2,24) + TIME(9,35,55)</f>
        <v>42059.399942129632</v>
      </c>
      <c r="C1672">
        <v>80</v>
      </c>
      <c r="D1672">
        <v>67.961189270000006</v>
      </c>
      <c r="E1672">
        <v>60</v>
      </c>
      <c r="F1672">
        <v>59.956684113000001</v>
      </c>
      <c r="G1672">
        <v>1329.8956298999999</v>
      </c>
      <c r="H1672">
        <v>1329.3814697</v>
      </c>
      <c r="I1672">
        <v>1333.2208252</v>
      </c>
      <c r="J1672">
        <v>1332.340332</v>
      </c>
      <c r="K1672">
        <v>0</v>
      </c>
      <c r="L1672">
        <v>550</v>
      </c>
      <c r="M1672">
        <v>550</v>
      </c>
      <c r="N1672">
        <v>0</v>
      </c>
    </row>
    <row r="1673" spans="1:14" x14ac:dyDescent="0.25">
      <c r="A1673">
        <v>1765</v>
      </c>
      <c r="B1673" s="1">
        <f>DATE(2015,3,1) + TIME(0,0,0)</f>
        <v>42064</v>
      </c>
      <c r="C1673">
        <v>80</v>
      </c>
      <c r="D1673">
        <v>67.344093322999996</v>
      </c>
      <c r="E1673">
        <v>60</v>
      </c>
      <c r="F1673">
        <v>59.956634520999998</v>
      </c>
      <c r="G1673">
        <v>1329.8708495999999</v>
      </c>
      <c r="H1673">
        <v>1329.3503418</v>
      </c>
      <c r="I1673">
        <v>1333.2213135</v>
      </c>
      <c r="J1673">
        <v>1332.3425293</v>
      </c>
      <c r="K1673">
        <v>0</v>
      </c>
      <c r="L1673">
        <v>550</v>
      </c>
      <c r="M1673">
        <v>550</v>
      </c>
      <c r="N1673">
        <v>0</v>
      </c>
    </row>
    <row r="1674" spans="1:14" x14ac:dyDescent="0.25">
      <c r="A1674">
        <v>1772.1964989999999</v>
      </c>
      <c r="B1674" s="1">
        <f>DATE(2015,3,8) + TIME(4,42,57)</f>
        <v>42071.196493055555</v>
      </c>
      <c r="C1674">
        <v>80</v>
      </c>
      <c r="D1674">
        <v>66.754417419000006</v>
      </c>
      <c r="E1674">
        <v>60</v>
      </c>
      <c r="F1674">
        <v>59.956623077000003</v>
      </c>
      <c r="G1674">
        <v>1329.8521728999999</v>
      </c>
      <c r="H1674">
        <v>1329.3237305</v>
      </c>
      <c r="I1674">
        <v>1333.2215576000001</v>
      </c>
      <c r="J1674">
        <v>1332.3438721</v>
      </c>
      <c r="K1674">
        <v>0</v>
      </c>
      <c r="L1674">
        <v>550</v>
      </c>
      <c r="M1674">
        <v>550</v>
      </c>
      <c r="N1674">
        <v>0</v>
      </c>
    </row>
    <row r="1675" spans="1:14" x14ac:dyDescent="0.25">
      <c r="A1675">
        <v>1779.817628</v>
      </c>
      <c r="B1675" s="1">
        <f>DATE(2015,3,15) + TIME(19,37,23)</f>
        <v>42078.817627314813</v>
      </c>
      <c r="C1675">
        <v>80</v>
      </c>
      <c r="D1675">
        <v>66.054969787999994</v>
      </c>
      <c r="E1675">
        <v>60</v>
      </c>
      <c r="F1675">
        <v>59.956596374999997</v>
      </c>
      <c r="G1675">
        <v>1329.8314209</v>
      </c>
      <c r="H1675">
        <v>1329.2982178</v>
      </c>
      <c r="I1675">
        <v>1333.2220459</v>
      </c>
      <c r="J1675">
        <v>1332.3460693</v>
      </c>
      <c r="K1675">
        <v>0</v>
      </c>
      <c r="L1675">
        <v>550</v>
      </c>
      <c r="M1675">
        <v>550</v>
      </c>
      <c r="N1675">
        <v>0</v>
      </c>
    </row>
    <row r="1676" spans="1:14" x14ac:dyDescent="0.25">
      <c r="A1676">
        <v>1788.124871</v>
      </c>
      <c r="B1676" s="1">
        <f>DATE(2015,3,24) + TIME(2,59,48)</f>
        <v>42087.124861111108</v>
      </c>
      <c r="C1676">
        <v>80</v>
      </c>
      <c r="D1676">
        <v>65.311378478999998</v>
      </c>
      <c r="E1676">
        <v>60</v>
      </c>
      <c r="F1676">
        <v>59.956573486000003</v>
      </c>
      <c r="G1676">
        <v>1329.8100586</v>
      </c>
      <c r="H1676">
        <v>1329.270874</v>
      </c>
      <c r="I1676">
        <v>1333.2225341999999</v>
      </c>
      <c r="J1676">
        <v>1332.3481445</v>
      </c>
      <c r="K1676">
        <v>0</v>
      </c>
      <c r="L1676">
        <v>550</v>
      </c>
      <c r="M1676">
        <v>550</v>
      </c>
      <c r="N1676">
        <v>0</v>
      </c>
    </row>
    <row r="1677" spans="1:14" x14ac:dyDescent="0.25">
      <c r="A1677">
        <v>1796</v>
      </c>
      <c r="B1677" s="1">
        <f>DATE(2015,4,1) + TIME(0,0,0)</f>
        <v>42095</v>
      </c>
      <c r="C1677">
        <v>80</v>
      </c>
      <c r="D1677">
        <v>64.551284789999997</v>
      </c>
      <c r="E1677">
        <v>60</v>
      </c>
      <c r="F1677">
        <v>59.956546783</v>
      </c>
      <c r="G1677">
        <v>1329.7891846</v>
      </c>
      <c r="H1677">
        <v>1329.2441406</v>
      </c>
      <c r="I1677">
        <v>1333.2230225000001</v>
      </c>
      <c r="J1677">
        <v>1332.3503418</v>
      </c>
      <c r="K1677">
        <v>0</v>
      </c>
      <c r="L1677">
        <v>550</v>
      </c>
      <c r="M1677">
        <v>550</v>
      </c>
      <c r="N167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2022-06-27T12:49:53Z</dcterms:created>
  <dcterms:modified xsi:type="dcterms:W3CDTF">2022-06-27T12:50:33Z</dcterms:modified>
</cp:coreProperties>
</file>